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charts/style1.xml" ContentType="application/vnd.ms-office.chartstyle+xml"/>
  <Override PartName="/xl/charts/colors1.xml" ContentType="application/vnd.ms-office.chartcolorstyle+xml"/>
  <Override PartName="/xl/charts/chart4.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tables/table76.xml" ContentType="application/vnd.openxmlformats-officedocument.spreadsheetml.table+xml"/>
  <Override PartName="/xl/tables/table77.xml" ContentType="application/vnd.openxmlformats-officedocument.spreadsheetml.table+xml"/>
  <Override PartName="/xl/tables/table78.xml" ContentType="application/vnd.openxmlformats-officedocument.spreadsheetml.table+xml"/>
  <Override PartName="/xl/tables/table79.xml" ContentType="application/vnd.openxmlformats-officedocument.spreadsheetml.table+xml"/>
  <Override PartName="/xl/tables/table80.xml" ContentType="application/vnd.openxmlformats-officedocument.spreadsheetml.table+xml"/>
  <Override PartName="/xl/tables/table81.xml" ContentType="application/vnd.openxmlformats-officedocument.spreadsheetml.table+xml"/>
  <Override PartName="/xl/tables/table82.xml" ContentType="application/vnd.openxmlformats-officedocument.spreadsheetml.table+xml"/>
  <Override PartName="/xl/tables/table83.xml" ContentType="application/vnd.openxmlformats-officedocument.spreadsheetml.table+xml"/>
  <Override PartName="/xl/tables/table84.xml" ContentType="application/vnd.openxmlformats-officedocument.spreadsheetml.table+xml"/>
  <Override PartName="/xl/tables/table85.xml" ContentType="application/vnd.openxmlformats-officedocument.spreadsheetml.table+xml"/>
  <Override PartName="/xl/tables/table86.xml" ContentType="application/vnd.openxmlformats-officedocument.spreadsheetml.table+xml"/>
  <Override PartName="/xl/tables/table87.xml" ContentType="application/vnd.openxmlformats-officedocument.spreadsheetml.table+xml"/>
  <Override PartName="/xl/tables/table88.xml" ContentType="application/vnd.openxmlformats-officedocument.spreadsheetml.table+xml"/>
  <Override PartName="/xl/tables/table89.xml" ContentType="application/vnd.openxmlformats-officedocument.spreadsheetml.table+xml"/>
  <Override PartName="/xl/tables/table90.xml" ContentType="application/vnd.openxmlformats-officedocument.spreadsheetml.table+xml"/>
  <Override PartName="/xl/tables/table91.xml" ContentType="application/vnd.openxmlformats-officedocument.spreadsheetml.table+xml"/>
  <Override PartName="/xl/tables/table92.xml" ContentType="application/vnd.openxmlformats-officedocument.spreadsheetml.table+xml"/>
  <Override PartName="/xl/tables/table93.xml" ContentType="application/vnd.openxmlformats-officedocument.spreadsheetml.table+xml"/>
  <Override PartName="/xl/tables/table94.xml" ContentType="application/vnd.openxmlformats-officedocument.spreadsheetml.table+xml"/>
  <Override PartName="/xl/tables/table95.xml" ContentType="application/vnd.openxmlformats-officedocument.spreadsheetml.table+xml"/>
  <Override PartName="/xl/tables/table96.xml" ContentType="application/vnd.openxmlformats-officedocument.spreadsheetml.table+xml"/>
  <Override PartName="/xl/tables/table97.xml" ContentType="application/vnd.openxmlformats-officedocument.spreadsheetml.table+xml"/>
  <Override PartName="/xl/tables/table98.xml" ContentType="application/vnd.openxmlformats-officedocument.spreadsheetml.table+xml"/>
  <Override PartName="/xl/tables/table99.xml" ContentType="application/vnd.openxmlformats-officedocument.spreadsheetml.table+xml"/>
  <Override PartName="/xl/tables/table100.xml" ContentType="application/vnd.openxmlformats-officedocument.spreadsheetml.table+xml"/>
  <Override PartName="/xl/tables/table101.xml" ContentType="application/vnd.openxmlformats-officedocument.spreadsheetml.table+xml"/>
  <Override PartName="/xl/tables/table102.xml" ContentType="application/vnd.openxmlformats-officedocument.spreadsheetml.table+xml"/>
  <Override PartName="/xl/tables/table103.xml" ContentType="application/vnd.openxmlformats-officedocument.spreadsheetml.table+xml"/>
  <Override PartName="/xl/tables/table104.xml" ContentType="application/vnd.openxmlformats-officedocument.spreadsheetml.table+xml"/>
  <Override PartName="/xl/tables/table105.xml" ContentType="application/vnd.openxmlformats-officedocument.spreadsheetml.table+xml"/>
  <Override PartName="/xl/tables/table106.xml" ContentType="application/vnd.openxmlformats-officedocument.spreadsheetml.table+xml"/>
  <Override PartName="/xl/tables/table107.xml" ContentType="application/vnd.openxmlformats-officedocument.spreadsheetml.table+xml"/>
  <Override PartName="/xl/tables/table108.xml" ContentType="application/vnd.openxmlformats-officedocument.spreadsheetml.table+xml"/>
  <Override PartName="/xl/tables/table109.xml" ContentType="application/vnd.openxmlformats-officedocument.spreadsheetml.table+xml"/>
  <Override PartName="/xl/tables/table110.xml" ContentType="application/vnd.openxmlformats-officedocument.spreadsheetml.table+xml"/>
  <Override PartName="/xl/tables/table111.xml" ContentType="application/vnd.openxmlformats-officedocument.spreadsheetml.table+xml"/>
  <Override PartName="/xl/tables/table112.xml" ContentType="application/vnd.openxmlformats-officedocument.spreadsheetml.table+xml"/>
  <Override PartName="/xl/tables/table113.xml" ContentType="application/vnd.openxmlformats-officedocument.spreadsheetml.table+xml"/>
  <Override PartName="/xl/tables/table114.xml" ContentType="application/vnd.openxmlformats-officedocument.spreadsheetml.table+xml"/>
  <Override PartName="/xl/tables/table115.xml" ContentType="application/vnd.openxmlformats-officedocument.spreadsheetml.table+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mc:AlternateContent xmlns:mc="http://schemas.openxmlformats.org/markup-compatibility/2006">
    <mc:Choice Requires="x15">
      <x15ac:absPath xmlns:x15ac="http://schemas.microsoft.com/office/spreadsheetml/2010/11/ac" url="C:\htdocs\zneagcrc\GAF-VEERG-Functions\Excel\Enterprises\"/>
    </mc:Choice>
  </mc:AlternateContent>
  <xr:revisionPtr revIDLastSave="0" documentId="13_ncr:1_{0CB014FC-ED9F-4DCB-9361-BFEFF83D983C}" xr6:coauthVersionLast="47" xr6:coauthVersionMax="47" xr10:uidLastSave="{00000000-0000-0000-0000-000000000000}"/>
  <bookViews>
    <workbookView xWindow="4290" yWindow="4290" windowWidth="28800" windowHeight="15345" firstSheet="41" activeTab="45" xr2:uid="{992023F3-CAB7-4E5B-A348-08D563A0EF40}"/>
  </bookViews>
  <sheets>
    <sheet name="Home" sheetId="71" r:id="rId1"/>
    <sheet name="Results - Activity period" sheetId="13" r:id="rId2"/>
    <sheet name="Results - Product EI" sheetId="80" r:id="rId3"/>
    <sheet name="Input - Enterprise" sheetId="72" r:id="rId4"/>
    <sheet name="Input - Site" sheetId="75" r:id="rId5"/>
    <sheet name="Input - Poultry" sheetId="82" r:id="rId6"/>
    <sheet name="Input - Livestock sales" sheetId="81" r:id="rId7"/>
    <sheet name="Input - Poultry purchases" sheetId="111" r:id="rId8"/>
    <sheet name="Input - Fuel" sheetId="95" r:id="rId9"/>
    <sheet name="Input - Electricity" sheetId="92" r:id="rId10"/>
    <sheet name="Input - Common farm inputs" sheetId="112" r:id="rId11"/>
    <sheet name="Input - Livestock farm Inputs" sheetId="113" r:id="rId12"/>
    <sheet name="Input - Freight" sheetId="114" r:id="rId13"/>
    <sheet name="Input - Solid waste" sheetId="108" r:id="rId14"/>
    <sheet name="Input - Manure sent off-site" sheetId="115" r:id="rId15"/>
    <sheet name="Input - Data quality" sheetId="78" r:id="rId16"/>
    <sheet name="4.6.1.1-2 Methane" sheetId="83" r:id="rId17"/>
    <sheet name="4.6.1.3-4 Direct N20" sheetId="84" r:id="rId18"/>
    <sheet name="4.6.1.5-6 Atmos Dep" sheetId="85" r:id="rId19"/>
    <sheet name="4.6.1.7-8 Leaching and runoff" sheetId="86" r:id="rId20"/>
    <sheet name="4.6.1.9 Manure applied to soils" sheetId="87" r:id="rId21"/>
    <sheet name="4.6.1.10-11 Soil direct N2O" sheetId="88" r:id="rId22"/>
    <sheet name="4.6.1.12-13 Soil atmos dep" sheetId="89" r:id="rId23"/>
    <sheet name="4.6.1.14-15 Soil leach runoff" sheetId="90" r:id="rId24"/>
    <sheet name="8.1.1.1-2 Transport fuel" sheetId="96" r:id="rId25"/>
    <sheet name="8.2.1.1-2 Stationary fuel" sheetId="97" r:id="rId26"/>
    <sheet name="10.1.1-2 Solid waste treatment" sheetId="109" r:id="rId27"/>
    <sheet name="14.1.1-2 Purchased electricity" sheetId="93" r:id="rId28"/>
    <sheet name="15 Scope 3" sheetId="116" r:id="rId29"/>
    <sheet name="Calcs - Manure sent off-site" sheetId="117" r:id="rId30"/>
    <sheet name="Constants - Poultry" sheetId="91" r:id="rId31"/>
    <sheet name="Constants - Common livestock" sheetId="119" r:id="rId32"/>
    <sheet name="Constants - Electricity" sheetId="94" r:id="rId33"/>
    <sheet name="Constants - Fertiliser" sheetId="107" r:id="rId34"/>
    <sheet name="Constants - Fuel" sheetId="98" r:id="rId35"/>
    <sheet name="Constants - Scope 3" sheetId="118" r:id="rId36"/>
    <sheet name="Constants - Solid Waste" sheetId="110" r:id="rId37"/>
    <sheet name="Constants - Common" sheetId="79" r:id="rId38"/>
    <sheet name="Input - Fert Prod System" sheetId="99" r:id="rId39"/>
    <sheet name="Input - Fertiliser" sheetId="100" r:id="rId40"/>
    <sheet name="5.1.1.1-2 Inorganic fert N2O" sheetId="101" r:id="rId41"/>
    <sheet name="5.1.1.3-4 Inorganic fert CO2" sheetId="102" r:id="rId42"/>
    <sheet name="5.2.1.1-2 Organic Fert N2O" sheetId="103" r:id="rId43"/>
    <sheet name="5.3.1.1-2 Lime CO2" sheetId="104" r:id="rId44"/>
    <sheet name="5.4.1.1-4 Atmos deposition" sheetId="105" r:id="rId45"/>
    <sheet name="5.5.1.1-2 Leaching and runoff" sheetId="106" r:id="rId46"/>
  </sheets>
  <definedNames>
    <definedName name="_Toc225350871" localSheetId="44">'5.4.1.1-4 Atmos deposition'!$C$1</definedName>
    <definedName name="_Toc225350871" localSheetId="45">'5.5.1.1-2 Leaching and runoff'!$C$1</definedName>
    <definedName name="AgResidue_Equations_FieldBurning.VEERG_6_4_1_1__1__MethaneEmissionsFromBurningOfCropResidues">_xlfn.LAMBDA(_xlpm.Mburnc,_xlpm.CCc,_xlpm.EFCH4,_xlpm.C_CH4, _xlpm.Mburnc * _xlpm.CCc * _xlpm.EFCH4 * _xlpm.C_CH4 * 10 ^ (-3))</definedName>
    <definedName name="AgResidue_Equations_FieldBurning.VEERG_6_4_1_1__1__MethaneEmissionsFromBurningOfCropResidues_Arguments">_xlfn.LAMBDA(_xlfn.MAKEARRAY(5, 2, _xlfn.LAMBDA(_xlpm.r,_xlpm.c, INDEX({"Mburnc","mass of residue burnt for crop type c (kg)";"CCc","carbon mass fraction in the residues of crop type c (dimensionless)";"EFCH4","emission factor for methane from burning of crop residues (kg CH4/kg CH4 burnt)";"CCH4","factor to convert elemental mass of methane to molecular mass (dimensionless)";"c","Crop type"}, _xlpm.r, _xlpm.c))))</definedName>
    <definedName name="AgResidue_Equations_FieldBurning.VEERG_6_4_1_1__1__MethaneEmissionsFromBurningOfCropResidues_FunctionName">_xlfn.LAMBDA("VEERG_6_4_1_1__1__MethaneEmissionsFromBurningOfCropResidues")</definedName>
    <definedName name="AgResidue_Equations_FieldBurning.VEERG_6_4_1_1__1__MethaneEmissionsFromBurningOfCropResidues_LatexEquation">_xlfn.LAMBDA("E_{CH4}=\sum_{c}(M_{burn,c}\times CC_{c}\times EF_{CH4}\times C_{CH4}\times 10^{-3})")</definedName>
    <definedName name="AgResidue_Equations_FieldBurning.VEERG_6_4_1_1__1__MethaneEmissionsFromBurningOfCropResidues_NIRReference">_xlfn.LAMBDA("")</definedName>
    <definedName name="AgResidue_Equations_FieldBurning.VEERG_6_4_1_1__1__MethaneEmissionsFromBurningOfCropResidues_Source">_xlfn.LAMBDA("VEERG 2026: 6.4.1.1, Equation (1)")</definedName>
    <definedName name="AgResidue_Equations_FieldBurning.VEERG_6_4_1_1__1__MethaneEmissionsFromBurningOfCropResidues_Title">_xlfn.LAMBDA("Methane emissions from the burning of crop residues")</definedName>
    <definedName name="AgResidue_Equations_FieldBurning.VEERG_6_4_1_1__1__MethaneEmissionsFromBurningOfCropResidues_Unit">_xlfn.LAMBDA("t CH4")</definedName>
    <definedName name="AgResidue_Equations_FieldBurning.VEERG_6_4_1_1__1__MethaneEmissionsFromBurningOfCropResidues_Variable">_xlfn.LAMBDA("ECH4")</definedName>
    <definedName name="AgResidue_Equations_FieldBurning.VEERG_6_4_1_1__2__NitrousOxideEmissionsFromBurningOfCropResidues">_xlfn.LAMBDA(_xlpm.Mburnc,_xlpm.NCAGc,_xlpm.EFN2O,_xlpm.CN2O, _xlpm.Mburnc * _xlpm.NCAGc * _xlpm.EFN2O * _xlpm.CN2O * 10 ^ (-3))</definedName>
    <definedName name="AgResidue_Equations_FieldBurning.VEERG_6_4_1_1__2__NitrousOxideEmissionsFromBurningOfCropResidues_Arguments">_xlfn.LAMBDA(_xlfn.MAKEARRAY(5, 2, _xlfn.LAMBDA(_xlpm.r,_xlpm.c, INDEX({"Mburnc","mass of residue burnt for crop type c (kg)";"NCAGc","nitrogen content in the above-ground residue of crop type c (kg N/kg DM)";"EFN2O","emission factor for nitrous oxide from burning of crop residues (kg N2O/kg N2O burnt)";"CN2O","factor to convert elemental mass of nitrous oxide to molecular mass (dimensionless)";"c","Crop type"}, _xlpm.r, _xlpm.c))))</definedName>
    <definedName name="AgResidue_Equations_FieldBurning.VEERG_6_4_1_1__2__NitrousOxideEmissionsFromBurningOfCropResidues_FunctionName">_xlfn.LAMBDA("VEERG_6_4_1_1__2__NitrousOxideEmissionsFromBurningOfCropResidues")</definedName>
    <definedName name="AgResidue_Equations_FieldBurning.VEERG_6_4_1_1__2__NitrousOxideEmissionsFromBurningOfCropResidues_LatexEquation">_xlfn.LAMBDA("E_{N2O}=\sum_{c}(M_{burn,c}\times NC_{AGc}\times EF_{N2O}\times C_{N2O}\times 10^{-3})")</definedName>
    <definedName name="AgResidue_Equations_FieldBurning.VEERG_6_4_1_1__2__NitrousOxideEmissionsFromBurningOfCropResidues_NIRReference">_xlfn.LAMBDA("")</definedName>
    <definedName name="AgResidue_Equations_FieldBurning.VEERG_6_4_1_1__2__NitrousOxideEmissionsFromBurningOfCropResidues_Source">_xlfn.LAMBDA("VEERG 2026: 6.4.1.1, Equation (2)")</definedName>
    <definedName name="AgResidue_Equations_FieldBurning.VEERG_6_4_1_1__2__NitrousOxideEmissionsFromBurningOfCropResidues_Title">_xlfn.LAMBDA("Nitrous oxide emissions from the burning of crop residues")</definedName>
    <definedName name="AgResidue_Equations_FieldBurning.VEERG_6_4_1_1__2__NitrousOxideEmissionsFromBurningOfCropResidues_Unit">_xlfn.LAMBDA("t N2O")</definedName>
    <definedName name="AgResidue_Equations_FieldBurning.VEERG_6_4_1_1__2__NitrousOxideEmissionsFromBurningOfCropResidues_Variable">_xlfn.LAMBDA("EN2O")</definedName>
    <definedName name="AgResidue_Equations_FieldBurning.VEERG_6_4_1_1__3__MassOfCropResidueBurnt">_xlfn.LAMBDA(_xlpm.Pc,_xlpm.RAGc,_xlpm.Sc,_xlpm.DMc,_xlpm.Zc,_xlpm.Fc, _xlpm.Pc * _xlpm.RAGc * _xlpm.Sc * _xlpm.DMc * _xlpm.Zc * _xlpm.Fc)</definedName>
    <definedName name="AgResidue_Equations_FieldBurning.VEERG_6_4_1_1__3__MassOfCropResidueBurnt_Arguments">_xlfn.LAMBDA(_xlfn.MAKEARRAY(7, 2, _xlfn.LAMBDA(_xlpm.r,_xlpm.c, INDEX({"Pc","annual production of crop type c (kg)";"RAGc","residue to crop ratio of crop type c (kg crop residue/kg crop)";"Sc","fraction of residues of crop type c remaining at burning (dimensionless)";"DMc","dry matter content of crop type c (kg dry weight/kg crop residue)";"Zc","burning efficiency (ratio of fuel burnt to fuel load) of crop type c (dimensionless)";"Fc","fraction of the annual production of crop type c that is burnt (dimensionless)";"c","Crop type"}, _xlpm.r, _xlpm.c))))</definedName>
    <definedName name="AgResidue_Equations_FieldBurning.VEERG_6_4_1_1__3__MassOfCropResidueBurnt_FunctionName">_xlfn.LAMBDA("VEERG_6_4_1_1__3__MassOfCropResidueBurnt")</definedName>
    <definedName name="AgResidue_Equations_FieldBurning.VEERG_6_4_1_1__3__MassOfCropResidueBurnt_LatexEquation">_xlfn.LAMBDA("M_{burn,c}=P_{c}\times R_{AGc}\times S_{c}\times DM_{c}\times Z_{c}\times F_{c}")</definedName>
    <definedName name="AgResidue_Equations_FieldBurning.VEERG_6_4_1_1__3__MassOfCropResidueBurnt_NIRReference">_xlfn.LAMBDA("")</definedName>
    <definedName name="AgResidue_Equations_FieldBurning.VEERG_6_4_1_1__3__MassOfCropResidueBurnt_Source">_xlfn.LAMBDA("VEERG 2026: 6.4.1.1, Equation (3)")</definedName>
    <definedName name="AgResidue_Equations_FieldBurning.VEERG_6_4_1_1__3__MassOfCropResidueBurnt_Title">_xlfn.LAMBDA("Mass of residue of crop c burnt")</definedName>
    <definedName name="AgResidue_Equations_FieldBurning.VEERG_6_4_1_1__3__MassOfCropResidueBurnt_Unit">_xlfn.LAMBDA("kg")</definedName>
    <definedName name="AgResidue_Equations_FieldBurning.VEERG_6_4_1_1__3__MassOfCropResidueBurnt_Variable">_xlfn.LAMBDA("Mburnc")</definedName>
    <definedName name="AgResidues_Equations_CropResidues.VEERG_6_1_1_1__1__NitrousOxideEmissionsFromCropResidues">_xlfn.LAMBDA(_xlpm.Mc,_xlpm.EFNi,_xlpm.CgN2O, _xlpm.Mc * _xlpm.EFNi * _xlpm.CgN2O * 10 ^ (-3))</definedName>
    <definedName name="AgResidues_Equations_CropResidues.VEERG_6_1_1_1__1__NitrousOxideEmissionsFromCropResidues_Arguments">_xlfn.LAMBDA(_xlfn.MAKEARRAY(5, 2, _xlfn.LAMBDA(_xlpm.r,_xlpm.c, INDEX({"Mc","mass of nitrogen in crop c residues returned to the soil (kg N)";"EFNi","emission factor for crop residues returned to the soil (kg N2O-N/kg N)";"CgN2O","factor to convert elemental mass of nitrous oxide to molecular mass (dimensionless)";"c","Crop type";"i","Climate zone"}, _xlpm.r, _xlpm.c))))</definedName>
    <definedName name="AgResidues_Equations_CropResidues.VEERG_6_1_1_1__1__NitrousOxideEmissionsFromCropResidues_FunctionName">_xlfn.LAMBDA("VEERG_6_1_1_1__1__NitrousOxideEmissionsFromCropResidues")</definedName>
    <definedName name="AgResidues_Equations_CropResidues.VEERG_6_1_1_1__1__NitrousOxideEmissionsFromCropResidues_LatexEquation">_xlfn.LAMBDA("E=\sum_{c}{M_{c}\times EF_{N}\times C_{g,N2O}\times 10^{-3}}")</definedName>
    <definedName name="AgResidues_Equations_CropResidues.VEERG_6_1_1_1__1__NitrousOxideEmissionsFromCropResidues_NIRReference">_xlfn.LAMBDA("")</definedName>
    <definedName name="AgResidues_Equations_CropResidues.VEERG_6_1_1_1__1__NitrousOxideEmissionsFromCropResidues_Source">_xlfn.LAMBDA("VEERG 2026: 6.1.1.1, Equation (1)")</definedName>
    <definedName name="AgResidues_Equations_CropResidues.VEERG_6_1_1_1__1__NitrousOxideEmissionsFromCropResidues_Title">_xlfn.LAMBDA("Nitrous oxide emissions from the return of crop residues across all crops c to the soil")</definedName>
    <definedName name="AgResidues_Equations_CropResidues.VEERG_6_1_1_1__1__NitrousOxideEmissionsFromCropResidues_Unit">_xlfn.LAMBDA("t N2O")</definedName>
    <definedName name="AgResidues_Equations_CropResidues.VEERG_6_1_1_1__1__NitrousOxideEmissionsFromCropResidues_Variable">_xlfn.LAMBDA("E")</definedName>
    <definedName name="AgResidues_Equations_CropResidues.VEERG_6_1_1_1__2__MassOfNitrogenInCropResidues">_xlfn.LAMBDA(_xlpm.Pc,_xlpm.RAGc,_xlpm.Fc,_xlpm.FFODc,_xlpm.DMc,_xlpm.NCAGc,_xlpm.RBGc,_xlpm.NCBGc, (_xlpm.Pc * _xlpm.RAGc * (1 - _xlpm.Fc - _xlpm.FFODc) * _xlpm.DMc * _xlpm.NCAGc) + (_xlpm.Pc * _xlpm.RAGc * _xlpm.RBGc * _xlpm.DMc * _xlpm.NCBGc))</definedName>
    <definedName name="AgResidues_Equations_CropResidues.VEERG_6_1_1_1__2__MassOfNitrogenInCropResidues_Arguments">_xlfn.LAMBDA(_xlfn.MAKEARRAY(10, 2, _xlfn.LAMBDA(_xlpm.r,_xlpm.c, INDEX({"Pc","annual production of crop c (kg)";"RAGc","residue to crop ratio for crop c (dimensionless)";"RBGc","below ground-residue to above ground residue ratio for crop c (dimensionless)";"Fc","fraction of crop residue that is burnt for crop c (dimensionless)";"FFODc","fraction of the crop residue that is removed for crop c (dimensionless)";"DMc","dry matter content of crop c (kg dry weight/kg crop residue)";"NCAGc","nitrogen content of above-ground crop residue of crop c (kg N/kg DM)";"NCBGc","nitrogen content of below-ground crop residue of crop c (kg N/kg DM)";"c","Crop type";"State","State or territory"}, _xlpm.r, _xlpm.c))))</definedName>
    <definedName name="AgResidues_Equations_CropResidues.VEERG_6_1_1_1__2__MassOfNitrogenInCropResidues_LatexEquation">_xlfn.LAMBDA("M_{c}=(P_{c}\times R_{AGc}\times(1-F_{c}-FFOD_{c})\times DM_{c}\times NC_{AGc})+(P_{c}\times R_{AGc}\times R_{BGc}\times DM_{c}\times NC_{BGc})")</definedName>
    <definedName name="AgResidues_Equations_CropResidues.VEERG_6_1_1_1__2__MassOfNitrogenInCropResidues_NIRReference">_xlfn.LAMBDA("")</definedName>
    <definedName name="AgResidues_Equations_CropResidues.VEERG_6_1_1_1__2__MassOfNitrogenInCropResidues_Source">_xlfn.LAMBDA("VEERG 2026: 6.1.1.1, Equation (2)")</definedName>
    <definedName name="AgResidues_Equations_CropResidues.VEERG_6_1_1_1__2__MassOfNitrogenInCropResidues_Title">_xlfn.LAMBDA("Mass of nitrogen in crop residues returned to the soil")</definedName>
    <definedName name="AgResidues_Equations_CropResidues.VEERG_6_1_1_1__2__MassOfNitrogenInCropResidues_Unit">_xlfn.LAMBDA("kg N")</definedName>
    <definedName name="AgResidues_Equations_CropResidues.VEERG_6_1_1_1__2__MassOfNitrogenInCropResidues_Variable">_xlfn.LAMBDA("Mc")</definedName>
    <definedName name="AgResidues_Equations_CropResidues.VEERG_6_1_1_2__1__FractionOfCropResidueRemovedBaled">_xlfn.LAMBDA(_xlpm.B,_xlpm.MB,_xlpm.Pc,_xlpm.RAGc, IFERROR((_xlpm.B * _xlpm.MB) / (_xlpm.Pc * _xlpm.RAGc), 0))</definedName>
    <definedName name="AgResidues_Equations_CropResidues.VEERG_6_1_1_2__1__FractionOfCropResidueRemovedBaled_Arguments">_xlfn.LAMBDA(_xlfn.MAKEARRAY(5, 2, _xlfn.LAMBDA(_xlpm.r,_xlpm.c, INDEX({"B","number of bales generated (dimensionless)";"MB","mass of each bale (kg)";"Pc","annual production of crop c (kg)";"RAGc","residue to crop ratio for crop c (dimensionless)";"c","Crop type"}, _xlpm.r, _xlpm.c))))</definedName>
    <definedName name="AgResidues_Equations_CropResidues.VEERG_6_1_1_2__1__FractionOfCropResidueRemovedBaled_LatexEquation">_xlfn.LAMBDA("FFOD_{c,baled}=\frac{B\times M_{B}}{P_{c}\times R_{AG,c}}")</definedName>
    <definedName name="AgResidues_Equations_CropResidues.VEERG_6_1_1_2__1__FractionOfCropResidueRemovedBaled_NIRReference">_xlfn.LAMBDA("")</definedName>
    <definedName name="AgResidues_Equations_CropResidues.VEERG_6_1_1_2__1__FractionOfCropResidueRemovedBaled_Source">_xlfn.LAMBDA("VEERG 2026: 6.1.1.2, Equation (1)")</definedName>
    <definedName name="AgResidues_Equations_CropResidues.VEERG_6_1_1_2__1__FractionOfCropResidueRemovedBaled_Title">_xlfn.LAMBDA("Fraction of crop residue that is removed for crop c, calculated where residues are baled")</definedName>
    <definedName name="AgResidues_Equations_CropResidues.VEERG_6_1_1_2__1__FractionOfCropResidueRemovedBaled_Unit">_xlfn.LAMBDA("dimensionless")</definedName>
    <definedName name="AgResidues_Equations_CropResidues.VEERG_6_1_1_2__1__FractionOfCropResidueRemovedBaled_Variable">_xlfn.LAMBDA("FFODcbaled")</definedName>
    <definedName name="AgResidues_Equations_CropResidues.VEERG_6_1_1_2__1__FractionOfCropResidueRemovedBaled_Variation">_xlfn.LAMBDA("VARIATION FROM SOURCE: Added 'baled' to variable subscript")</definedName>
    <definedName name="AgResidues_Equations_CropResidues.VEERG_6_1_1_2__1a__FractionOfCropResidueRemoved">_xlfn.LAMBDA(_xlpm.FFODcbaled,_xlpm.FFODcother, _xlpm.FFODcbaled + _xlpm.FFODcother)</definedName>
    <definedName name="AgResidues_Equations_CropResidues.VEERG_6_1_1_2__1a__FractionOfCropResidueRemoved_Arguments">_xlfn.LAMBDA(_xlfn.MAKEARRAY(2, 2, _xlfn.LAMBDA(_xlpm.r,_xlpm.c, INDEX({"FFODcbaled","Fraction of crop residue that is removed for crop c, calculated where residues are baled";"FFODcother","Fraction of crop residue that is removed for crop c, calculated where residues are removed by other means"}, _xlpm.r, _xlpm.c))))</definedName>
    <definedName name="AgResidues_Equations_CropResidues.VEERG_6_1_1_2__1a__FractionOfCropResidueRemoved_LatexEquation">_xlfn.LAMBDA("FFOD_{c} = FFOD_{c,baled} + FFOD_{c,other}")</definedName>
    <definedName name="AgResidues_Equations_CropResidues.VEERG_6_1_1_2__1a__FractionOfCropResidueRemoved_NIRReference">_xlfn.LAMBDA("")</definedName>
    <definedName name="AgResidues_Equations_CropResidues.VEERG_6_1_1_2__1a__FractionOfCropResidueRemoved_Source">_xlfn.LAMBDA("")</definedName>
    <definedName name="AgResidues_Equations_CropResidues.VEERG_6_1_1_2__1a__FractionOfCropResidueRemoved_Title">_xlfn.LAMBDA("Fraction of crop residue that is removed for crop c")</definedName>
    <definedName name="AgResidues_Equations_CropResidues.VEERG_6_1_1_2__1a__FractionOfCropResidueRemoved_Unit">_xlfn.LAMBDA("dimensionless")</definedName>
    <definedName name="AgResidues_Equations_CropResidues.VEERG_6_1_1_2__1a__FractionOfCropResidueRemoved_Variable">_xlfn.LAMBDA("FFODc")</definedName>
    <definedName name="AgResidues_Equations_CropResidues.VEERG_6_1_1_2__1a__FractionOfCropResidueRemoved_Variation">_xlfn.LAMBDA("VARIATION FROM SOURCE: Added this equation to accommodate user-defined residue removal other than baling.")</definedName>
    <definedName name="AgResidues_Equations_Leaching.VEERG_6_3_1_1__1__LeachingAndRunoffEmissionsCropAndPastureResidue">_xlfn.LAMBDA(_xlpm.Mleachcp,_xlpm.EFleach,_xlpm.CgN2O, _xlpm.Mleachcp * _xlpm.EFleach * _xlpm.CgN2O * 10 ^ (-3))</definedName>
    <definedName name="AgResidues_Equations_Leaching.VEERG_6_3_1_1__1__LeachingAndRunoffEmissionsCropAndPastureResidue_Arguments">_xlfn.LAMBDA(_xlfn.MAKEARRAY(5, 2, _xlfn.LAMBDA(_xlpm.r,_xlpm.c, INDEX({"Mleachcp","mass of nitrogen lost through leaching and runoff from the crop residue c or pasture residue p (kg N)";"EFleach","emission factor for leaching and runoff (kg N2O-N/kg N)";"CgN2O","factor to convert elemental mass of nitrous oxide to molecular mass (dimensionless)";"c","Crop residue type";"p","Pasture residue type"}, _xlpm.r, _xlpm.c))))</definedName>
    <definedName name="AgResidues_Equations_Leaching.VEERG_6_3_1_1__1__LeachingAndRunoffEmissionsCropAndPastureResidue_LatexEquation">_xlfn.LAMBDA("E_{N2O}=\sum_{c}\sum_{p}(M_{leach,cp}\times EF_{leach}\times Cg_{N2O}\times 10^{-3})")</definedName>
    <definedName name="AgResidues_Equations_Leaching.VEERG_6_3_1_1__1__LeachingAndRunoffEmissionsCropAndPastureResidue_NIRReference">_xlfn.LAMBDA("")</definedName>
    <definedName name="AgResidues_Equations_Leaching.VEERG_6_3_1_1__1__LeachingAndRunoffEmissionsCropAndPastureResidue_Source">_xlfn.LAMBDA("VEERG 2026: 6.3.1.1, Equation (1)")</definedName>
    <definedName name="AgResidues_Equations_Leaching.VEERG_6_3_1_1__1__LeachingAndRunoffEmissionsCropAndPastureResidue_Title">_xlfn.LAMBDA("Nitrous oxide leaching and runoff emissions from crop and pasture residues returned to the soil")</definedName>
    <definedName name="AgResidues_Equations_Leaching.VEERG_6_3_1_1__1__LeachingAndRunoffEmissionsCropAndPastureResidue_Unit">_xlfn.LAMBDA("t N2O")</definedName>
    <definedName name="AgResidues_Equations_Leaching.VEERG_6_3_1_1__1__LeachingAndRunoffEmissionsCropAndPastureResidue_Variable">_xlfn.LAMBDA("EN2O")</definedName>
    <definedName name="AgResidues_Equations_Leaching.VEERG_6_3_1_1__2__MassOfNitrogenLostThroughLeachingAndRunoff">_xlfn.LAMBDA(_xlpm.Mcp,_xlpm.FracWETzir,_xlpm.FracLEACH, _xlpm.Mcp * _xlpm.FracWETzir * _xlpm.FracLEACH)</definedName>
    <definedName name="AgResidues_Equations_Leaching.VEERG_6_3_1_1__2__MassOfNitrogenLostThroughLeachingAndRunoff_Arguments">_xlfn.LAMBDA(_xlfn.MAKEARRAY(7, 2, _xlfn.LAMBDA(_xlpm.r,_xlpm.c, INDEX({"Mcp","mass of nitrogen in crop residues c or pasture residues p applied to soils (kg N)";"FracWETzir","fraction of N that is available for leaching and runoff from the leaching zone z and irrigation type ir (dimensionless)";"FracLEACH","fraction of N that is lost through leaching and runoff (dimensionless)";"z","Location in leaching zone (dimensionless)";"c","Crop residue type";"p","Pasture residue type";"ir","Irrigation type"}, _xlpm.r, _xlpm.c))))</definedName>
    <definedName name="AgResidues_Equations_Leaching.VEERG_6_3_1_1__2__MassOfNitrogenLostThroughLeachingAndRunoff_LatexEquation">_xlfn.LAMBDA("M_{leach,cp}=M_{cp}\times FracWET_{z,ir}\times FracLEACH")</definedName>
    <definedName name="AgResidues_Equations_Leaching.VEERG_6_3_1_1__2__MassOfNitrogenLostThroughLeachingAndRunoff_NIRReference">_xlfn.LAMBDA("")</definedName>
    <definedName name="AgResidues_Equations_Leaching.VEERG_6_3_1_1__2__MassOfNitrogenLostThroughLeachingAndRunoff_Source">_xlfn.LAMBDA("VEERG 2026: 6.3.1.1, Equation (2)")</definedName>
    <definedName name="AgResidues_Equations_Leaching.VEERG_6_3_1_1__2__MassOfNitrogenLostThroughLeachingAndRunoff_Title">_xlfn.LAMBDA("Mass of nitrogen lost through leaching and runoff")</definedName>
    <definedName name="AgResidues_Equations_Leaching.VEERG_6_3_1_1__2__MassOfNitrogenLostThroughLeachingAndRunoff_Unit">_xlfn.LAMBDA("kg N")</definedName>
    <definedName name="AgResidues_Equations_Leaching.VEERG_6_3_1_1__2__MassOfNitrogenLostThroughLeachingAndRunoff_Variable">_xlfn.LAMBDA("Mleachcp")</definedName>
    <definedName name="AgResidues_Equations_Leaching.VEERG_6_3_1_1__2__MassOfNitrogenLostThroughLeachingAndRunoff_Variation">_xlfn.LAMBDA("VARIATION FROM SOURCE: Added criteria for leaching zone z and irrigation type ir. Removed production system criteria j.")</definedName>
    <definedName name="AgResidues_Equations_PastureResidues.VEERG_6_2_1_1__1__NitrousOxideEmissionsFromPastureResidues">_xlfn.LAMBDA(_xlpm.Mp,_xlpm.EFNi,_xlpm.CN2O, _xlpm.Mp * _xlpm.EFNi * _xlpm.CN2O * 10 ^ (-3))</definedName>
    <definedName name="AgResidues_Equations_PastureResidues.VEERG_6_2_1_1__1__NitrousOxideEmissionsFromPastureResidues_Arguments">_xlfn.LAMBDA(_xlfn.MAKEARRAY(5, 2, _xlfn.LAMBDA(_xlpm.r,_xlpm.c, INDEX({"Mp","mass of nitrogen in pasture p residues returned to the soil (kg N)";"EFNi","emission factor for crop residues returned to the soil in climate zone i (kg N2O-N/kg N)";"CgN2O","factor to convert elemental mass of nitrous oxide to molecular mass (dimensionless)";"p","Pasture type";"i","Climate zone"}, _xlpm.r, _xlpm.c))))</definedName>
    <definedName name="AgResidues_Equations_PastureResidues.VEERG_6_2_1_1__1__NitrousOxideEmissionsFromPastureResidues_FunctionName">_xlfn.LAMBDA("VEERG_6_2_1_1__1__NitrousOxideEmissionsFromPastureResidues")</definedName>
    <definedName name="AgResidues_Equations_PastureResidues.VEERG_6_2_1_1__1__NitrousOxideEmissionsFromPastureResidues_LatexEquation">_xlfn.LAMBDA("E_{N2O}=\sum_{p}\left(M_p\times EF_{Ni}\times C_{N2O}\times{10}^{-3}\right)")</definedName>
    <definedName name="AgResidues_Equations_PastureResidues.VEERG_6_2_1_1__1__NitrousOxideEmissionsFromPastureResidues_NIRReference">_xlfn.LAMBDA("")</definedName>
    <definedName name="AgResidues_Equations_PastureResidues.VEERG_6_2_1_1__1__NitrousOxideEmissionsFromPastureResidues_Source">_xlfn.LAMBDA("VEERG 2026: 6.2.1.1, Equation (1)")</definedName>
    <definedName name="AgResidues_Equations_PastureResidues.VEERG_6_2_1_1__1__NitrousOxideEmissionsFromPastureResidues_Title">_xlfn.LAMBDA("Nitrous oxide emissions from the return of pasture residues from all pasture types to the soil")</definedName>
    <definedName name="AgResidues_Equations_PastureResidues.VEERG_6_2_1_1__1__NitrousOxideEmissionsFromPastureResidues_Unit">_xlfn.LAMBDA("t N2O")</definedName>
    <definedName name="AgResidues_Equations_PastureResidues.VEERG_6_2_1_1__1__NitrousOxideEmissionsFromPastureResidues_Variable">_xlfn.LAMBDA("EN2O")</definedName>
    <definedName name="AgResidues_Equations_PastureResidues.VEERG_6_2_1_1__2__MassOfNitrogenInPastureResidues">_xlfn.LAMBDA(_xlpm.Ap,_xlpm.Yp,_xlpm.FFODp,_xlpm.NCAGp,_xlpm.RBGp,_xlpm.NCBGp, (_xlpm.Ap * (_xlpm.Yp * 10 ^ (-3)) * (1 - _xlpm.FFODp) * _xlpm.NCAGp) + (_xlpm.Ap * (_xlpm.Yp * 10 ^ (-3)) * _xlpm.RBGp * _xlpm.NCBGp))</definedName>
    <definedName name="AgResidues_Equations_PastureResidues.VEERG_6_2_1_1__2__MassOfNitrogenInPastureResidues_Arguments">_xlfn.LAMBDA(_xlfn.MAKEARRAY(7, 2, _xlfn.LAMBDA(_xlpm.r,_xlpm.c, INDEX({"Ap","area of pasture renewed or removed (ha)";"Yp","average yield of pasture crop (t DM/ha)";"NCAGp","N content of above-ground pasture residue (kg N/kg DM)";"RBGp","below-ground residue to above-ground residue ratio for pasture crop (dimensionless)";"NCBGp","N content of below-ground pasture crop residue (kg N/kg DM)";"FFODp","fraction of pasture yield that is removed (dimensionless)";"p","Pasture type"}, _xlpm.r, _xlpm.c))))</definedName>
    <definedName name="AgResidues_Equations_PastureResidues.VEERG_6_2_1_1__2__MassOfNitrogenInPastureResidues_FunctionName">_xlfn.LAMBDA("VEERG_6_2_1_1__2__MassOfNitrogenInPastureResidues")</definedName>
    <definedName name="AgResidues_Equations_PastureResidues.VEERG_6_2_1_1__2__MassOfNitrogenInPastureResidues_LatexEquation">_xlfn.LAMBDA("M_p = (A_p \times (Y_p \times 10^{-3}) \times (1- FFOD_p) \times NC_{AGp}) + (A_p \times (Y_p \times 10^{-3})\times R_{BGp} \times NC_{BGp})")</definedName>
    <definedName name="AgResidues_Equations_PastureResidues.VEERG_6_2_1_1__2__MassOfNitrogenInPastureResidues_NIRReference">_xlfn.LAMBDA("")</definedName>
    <definedName name="AgResidues_Equations_PastureResidues.VEERG_6_2_1_1__2__MassOfNitrogenInPastureResidues_Source">_xlfn.LAMBDA("VEERG 2026: 6.2.1.1, Equation (2)")</definedName>
    <definedName name="AgResidues_Equations_PastureResidues.VEERG_6_2_1_1__2__MassOfNitrogenInPastureResidues_Title">_xlfn.LAMBDA("Mass of nitrogen in pasture residues returned to the soil")</definedName>
    <definedName name="AgResidues_Equations_PastureResidues.VEERG_6_2_1_1__2__MassOfNitrogenInPastureResidues_Unit">_xlfn.LAMBDA("kg N")</definedName>
    <definedName name="AgResidues_Equations_PastureResidues.VEERG_6_2_1_1__2__MassOfNitrogenInPastureResidues_Variable">_xlfn.LAMBDA("Mp")</definedName>
    <definedName name="AgResidues_SourceData.BurningOfAgriculturalResiduesEFs_Data">_xlfn.LAMBDA(_xlfn.MAKEARRAY(6, 3, _xlfn.LAMBDA(_xlpm.r,_xlpm.c, INDEX({"Gas species","Emission factor EFg (Gg element in species/ Gg element in fuel burnt)","Elemental to molecular mass conversion factor (Cg)";"CH4",0.0035,"16/12";"N2O",0.0076,"44/28";"NOx",0.21,"46/14";"CO",0.078,"28/12";"NMVOC",0.0091,"14/12"}, _xlpm.r, _xlpm.c))))</definedName>
    <definedName name="AgResidues_SourceData.BurningOfAgriculturalResiduesEFs_Description">_xlfn.LAMBDA(("Burning of agricultural residues - EFs"))</definedName>
    <definedName name="AgResidues_SourceData.BurningOfAgriculturalResiduesEFs_Source">_xlfn.LAMBDA(("National Inventory Report 2023 volume 2: Table 5.31: Burning of agricultural residues - EFs"))</definedName>
    <definedName name="AgResidues_SourceData.BurningOfAgriculturalResiduesEFs_Title">_xlfn.LAMBDA(("Table 5.31 Burning of agricultural residues - EFs"))</definedName>
    <definedName name="AgResidues_SourceData.CropAttributes_Data">_xlfn.LAMBDA(_xlfn.MAKEARRAY(20, 9, _xlfn.LAMBDA(_xlpm.r,_xlpm.c, INDEX({"Crop type","Residue: Crop ratio","Below-ground: above-ground residue ratio","Dry matter content","Carbon fraction in dry matter","N content above-ground","N content below-ground","Fraction of residue remaining at time of burning","Burning efficiencyt";"c","RAGc","RBGc","DMc","CCc","NCAGc","NCBGc","Sc","Zc";"Wheat",1.5,0.29,0.88,0.4,0.006,0.01,0.5,0.9;"Barley",1.24,0.32,0.88,0.4,0.007,0.01,0.5,0.85;"Maize",0.81,0.39,0.85,0.42,0.005,0.007,1,0.8;"Oats",1.42,0.43,0.88,0.4,0.006,0.01,0.5,0.85;"Rice",1.31,0.16,0.8,0.42,0.007,0.01,1,0.8;"Sorghum",1.5,0.22,0.8,0.4,0.008,0.007,0.5,0.85;"Triticale",1.5,0.42,0.88,0.4,0.006,0.01,0.5,0.85;"Other cereals",1.46,0.36,0.88,0.4,0.006,0.01,0.5,0.85;"Pulses",1.37,0.51,0.87,0.4,0.009,0.01,0.5,0.85;"Tubers and roots",0.34,0.43,0.25,0.4,0.02,0.01,"n/a",0.85;"Peanuts",1.07,0.2,0.8,0.42,0.016,0.014,0.5,0.85;"Sugar cane",0.25,0.45,0.2,0.4,0.005,0.007,1,0.8;"Cotton",1.9,0.3,0.9,0.4,0.01,0.01,"n/a",0.85;"Hops",1.5,0.29,0.88,0.4,0.006,"n/a","n/a",0.85;"Oilseeds",2.08,0.33,0.96,0.4,0.009,0.01,0.5,0.85;"Forage crops",1.34,0.37,0.88,0.4,0.006,0.01,"n/a",0.85;"Other annual crops",1,0.22,0.85,0.4,0.008,0.009,"n/a","n/a";"Other perennial crops",1.5,0.29,0.88,0.4,0.006,"n/a","n/a","n/a"}, _xlpm.r, _xlpm.c))))</definedName>
    <definedName name="AgResidues_SourceData.CropAttributes_Description">_xlfn.LAMBDA(("Crop attributes"))</definedName>
    <definedName name="AgResidues_SourceData.CropAttributes_Source">_xlfn.LAMBDA(("VEERG 2026: Table A.2.1.1: Crop attributes"))</definedName>
    <definedName name="AgResidues_SourceData.CropAttributes_Title">_xlfn.LAMBDA(("Table A.2.1.1: Crop attributes"))</definedName>
    <definedName name="AgResidues_SourceData.CropAttributes_Variation">_xlfn.LAMBDA(("VARIATION FROM SOURCE: 'N/A' values passed as zero for calculations."))</definedName>
    <definedName name="AgResidues_SourceData.CropFractionRemoved_CustomisedData">_xlfn.LAMBDA(_xlfn.MAKEARRAY(144, 3, _xlfn.LAMBDA(_xlpm.r,_xlpm.c, INDEX({"Crop type c","State","Fraction removed FFODc";"Rice","NSW",0.06;"Rice","VIC",0.06;"Rice","QLD",0.06;"Rice","SA",0.06;"Rice","WA",0.06;"Rice","TAS",0.06;"Rice","NT",0.06;"Rice","ACT",0.06;"Tubers and roots","NSW",1;"Tubers and roots","VIC",1;"Tubers and roots","QLD",1;"Tubers and roots","SA",1;"Tubers and roots","WA",1;"Tubers and roots","TAS",1;"Tubers and roots","NT",1;"Tubers and roots","ACT",1;"Cotton","NSW",0;"Cotton","VIC",0;"Cotton","QLD",0;"Cotton","SA",0;"Cotton","WA",0;"Cotton","TAS",0;"Cotton","NT",0;"Cotton","ACT",0;"Hops","NSW",0;"Hops","VIC",0;"Hops","QLD",0;"Hops","SA",0;"Hops","WA",0;"Hops","TAS",0;"Hops","NT",0;"Hops","ACT",0;"Forage crops","NSW",0.8;"Forage crops","VIC",0.8;"Forage crops","QLD",0.8;"Forage crops","SA",0.8;"Forage crops","WA",0.8;"Forage crops","TAS",0.8;"Forage crops","NT",0.8;"Forage crops","ACT",0.8;"Sugar Cane","NSW",0;"Sugar Cane","VIC","N/A";"Sugar Cane","QLD",0.03;"Sugar Cane","SA","N/A";"Sugar Cane","WA",0;"Sugar Cane","TAS","N/A";"Sugar Cane","NT","N/A";"Sugar Cane","ACT","N/A";"Wheat","NSW",0.05;"Wheat","VIC",0.07;"Wheat","QLD",0.04;"Wheat","SA",0.09;"Wheat","WA",0.11;"Wheat","TAS",0.16;"Wheat","NT",0.01;"Wheat","ACT",0;"Barley","NSW",0.05;"Barley","VIC",0.07;"Barley","QLD",0.04;"Barley","SA",0.09;"Barley","WA",0.11;"Barley","TAS",0.16;"Barley","NT",0.01;"Barley","ACT",0;"Maize","NSW",0.05;"Maize","VIC",0.07;"Maize","QLD",0.04;"Maize","SA",0.09;"Maize","WA",0.11;"Maize","TAS",0.16;"Maize","NT",0.01;"Maize","ACT",0;"Oats","NSW",0.05;"Oats","VIC",0.07;"Oats","QLD",0.04;"Oats","SA",0.09;"Oats","WA",0.11;"Oats","TAS",0.16;"Oats","NT",0.01;"Oats","ACT",0;"Sorghum","NSW",0.05;"Sorghum","VIC",0.07;"Sorghum","QLD",0.04;"Sorghum","SA",0.09;"Sorghum","WA",0.11;"Sorghum","TAS",0.16;"Sorghum","NT",0.01;"Sorghum","ACT",0;"Triticale","NSW",0.05;"Triticale","VIC",0.07;"Triticale","QLD",0.04;"Triticale","SA",0.09;"Triticale","WA",0.11;"Triticale","TAS",0.16;"Triticale","NT",0.01;"Triticale","ACT",0;"Other cereals","NSW",0.05;"Other cereals","VIC",0.07;"Other cereals","QLD",0.04;"Other cereals","SA",0.09;"Other cereals","WA",0.11;"Other cereals","TAS",0.16;"Other cereals","NT",0.01;"Other cereals","ACT",0;"Pulses","NSW",0.05;"Pulses","VIC",0.07;"Pulses","QLD",0.04;"Pulses","SA",0.09;"Pulses","WA",0.11;"Pulses","TAS",0.16;"Pulses","NT",0.01;"Pulses","ACT",0;"Peanuts","NSW",0.05;"Peanuts","VIC",0.07;"Peanuts","QLD",0.04;"Peanuts","SA",0.09;"Peanuts","WA",0.11;"Peanuts","TAS",0.16;"Peanuts","NT",0.01;"Peanuts","ACT",0;"Oilseeds","NSW",0.05;"Oilseeds","VIC",0.07;"Oilseeds","QLD",0.04;"Oilseeds","SA",0.09;"Oilseeds","WA",0.11;"Oilseeds","TAS",0.16;"Oilseeds","NT",0.01;"Oilseeds","ACT",0;"Other annual crops","NSW",0.05;"Other annual crops","VIC",0.07;"Other annual crops","QLD",0.04;"Other annual crops","SA",0.09;"Other annual crops","WA",0.11;"Other annual crops","TAS",0.16;"Other annual crops","NT",0.01;"Other annual crops","ACT",0;"Other perennial crops","NSW",0.05;"Other perennial crops","VIC",0.07;"Other perennial crops","QLD",0.04;"Other perennial crops","SA",0.09;"Other perennial crops","WA",0.11;"Other perennial crops","TAS",0.16;"Other perennial crops","NT",0.01;"Other perennial crops","ACT",0}, _xlpm.r, _xlpm.c))))</definedName>
    <definedName name="AgResidues_SourceData.CropFractionRemoved_Data">_xlfn.LAMBDA(_xlfn.MAKEARRAY(20, 3, _xlfn.LAMBDA(_xlpm.r,_xlpm.c, INDEX({"Crop type c","State","Fraction removed FFODc";"Rice","All states",0.06;"Tubers and roots","All states",1;"Cotton","All states",0;"Hops","All states",0;"Forage crops","All states",0.8;"Sugar Cane","NSW",0;"Sugar Cane","QLD",0.03;"Sugar Cane","WA",0;"All other crop types","NSW",0.05;"All other crop types","VIC",0.07;"All other crop types","QLD",0.04;"All other crop types","SA",0.09;"All other crop types","WA",0.11;"All other crop types","TAS",0.16;"All other crop types","NT",0.01;"All other crop types","ACT",0}, _xlpm.r, _xlpm.c))))</definedName>
    <definedName name="AgResidues_SourceData.CropFractionRemoved_Description">_xlfn.LAMBDA(("Crop attributes - Fraction removed (FFODc)"))</definedName>
    <definedName name="AgResidues_SourceData.CropFractionRemoved_Source">_xlfn.LAMBDA(("VEERG 2026: Table A.2.1.2: Crop attributes - Fraction removed (FFODc)"))</definedName>
    <definedName name="AgResidues_SourceData.CropFractionRemoved_Title">_xlfn.LAMBDA(("Table A.2.1.2: Crop attributes - Fraction removed (FFODc)"))</definedName>
    <definedName name="AgResidues_SourceData.CropFractionRemoved_Variation">_xlfn.LAMBDA(("VARIATION OF SOURCE DATA: Split 'All other crop types' into individual crop types for each state. Listed all states for Sugar Cane, with 'N/A' for states where it is not grown."))</definedName>
    <definedName name="AgResidues_SourceData.PastureAttributes_Data">_xlfn.LAMBDA(_xlfn.MAKEARRAY(6, 6, _xlfn.LAMBDA(_xlpm.r,_xlpm.c, INDEX({"Pasture type","Average Yield (t DM ha) Yp","Below-ground: above-ground residue ratio RBGp","N content Above-ground NCAGp","N content Below-ground NCBGp","Fraction of pasture yield that is removed FFODp";"Annual grass",4.41,0.4,0.015,0.012,0.8;"Grass clover mixture",8.34,0.8,0.025,0.016,0.8;"Lucerne",8.62,0.4,0.027,0.019,0.8;"Other legume",5.62,0.4,0.027,0.022,0.8;"Perennial pasture",8.35,0.8,0.015,0.012,0.8}, _xlpm.r, _xlpm.c))))</definedName>
    <definedName name="AgResidues_SourceData.PastureAttributes_Description">_xlfn.LAMBDA(("Pasture attributes"))</definedName>
    <definedName name="AgResidues_SourceData.PastureAttributes_Source">_xlfn.LAMBDA(("VEERG 2026: Table A.2.1.3: Pasture attributes"))</definedName>
    <definedName name="AgResidues_SourceData.PastureAttributes_Title">_xlfn.LAMBDA(("Table A.2.1.3 Pasture attributes"))</definedName>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[0]!Common_InputFunctions.Utility_LookupValueInTableNumber(_xlpm.LeachingZone, _xlpm.LeachingZoneLookup, _xlpm.LeachingZoneFracWETLookup), _xlpm.ProductionSystemFracWET, [0]!Common_InputFunctions.Utility_LookupValueInTableNumber(_xlpm.ProductionSystem,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
        _xlpm.S,_xlpm.ProductionCycleStart,
        _xlpm.E,_xlpm.ProductionCycleEnd,
        _xlpm.m,MONTH(_xlpm.ReportingCycleStart),
        _xlpm.d,DAY(_xlpm.ReportingCycleStart),
        _xlpm.PeriodEnd,_xlfn.LAMBDA(_xlpm.st,EDATE(_xlpm.st,12)-1),
        _xlpm.A,_xlpm.S-365,
        _xlpm.ya,YEAR(_xlpm.A),
        _xlpm.yb,YEAR(_xlpm.E),
        _xlpm.firstYear,_xlpm.ya+(_xlpm.PeriodEnd(DATE(_xlpm.ya,_xlpm.m,_xlpm.d))&lt;_xlpm.S),
        _xlpm.lastYear,_xlpm.yb-(DATE(_xlpm.yb,_xlpm.m,_xlpm.d)&gt;_xlpm.E),
        _xlpm.n,MAX(0,_xlpm.lastYear-_xlpm.firstYear+1),
        _xlpm.yrs,_xlfn.SEQUENCE(_xlpm.n,1,_xlpm.firstYear,1),
        _xlpm.starts,DATE(_xlpm.yrs,_xlpm.m,_xlpm.d),
        _xlpm.ends,_xlfn.MAP(_xlpm.starts,_xlpm.PeriodEnd),
        _xlpm.tag,IF(_xlpm.starts=_xlpm.ReportingCycleStart," (This reporting cycle)",""),
        _xlpm.startsText,TEXT(_xlpm.starts,"dd mmm yyyy"),
        _xlpm.endsText,TEXT(_xlpm.ends,"dd mmm yyyy"),
        IF(_xlpm.n=0,"",_xlfn.HSTACK(_xlpm.startsText &amp; " to " &amp; _xlpm.endsText &amp; _xlpm.tag))
    )
)</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[0]!Common_InputFunctions.Utility_GetArrayTableRowStartNumber(_xlpm.TableheaderCell, _xlpm.RowsBetweenHeaderandArray), COLUMN() - [0]!Common_InputFunctions.Utility_GetArrayTableColumnStartNumber(_xlpm.TableheaderCell)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IFERROR(_xlfn.XLOOKUP(_xlpm.LookupValue1, _xlpm.LookupArray1, _xlfn.XLOOKUP(_xlpm.LookupValue2, _xlpm.LookupArray2, _xlpm.ReturnArray)), IF(_xlfn.ISOMITTED(_xlpm.ValueIfFalse), "", _xlpm.ValueIfFalse)))</definedName>
    <definedName name="Common_InputFunctions.Utility_LookupValueInTableTwoColumns">_xlfn.LAMBDA(_xlpm.LookupValue1,_xlpm.LookupValue2,_xlpm.LookupArray1,_xlpm.LookupArray2,_xlpm.ReturnArray,_xlop.ValueIFFalse, _xlfn.XLOOKUP(1, (_xlpm.LookupArray1 = _xlpm.LookupValue1) * (_xlpm.LookupArray2 = _xlpm.LookupValue2), _xlpm.ReturnArray, IF(_xlfn.ISOMITTED(_xlpm.ValueIFFalse), "", _xlpm.ValueIFFalse)))</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AgSoils_Equations.AgSoils_AtmosphericDeposition">_xlfn.LAMBDA(_xlpm.Mvolm,_xlpm.Efad,_xlpm.CgN2O, (_xlpm.Mvolm * _xlpm.Efad * _xlpm.CgN2O * 10 ^ -3))</definedName>
    <definedName name="CommonAgSoils_Equations.AgSoils_AtmosphericDeposition_Arguments">_xlfn.LAMBDA(_xlfn.MAKEARRAY(3, 3, _xlfn.LAMBDA(_xlpm.r,_xlpm.c, INDEX({"Mvolm","Mass of nitrogen volatilised from urine and faeces deposited on pasture","kg N";"EFad","Emission factor for atmospheric deposition","kg N2O-N/kg N";"CgN2O","Factor to convert elemental mass of N2O to molecular mass",""}, _xlpm.r, _xlpm.c))))</definedName>
    <definedName name="CommonAgSoils_Equations.AgSoils_AtmosphericDeposition_GWP">_xlfn.LAMBDA(_xlpm.EN2Oad,_xlpm.GWPN2O, (_xlpm.EN2Oad * _xlpm.GWPN2O))</definedName>
    <definedName name="CommonAgSoils_Equations.AgSoils_AtmosphericDeposition_NIRReference">_xlfn.LAMBDA("National Inventory Report Volume 1, 2023: 3.D.B_4")</definedName>
    <definedName name="CommonAgSoils_Equations.AgSoils_AtmosphericDeposition_ReadableEquation">_xlfn.LAMBDA("EN2Oad = Mvolm * EFad * CgN2O * 10 ^ - 3")</definedName>
    <definedName name="CommonAgSoils_Equations.AgSoils_AtmosphericDeposition_Title">_xlfn.LAMBDA("Atmospheric deposition emissions from urine and dung deposited by grazing animals on pasture, range and paddock")</definedName>
    <definedName name="CommonAgSoils_Equations.AgSoils_AtmosphericDeposition_Unit">_xlfn.LAMBDA("t N2O")</definedName>
    <definedName name="CommonAgSoils_Equations.AgSoils_AtmosphericDeposition_Variable">_xlfn.LAMBDA("EN2Oad")</definedName>
    <definedName name="CommonAgSoils_Equations.AgSoils_LeachingAndRunoff">_xlfn.LAMBDA(_xlpm.Mleach,_xlpm.EFleach,_xlpm.CgN2O, (_xlpm.Mleach * _xlpm.EFleach * _xlpm.CgN2O * 10 ^ -3))</definedName>
    <definedName name="CommonAgSoils_Equations.AgSoils_LeachingAndRunoff_Arguments">_xlfn.LAMBDA(_xlfn.MAKEARRAY(3, 3, _xlfn.LAMBDA(_xlpm.r,_xlpm.c, INDEX({"Mleach","Mass of nitrogen lost to leached and run off","kg N";"EFleach","Emission factor for leaching and runoff","kg N2O-N/kg N";"CgN2O","Factor to convert elemental mass of N2O to molecular mass",""}, _xlpm.r, _xlpm.c))))</definedName>
    <definedName name="CommonAgSoils_Equations.AgSoils_LeachingAndRunoff_GWP">_xlfn.LAMBDA(_xlpm.EN2Oleach,_xlpm.GWPN2O, (_xlpm.EN2Oleach * _xlpm.GWPN2O))</definedName>
    <definedName name="CommonAgSoils_Equations.AgSoils_LeachingAndRunoff_NIRReference">_xlfn.LAMBDA("National Inventory Report Volume 1, 2023: 3.D.B_10")</definedName>
    <definedName name="CommonAgSoils_Equations.AgSoils_LeachingAndRunoff_ReadableEquation">_xlfn.LAMBDA("EN2Oleach = Mleach * EFleach * CgN2O * 10 ^ - 3")</definedName>
    <definedName name="CommonAgSoils_Equations.AgSoils_LeachingAndRunoff_Title">_xlfn.LAMBDA("Leaching and runoff emissions from crop residue,inorganic and organic fertiliser applied to soil, urine and dung deposited on pasture")</definedName>
    <definedName name="CommonAgSoils_Equations.AgSoils_LeachingAndRunoff_Unit">_xlfn.LAMBDA("t N2O")</definedName>
    <definedName name="CommonAgSoils_Equations.AgSoils_LeachingAndRunoff_Variable">_xlfn.LAMBDA("EN2Oleach")</definedName>
    <definedName name="CommonAgSoils_Equations.AgSoils_MassAnimalWasteNLost">_xlfn.LAMBDA(_xlpm.MNjm,_xlpm.UNjm,_xlpm.FNjm,_xlpm.FracWET,_xlpm.FracLEACH, (_xlpm.MNjm + _xlpm.UNjm + _xlpm.FNjm) * _xlpm.FracWET * _xlpm.FracLEACH)</definedName>
    <definedName name="CommonAgSoils_Equations.AgSoils_MassAnimalWasteNLost_Arguments">_xlfn.LAMBDA(_xlfn.MAKEARRAY(3, 3, _xlfn.LAMBDA(_xlpm.r,_xlpm.c, INDEX({"MNjm","Mass of nitrogen in manure applied to soils","kg N";"UNjm","Mass of nitrogen in urine deposited on pasture, range and paddock","kg N";"FNjm","Mass of nitrogen in dung deposited on pasture,range and paddock","kg N";"FracWET","Fraction of nitrogen available for leaching and runoff in the climate zone of the entity","fraction";"FracLEACH","Fraction of nitrogen that is lost through leaching and runoff","fraction"}, _xlpm.r, _xlpm.c))))</definedName>
    <definedName name="CommonAgSoils_Equations.AgSoils_MassAnimalWasteNLost_NIRReference">_xlfn.LAMBDA("National Inventory Report Volume 1, 2023: 3.D.B_6")</definedName>
    <definedName name="CommonAgSoils_Equations.AgSoils_MassAnimalWasteNLost_ReadableEquation">_xlfn.LAMBDA("Mleachanimalwaste=(MNjm+UNjm+FNjm)*FracWET*FracLEACH")</definedName>
    <definedName name="CommonAgSoils_Equations.AgSoils_MassAnimalWasteNLost_Title">_xlfn.LAMBDA("Mass of nitrogen lost from manure, urine and dung to leaching and runoff")</definedName>
    <definedName name="CommonAgSoils_Equations.AgSoils_MassAnimalWasteNLost_Unit">_xlfn.LAMBDA("kg N")</definedName>
    <definedName name="CommonAgSoils_Equations.AgSoils_MassAnimalWasteNLost_Variable">_xlfn.LAMBDA("Mleachanimalwaste")</definedName>
    <definedName name="CommonAgSoils_Equations.AgSoils_MassCropResidueNLost">_xlfn.LAMBDA(_xlpm.M,_xlpm.FracWET,_xlpm.FracLEACH, _xlpm.M * _xlpm.FracWET * _xlpm.FracLEACH)</definedName>
    <definedName name="CommonAgSoils_Equations.AgSoils_MassCropResidueNLost_Arguments">_xlfn.LAMBDA(_xlfn.MAKEARRAY(3, 3, _xlfn.LAMBDA(_xlpm.r,_xlpm.c, INDEX({"M","Mass of nitrogen in crop residue applied to soils","kg N";"FracWET","Fraction of nitrogen available for leaching and runoff in the climate zone of the entity","fraction";"FracLEACH","Fraction of nitrogen that is lost through leaching and runoff","fraction"}, _xlpm.r, _xlpm.c))))</definedName>
    <definedName name="CommonAgSoils_Equations.AgSoils_MassCropResidueNLost_NIRReference">_xlfn.LAMBDA("National Inventory Report Volume 1, 2023: 3.D.B_8")</definedName>
    <definedName name="CommonAgSoils_Equations.AgSoils_MassCropResidueNLost_ReadableEquation">_xlfn.LAMBDA("Mleachresidue = M * FracWET * FracLEACH")</definedName>
    <definedName name="CommonAgSoils_Equations.AgSoils_MassCropResidueNLost_Title">_xlfn.LAMBDA("Mass of nitrogen lost from crop residue to leaching and runoff")</definedName>
    <definedName name="CommonAgSoils_Equations.AgSoils_MassCropResidueNLost_Unit">_xlfn.LAMBDA("kg N")</definedName>
    <definedName name="CommonAgSoils_Equations.AgSoils_MassCropResidueNLost_Variable">_xlfn.LAMBDA("Mleachresidue")</definedName>
    <definedName name="CommonAgSoils_Equations.AgSoils_MassInorganicFertiliserNLost">_xlfn.LAMBDA(_xlpm.M,_xlpm.FracWET,_xlpm.FracLEACH, _xlpm.M * _xlpm.FracWET * _xlpm.FracLEACH)</definedName>
    <definedName name="CommonAgSoils_Equations.AgSoils_MassInorganicFertiliserNLost_Arguments">_xlfn.LAMBDA(_xlfn.MAKEARRAY(3, 3, _xlfn.LAMBDA(_xlpm.r,_xlpm.c, INDEX({"M","Mass of nitrogen in inorganic fertiliser applied to soils","kg N";"FracWET","Fraction of nitrogen available for leaching and runoff in the climate zone of the entity","fraction";"FracLEACH","Fraction of nitrogen that is lost through leaching and runoff","fraction"}, _xlpm.r, _xlpm.c))))</definedName>
    <definedName name="CommonAgSoils_Equations.AgSoils_MassInorganicFertiliserNLost_NIRReference">_xlfn.LAMBDA("National Inventory Report Volume 1, 2023: 3.D.B_5")</definedName>
    <definedName name="CommonAgSoils_Equations.AgSoils_MassInorganicFertiliserNLost_ReadableEquation">_xlfn.LAMBDA("Mleachinorganic = M * FracWET * FracLEACH")</definedName>
    <definedName name="CommonAgSoils_Equations.AgSoils_MassInorganicFertiliserNLost_Title">_xlfn.LAMBDA("Mass of nitrogen lost from inorganic fertiliser to leaching and runoff")</definedName>
    <definedName name="CommonAgSoils_Equations.AgSoils_MassInorganicFertiliserNLost_Unit">_xlfn.LAMBDA("kg N")</definedName>
    <definedName name="CommonAgSoils_Equations.AgSoils_MassInorganicFertiliserNLost_Variable">_xlfn.LAMBDA("Mleachinorganic")</definedName>
    <definedName name="CommonAgSoils_Equations.AgSoils_MassVolatilisedAnimalWaste">_xlfn.LAMBDA(_xlpm.MNjm,_xlpm.UNjm,_xlpm.FNjm,_xlpm.FracGASMsoil, (_xlpm.MNjm + _xlpm.UNjm + _xlpm.FNjm) * _xlpm.FracGASMsoil)</definedName>
    <definedName name="CommonAgSoils_Equations.AgSoils_MassVolatilisedAnimalWaste_Arguments">_xlfn.LAMBDA(_xlfn.MAKEARRAY(4, 3, _xlfn.LAMBDA(_xlpm.r,_xlpm.c, INDEX({"MNjm","Mass of manure nitrogen applied to soils","kg N";"UNjm","Mass of urine nitrogen excreted on pasture, range and paddock for each dairy cattle class","kg N";"FNjm","Mass of faecal nitrogen excreted on pasture, range and paddock for each dairy cattle class","kg N";"FracGASMsoil","Fraction of nitrogen volatilised from urine and faeces deposited on pasture","(kg NH3-N + NOx-N)/kg N"}, _xlpm.r, _xlpm.c))))</definedName>
    <definedName name="CommonAgSoils_Equations.AgSoils_MassVolatilisedAnimalWaste_NIRReference">_xlfn.LAMBDA("National Inventory Report Volume 1, 2023: 3.D.B_2")</definedName>
    <definedName name="CommonAgSoils_Equations.AgSoils_MassVolatilisedAnimalWaste_ReadableEquation">_xlfn.LAMBDA("Mvolm = (MNjm + UNjm + FNjm) * FracGASMsoil")</definedName>
    <definedName name="CommonAgSoils_Equations.AgSoils_MassVolatilisedAnimalWaste_Title">_xlfn.LAMBDA("Mass of nitrogen volatilised from manure, urine and faeces deposited on soils")</definedName>
    <definedName name="CommonAgSoils_Equations.AgSoils_MassVolatilisedAnimalWaste_Unit">_xlfn.LAMBDA("kg N")</definedName>
    <definedName name="CommonAgSoils_Equations.AgSoils_MassVolatilisedAnimalWaste_Variable">_xlfn.LAMBDA("Mvolm")</definedName>
    <definedName name="CommonAgSoils_Equations.Agsoils_MassVolatilisedInorganicFertiliser">_xlfn.LAMBDA(_xlpm.MNf,_xlpm.FracGASFf, _xlpm.MNf * _xlpm.FracGASFf)</definedName>
    <definedName name="CommonAgSoils_Equations.Agsoils_MassVolatilisedInorganicFertiliser_Arguments">_xlfn.LAMBDA(_xlfn.MAKEARRAY(2, 3, _xlfn.LAMBDA(_xlpm.r,_xlpm.c, INDEX({"MNf","Mass of nitrogen in inorganic fertiliser applied","kg N";"FracGASFf","Fraction of inorganic fertiliser that volatilises","(kg NH3–N + NOx–N)/kg N"}, _xlpm.r, _xlpm.c))))</definedName>
    <definedName name="CommonAgSoils_Equations.Agsoils_MassVolatilisedInorganicFertiliser_NIRReference">_xlfn.LAMBDA("National Inventory Report Volume 1, 2023: 3.D.B_1")</definedName>
    <definedName name="CommonAgSoils_Equations.Agsoils_MassVolatilisedInorganicFertiliser_ReadableEquation">_xlfn.LAMBDA("Mvolinorganic = MNf * FracGASFf")</definedName>
    <definedName name="CommonAgSoils_Equations.Agsoils_MassVolatilisedInorganicFertiliser_Title">_xlfn.LAMBDA("Mass of nitrogen volatilised from inorganic fertiliser deposited on soils")</definedName>
    <definedName name="CommonAgSoils_Equations.Agsoils_MassVolatilisedInorganicFertiliser_Unit">_xlfn.LAMBDA("kg N")</definedName>
    <definedName name="CommonAgSoils_Equations.Agsoils_MassVolatilisedInorganicFertiliser_Variable">_xlfn.LAMBDA("Mvolinorganic")</definedName>
    <definedName name="CommonAgSoils_Equations.AgSoils_UrineAndDungDeposited">_xlfn.LAMBDA(_xlpm.AFjm,_xlpm.AUjm,_xlpm.EFPRP,_xlpm.CgN2O, ((_xlpm.AFjm * _xlpm.EFPRP * _xlpm.CgN2O) + (_xlpm.AUjm * _xlpm.EFPRP * _xlpm.CgN2O)) * 10 ^ -3)</definedName>
    <definedName name="CommonAgSoils_Equations.AgSoils_UrineAndDungDeposited_Arguments">_xlfn.LAMBDA(_xlfn.MAKEARRAY(4, 3, _xlfn.LAMBDA(_xlpm.r,_xlpm.c, INDEX({"AFjm","mass of N in dung deposited on pasture, range and paddock","kg N";"AUjm","mass of N in urine deposited on pasture, range and paddock","kg N";"EFPRP","direct N2O emission factor for pasture, range and paddock","kg N2O-N/kg N";"CgN2O","factor to convert elemental mass of N2O to molecular mass",""}, _xlpm.r, _xlpm.c))))</definedName>
    <definedName name="CommonAgSoils_Equations.AgSoils_UrineAndDungDeposited_GWP">_xlfn.LAMBDA(_xlpm.EN2Odir,_xlpm.GWPN2O, (_xlpm.EN2Odir * _xlpm.GWPN2O))</definedName>
    <definedName name="CommonAgSoils_Equations.AgSoils_UrineAndDungDeposited_NIRReference">_xlfn.LAMBDA("National Inventory Report Volume 1, 2023: 3.D.a.3")</definedName>
    <definedName name="CommonAgSoils_Equations.AgSoils_UrineAndDungDeposited_ReadableEquation">_xlfn.LAMBDA("EN2Odir = ((AFjm=14 * EFPRP * CgN2O) + (AUjm=14 * EFPRP * CgN2O)) * 10^-3")</definedName>
    <definedName name="CommonAgSoils_Equations.AgSoils_UrineAndDungDeposited_Title">_xlfn.LAMBDA("Nitrous oxide production from urine and dung deposited by grazing animals on pasture, range and paddock")</definedName>
    <definedName name="CommonAgSoils_Equations.AgSoils_UrineAndDungDeposited_Unit">_xlfn.LAMBDA("t N2O")</definedName>
    <definedName name="CommonAgSoils_Equations.AgSoils_UrineAndDungDeposited_Variable">_xlfn.LAMBDA("EN2Odir")</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1/(1+Common_InputFunctions.Utility_LookupValueInTableNumber(_xlpm.CropType, _xlpm.CropTypeArray, _xlpm.ResidueCropRatioArray))
)</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
        _xlpm.LeachingZoneFracWET,
        Common_InputFunctions.Utility_LookupValueInTableNumber(
            _xlpm.LeachingZone,_xlpm.LeachingZoneLookup,_xlpm.LeachingZoneFracWETLookup
        ),
        _xlpm.ProductionSystemFracWET,
        Common_InputFunctions.Utility_LookupValueInTableNumber(
            _xlpm.ProductionSystem,_xlpm.ProductionSystemLookup,_xlpm.ProductionSystemFracWETLookup
        ),
        IF(_xlpm.LeachingZoneFracWET + _xlpm.ProductionSystemFracWET&gt;0, 1, 0)
    ))</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Cropping_SourceData.CommonCropping_SourceData_FracWETIrrigation_Data">_xlfn.LAMBDA(_xlfn.MAKEARRAY(6, 2, _xlfn.LAMBDA(_xlpm.r,_xlpm.c, INDEX({"Irrigation type ir","FracWET";"Not irrigated",0;"Drip irrigation",0;"Sprinkler irrigation",1;"Surface irrigation",1;"Other irrigation",1}, _xlpm.r, _xlpm.c))))</definedName>
    <definedName name="CommonCropping_SourceData.CommonCropping_SourceData_FracWETIrrigation_NIRReference">_xlfn.LAMBDA("IPCC 2019 Refinement Volume 4: Chapter 11: N2O Emissions from Managed Soils, and CO2 Emissions from Lime and Urea Application")</definedName>
    <definedName name="CommonCropping_SourceData.CommonCropping_SourceData_FracWETIrrigation_Source">_xlfn.LAMBDA("VEERG 2026: Chapter 1, section 1.8.2 Leaching, climate and rainfall zones")</definedName>
    <definedName name="CommonCropping_SourceData.CommonCropping_SourceData_FracWETIrrigation_Title">_xlfn.LAMBDA("FracWET for irrigation types")</definedName>
    <definedName name="CommonCropping_SourceData.CommonCropping_SourceData_FracWETIrrigation_Unit">_xlfn.LAMBDA("dimensionless")</definedName>
    <definedName name="CommonCropping_SourceData.CommonCropping_SourceData_FracWETIrrigation_Variation">_xlfn.LAMBDA("VARIATION FROM SOURCE DATA: Table created based on VEERG text 'Areas are subject to leaching (i.e., in the leaching zone) when... the land is irrigated (except drip irrigation).'")</definedName>
    <definedName name="CommonCropping_SourceData.CommonCropping_SourceData_N2OEFOrganicFertiliser_Data">_xlfn.LAMBDA(_xlfn.MAKEARRAY(3, 2, _xlfn.LAMBDA(_xlpm.r,_xlpm.c, INDEX({"Climate zone i","EF i N2O";"Wet climate zone",0.006;"Dry climate zone",0.005}, _xlpm.r, _xlpm.c))))</definedName>
    <definedName name="CommonCropping_SourceData.CommonCropping_SourceData_N2OEFOrganicFertiliser_NIRReference">_xlfn.LAMBDA("IPCC 2019 Refinement Volume 4 Table 11.1 [1, p. 11]")</definedName>
    <definedName name="CommonCropping_SourceData.CommonCropping_SourceData_N2OEFOrganicFertiliser_Source">_xlfn.LAMBDA("VEERG 2026: Table A.2.1.4")</definedName>
    <definedName name="CommonCropping_SourceData.CommonCropping_SourceData_N2OEFOrganicFertiliser_Title">_xlfn.LAMBDA("Emission factor for organic fertiliser and crop residues returned to the soil")</definedName>
    <definedName name="CommonCropping_SourceData.CommonCropping_SourceData_N2OEFOrganicFertiliser_Unit">_xlfn.LAMBDA("kg N2O - N / kg N")</definedName>
    <definedName name="CommonCropping_SourceData.CommonCropping_SourceData_N2OEFsInorganicFertiliser_Data">_xlfn.LAMBDA(_xlfn.MAKEARRAY(8, 2, _xlfn.LAMBDA(_xlpm.r,_xlpm.c, INDEX({"Production system","Emission factor";"Irrigated pasture",0.0059;"Irrigated crop",0.007;"Non-irrigated pasture",0.0018;"Non-irrigated crop",0.0041;"Sugar cane",0.0199;"Cotton",0.0053;"Horticulture",0.0064}, _xlpm.r, _xlpm.c))))</definedName>
    <definedName name="CommonCropping_SourceData.CommonCropping_SourceData_N2OEFsInorganicFertiliser_Source">_xlfn.LAMBDA("National Inventory Report 2023 Volume 1: Table 5.21")</definedName>
    <definedName name="CommonCropping_SourceData.CommonCropping_SourceData_N2OEFsInorganicFertiliser_Title">_xlfn.LAMBDA("Nitrous oxide EFs for inorganic fertiliser")</definedName>
    <definedName name="CommonCropping_SourceData.CommonCropping_SourceData_N2OEFsInorganicFertiliser_Unit">_xlfn.LAMBDA("Gg N2O-N/ Gg N")</definedName>
    <definedName name="CommonCropping_SourceData.CommonCropping_SourceData_UreaCO2EF_Data">_xlfn.LAMBDA(0.2)</definedName>
    <definedName name="CommonCropping_SourceData.CommonCropping_SourceData_UreaCO2EF_Source">_xlfn.LAMBDA("National Inventory Report 2023 Volume 1: Equation 3.H_1")</definedName>
    <definedName name="CommonCropping_SourceData.CommonCropping_SourceData_UreaCO2EF_Title">_xlfn.LAMBDA("Emission factor for carbon emissions from urea application")</definedName>
    <definedName name="CommonCropping_SourceData.CommonCropping_SourceData_UreaCO2EF_Unit">_xlfn.LAMBDA("tonne C/tonne urea")</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2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4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2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3">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6">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0">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39">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2">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4">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 localSheetId="13">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26">_xlfn.LAMBDA(_xlpm.Month,_xlpm.LivestockClass, IFERROR(SUM(_xlfn._xlws.FILTER(#REF!, (#REF! &gt;= EOMONTH(_xlpm.Month, -1) + 1) * (#REF! &lt;= EOMONTH(_xlpm.Month, 0)) * (#REF! = _xlpm.LivestockClass))), 0))</definedName>
    <definedName name="CommonLivestock_InputFunctions.LivestockMovement_HeadAddedDuringMonth" localSheetId="27">_xlfn.LAMBDA(_xlpm.Month,_xlpm.LivestockClass, IFERROR(SUM(_xlfn._xlws.FILTER(#REF!, (#REF! &gt;= EOMONTH(_xlpm.Month, -1) + 1) * (#REF! &lt;= EOMONTH(_xlpm.Month, 0)) * (#REF! = _xlpm.LivestockClass))), 0))</definedName>
    <definedName name="CommonLivestock_InputFunctions.LivestockMovement_HeadAddedDuringMonth" localSheetId="28">_xlfn.LAMBDA(_xlpm.Month,_xlpm.LivestockClass, IFERROR(SUM(_xlfn._xlws.FILTER(#REF!, (#REF! &gt;= EOMONTH(_xlpm.Month, -1) + 1) * (#REF! &lt;= EOMONTH(_xlpm.Month, 0)) * (#REF! = _xlpm.LivestockClass))), 0))</definedName>
    <definedName name="CommonLivestock_InputFunctions.LivestockMovement_HeadAddedDuringMonth" localSheetId="21">_xlfn.LAMBDA(_xlpm.Month,_xlpm.LivestockClass, IFERROR(SUM(_xlfn._xlws.FILTER(#REF!, (#REF! &gt;= EOMONTH(_xlpm.Month, -1) + 1) * (#REF! &lt;= EOMONTH(_xlpm.Month, 0)) * (#REF! = _xlpm.LivestockClass))), 0))</definedName>
    <definedName name="CommonLivestock_InputFunctions.LivestockMovement_HeadAddedDuringMonth" localSheetId="16">_xlfn.LAMBDA(_xlpm.Month,_xlpm.LivestockClass, IFERROR(SUM(_xlfn._xlws.FILTER(#REF!, (#REF! &gt;= EOMONTH(_xlpm.Month, -1) + 1) * (#REF! &lt;= EOMONTH(_xlpm.Month, 0)) * (#REF! = _xlpm.LivestockClass))), 0))</definedName>
    <definedName name="CommonLivestock_InputFunctions.LivestockMovement_HeadAddedDuringMonth" localSheetId="22">_xlfn.LAMBDA(_xlpm.Month,_xlpm.LivestockClass, IFERROR(SUM(_xlfn._xlws.FILTER(#REF!, (#REF! &gt;= EOMONTH(_xlpm.Month, -1) + 1) * (#REF! &lt;= EOMONTH(_xlpm.Month, 0)) * (#REF! = _xlpm.LivestockClass))), 0))</definedName>
    <definedName name="CommonLivestock_InputFunctions.LivestockMovement_HeadAddedDuringMonth" localSheetId="23">_xlfn.LAMBDA(_xlpm.Month,_xlpm.LivestockClass, IFERROR(SUM(_xlfn._xlws.FILTER(#REF!, (#REF! &gt;= EOMONTH(_xlpm.Month, -1) + 1) * (#REF! &lt;= EOMONTH(_xlpm.Month, 0)) * (#REF! = _xlpm.LivestockClass))), 0))</definedName>
    <definedName name="CommonLivestock_InputFunctions.LivestockMovement_HeadAddedDuringMonth" localSheetId="17">_xlfn.LAMBDA(_xlpm.Month,_xlpm.LivestockClass, IFERROR(SUM(_xlfn._xlws.FILTER(#REF!, (#REF! &gt;= EOMONTH(_xlpm.Month, -1) + 1) * (#REF! &lt;= EOMONTH(_xlpm.Month, 0)) * (#REF! = _xlpm.LivestockClass))), 0))</definedName>
    <definedName name="CommonLivestock_InputFunctions.LivestockMovement_HeadAddedDuringMonth" localSheetId="18">_xlfn.LAMBDA(_xlpm.Month,_xlpm.LivestockClass, IFERROR(SUM(_xlfn._xlws.FILTER(#REF!, (#REF! &gt;= EOMONTH(_xlpm.Month, -1) + 1) * (#REF! &lt;= EOMONTH(_xlpm.Month, 0)) * (#REF! = _xlpm.LivestockClass))), 0))</definedName>
    <definedName name="CommonLivestock_InputFunctions.LivestockMovement_HeadAddedDuringMonth" localSheetId="19">_xlfn.LAMBDA(_xlpm.Month,_xlpm.LivestockClass, IFERROR(SUM(_xlfn._xlws.FILTER(#REF!, (#REF! &gt;= EOMONTH(_xlpm.Month, -1) + 1) * (#REF! &lt;= EOMONTH(_xlpm.Month, 0)) * (#REF! = _xlpm.LivestockClass))), 0))</definedName>
    <definedName name="CommonLivestock_InputFunctions.LivestockMovement_HeadAddedDuringMonth" localSheetId="20">_xlfn.LAMBDA(_xlpm.Month,_xlpm.LivestockClass, IFERROR(SUM(_xlfn._xlws.FILTER(#REF!, (#REF! &gt;= EOMONTH(_xlpm.Month, -1) + 1) * (#REF! &lt;= EOMONTH(_xlpm.Month, 0)) * (#REF! = _xlpm.LivestockClass))), 0))</definedName>
    <definedName name="CommonLivestock_InputFunctions.LivestockMovement_HeadAddedDuringMonth" localSheetId="40">_xlfn.LAMBDA(_xlpm.Month,_xlpm.LivestockClass, IFERROR(SUM(_xlfn._xlws.FILTER(#REF!, (#REF! &gt;= EOMONTH(_xlpm.Month, -1) + 1) * (#REF! &lt;= EOMONTH(_xlpm.Month, 0)) * (#REF! = _xlpm.LivestockClass))), 0))</definedName>
    <definedName name="CommonLivestock_InputFunctions.LivestockMovement_HeadAddedDuringMonth" localSheetId="41">_xlfn.LAMBDA(_xlpm.Month,_xlpm.LivestockClass, IFERROR(SUM(_xlfn._xlws.FILTER(#REF!, (#REF! &gt;= EOMONTH(_xlpm.Month, -1) + 1) * (#REF! &lt;= EOMONTH(_xlpm.Month, 0)) * (#REF! = _xlpm.LivestockClass))), 0))</definedName>
    <definedName name="CommonLivestock_InputFunctions.LivestockMovement_HeadAddedDuringMonth" localSheetId="42">_xlfn.LAMBDA(_xlpm.Month,_xlpm.LivestockClass, IFERROR(SUM(_xlfn._xlws.FILTER(#REF!, (#REF! &gt;= EOMONTH(_xlpm.Month, -1) + 1) * (#REF! &lt;= EOMONTH(_xlpm.Month, 0)) * (#REF! = _xlpm.LivestockClass))), 0))</definedName>
    <definedName name="CommonLivestock_InputFunctions.LivestockMovement_HeadAddedDuringMonth" localSheetId="43">_xlfn.LAMBDA(_xlpm.Month,_xlpm.LivestockClass, IFERROR(SUM(_xlfn._xlws.FILTER(#REF!, (#REF! &gt;= EOMONTH(_xlpm.Month, -1) + 1) * (#REF! &lt;= EOMONTH(_xlpm.Month, 0)) * (#REF! = _xlpm.LivestockClass))), 0))</definedName>
    <definedName name="CommonLivestock_InputFunctions.LivestockMovement_HeadAddedDuringMonth" localSheetId="44">_xlfn.LAMBDA(_xlpm.Month,_xlpm.LivestockClass, IFERROR(SUM(_xlfn._xlws.FILTER(#REF!, (#REF! &gt;= EOMONTH(_xlpm.Month, -1) + 1) * (#REF! &lt;= EOMONTH(_xlpm.Month, 0)) * (#REF! = _xlpm.LivestockClass))), 0))</definedName>
    <definedName name="CommonLivestock_InputFunctions.LivestockMovement_HeadAddedDuringMonth" localSheetId="45">_xlfn.LAMBDA(_xlpm.Month,_xlpm.LivestockClass, IFERROR(SUM(_xlfn._xlws.FILTER(#REF!, (#REF! &gt;= EOMONTH(_xlpm.Month, -1) + 1) * (#REF! &lt;= EOMONTH(_xlpm.Month, 0)) * (#REF! = _xlpm.LivestockClass))), 0))</definedName>
    <definedName name="CommonLivestock_InputFunctions.LivestockMovement_HeadAddedDuringMonth" localSheetId="24">_xlfn.LAMBDA(_xlpm.Month,_xlpm.LivestockClass, IFERROR(SUM(_xlfn._xlws.FILTER(#REF!, (#REF! &gt;= EOMONTH(_xlpm.Month, -1) + 1) * (#REF! &lt;= EOMONTH(_xlpm.Month, 0)) * (#REF! = _xlpm.LivestockClass))), 0))</definedName>
    <definedName name="CommonLivestock_InputFunctions.LivestockMovement_HeadAddedDuringMonth" localSheetId="25">_xlfn.LAMBDA(_xlpm.Month,_xlpm.LivestockClass, IFERROR(SUM(_xlfn._xlws.FILTER(#REF!, (#REF! &gt;= EOMONTH(_xlpm.Month, -1) + 1) * (#REF! &lt;= EOMONTH(_xlpm.Month, 0)) * (#REF! = _xlpm.LivestockClass))), 0))</definedName>
    <definedName name="CommonLivestock_InputFunctions.LivestockMovement_HeadAddedDuringMonth" localSheetId="29">_xlfn.LAMBDA(_xlpm.Month,_xlpm.LivestockClass, IFERROR(SUM(_xlfn._xlws.FILTER(#REF!, (#REF! &gt;= EOMONTH(_xlpm.Month, -1) + 1) * (#REF! &lt;= EOMONTH(_xlpm.Month, 0)) * (#REF! = _xlpm.LivestockClass))), 0))</definedName>
    <definedName name="CommonLivestock_InputFunctions.LivestockMovement_HeadAddedDuringMonth" localSheetId="37">_xlfn.LAMBDA(_xlpm.Month,_xlpm.LivestockClass, IFERROR(SUM(_xlfn._xlws.FILTER(#REF!, (#REF! &gt;= EOMONTH(_xlpm.Month, -1) + 1) * (#REF! &lt;= EOMONTH(_xlpm.Month, 0)) * (#REF! = _xlpm.LivestockClass))), 0))</definedName>
    <definedName name="CommonLivestock_InputFunctions.LivestockMovement_HeadAddedDuringMonth" localSheetId="31">_xlfn.LAMBDA(_xlpm.Month,_xlpm.LivestockClass, IFERROR(SUM(_xlfn._xlws.FILTER(#REF!, (#REF! &gt;= EOMONTH(_xlpm.Month, -1) + 1) * (#REF! &lt;= EOMONTH(_xlpm.Month, 0)) * (#REF! = _xlpm.LivestockClass))), 0))</definedName>
    <definedName name="CommonLivestock_InputFunctions.LivestockMovement_HeadAddedDuringMonth" localSheetId="32">_xlfn.LAMBDA(_xlpm.Month,_xlpm.LivestockClass, IFERROR(SUM(_xlfn._xlws.FILTER(#REF!, (#REF! &gt;= EOMONTH(_xlpm.Month, -1) + 1) * (#REF! &lt;= EOMONTH(_xlpm.Month, 0)) * (#REF! = _xlpm.LivestockClass))), 0))</definedName>
    <definedName name="CommonLivestock_InputFunctions.LivestockMovement_HeadAddedDuringMonth" localSheetId="33">_xlfn.LAMBDA(_xlpm.Month,_xlpm.LivestockClass, IFERROR(SUM(_xlfn._xlws.FILTER(#REF!, (#REF! &gt;= EOMONTH(_xlpm.Month, -1) + 1) * (#REF! &lt;= EOMONTH(_xlpm.Month, 0)) * (#REF! = _xlpm.LivestockClass))), 0))</definedName>
    <definedName name="CommonLivestock_InputFunctions.LivestockMovement_HeadAddedDuringMonth" localSheetId="34">_xlfn.LAMBDA(_xlpm.Month,_xlpm.LivestockClass, IFERROR(SUM(_xlfn._xlws.FILTER(#REF!, (#REF! &gt;= EOMONTH(_xlpm.Month, -1) + 1) * (#REF! &lt;= EOMONTH(_xlpm.Month, 0)) * (#REF! = _xlpm.LivestockClass))), 0))</definedName>
    <definedName name="CommonLivestock_InputFunctions.LivestockMovement_HeadAddedDuringMonth" localSheetId="30">_xlfn.LAMBDA(_xlpm.Month,_xlpm.LivestockClass, IFERROR(SUM(_xlfn._xlws.FILTER(#REF!, (#REF! &gt;= EOMONTH(_xlpm.Month, -1) + 1) * (#REF! &lt;= EOMONTH(_xlpm.Month, 0)) * (#REF! = _xlpm.LivestockClass))), 0))</definedName>
    <definedName name="CommonLivestock_InputFunctions.LivestockMovement_HeadAddedDuringMonth" localSheetId="35">_xlfn.LAMBDA(_xlpm.Month,_xlpm.LivestockClass, IFERROR(SUM(_xlfn._xlws.FILTER(#REF!, (#REF! &gt;= EOMONTH(_xlpm.Month, -1) + 1) * (#REF! &lt;= EOMONTH(_xlpm.Month, 0)) * (#REF! = _xlpm.LivestockClass))), 0))</definedName>
    <definedName name="CommonLivestock_InputFunctions.LivestockMovement_HeadAddedDuringMonth" localSheetId="36">_xlfn.LAMBDA(_xlpm.Month,_xlpm.LivestockClass, IFERROR(SUM(_xlfn._xlws.FILTER(#REF!, (#REF! &gt;= EOMONTH(_xlpm.Month, -1) + 1) * (#REF! &lt;= EOMONTH(_xlpm.Month, 0)) * (#REF! = _xlpm.LivestockClass))), 0))</definedName>
    <definedName name="CommonLivestock_InputFunctions.LivestockMovement_HeadAddedDuringMonth" localSheetId="10">_xlfn.LAMBDA(_xlpm.Month,_xlpm.LivestockClass, IFERROR(SUM(_xlfn._xlws.FILTER(#REF!, (#REF! &gt;= EOMONTH(_xlpm.Month, -1) + 1) * (#REF! &lt;= EOMONTH(_xlpm.Month, 0)) * (#REF! = _xlpm.LivestockClass))), 0))</definedName>
    <definedName name="CommonLivestock_InputFunctions.LivestockMovement_HeadAddedDuringMonth" localSheetId="9">_xlfn.LAMBDA(_xlpm.Month,_xlpm.LivestockClass, IFERROR(SUM(_xlfn._xlws.FILTER(#REF!, (#REF! &gt;= EOMONTH(_xlpm.Month, -1) + 1) * (#REF! &lt;= EOMONTH(_xlpm.Month, 0)) * (#REF! = _xlpm.LivestockClass))), 0))</definedName>
    <definedName name="CommonLivestock_InputFunctions.LivestockMovement_HeadAddedDuringMonth" localSheetId="38">_xlfn.LAMBDA(_xlpm.Month,_xlpm.LivestockClass, IFERROR(SUM(_xlfn._xlws.FILTER(#REF!, (#REF! &gt;= EOMONTH(_xlpm.Month, -1) + 1) * (#REF! &lt;= EOMONTH(_xlpm.Month, 0)) * (#REF! = _xlpm.LivestockClass))), 0))</definedName>
    <definedName name="CommonLivestock_InputFunctions.LivestockMovement_HeadAddedDuringMonth" localSheetId="39">_xlfn.LAMBDA(_xlpm.Month,_xlpm.LivestockClass, IFERROR(SUM(_xlfn._xlws.FILTER(#REF!, (#REF! &gt;= EOMONTH(_xlpm.Month, -1) + 1) * (#REF! &lt;= EOMONTH(_xlpm.Month, 0)) * (#REF! = _xlpm.LivestockClass))), 0))</definedName>
    <definedName name="CommonLivestock_InputFunctions.LivestockMovement_HeadAddedDuringMonth" localSheetId="12">_xlfn.LAMBDA(_xlpm.Month,_xlpm.LivestockClass, IFERROR(SUM(_xlfn._xlws.FILTER(#REF!, (#REF! &gt;= EOMONTH(_xlpm.Month, -1) + 1) * (#REF! &lt;= EOMONTH(_xlpm.Month, 0)) * (#REF! = _xlpm.LivestockClass))), 0))</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 localSheetId="14">_xlfn.LAMBDA(_xlpm.Month,_xlpm.LivestockClass, IFERROR(SUM(_xlfn._xlws.FILTER(#REF!, (#REF! &gt;= EOMONTH(_xlpm.Month, -1) + 1) * (#REF! &lt;= EOMONTH(_xlpm.Month, 0)) * (#REF! = _xlpm.LivestockClass))), 0))</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 localSheetId="13">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26">_xlfn.LAMBDA(_xlpm.Month,_xlpm.LivestockClass, IFERROR(SUM(_xlfn._xlws.FILTER(#REF!, (#REF! &gt;= EOMONTH(_xlpm.Month, -1) + 1) * (#REF! &lt;= EOMONTH(_xlpm.Month, 0)) * (#REF! = _xlpm.LivestockClass))), 0))</definedName>
    <definedName name="CommonLivestock_InputFunctions.LivestockMovement_HeadLostDuringMonth" localSheetId="27">_xlfn.LAMBDA(_xlpm.Month,_xlpm.LivestockClass, IFERROR(SUM(_xlfn._xlws.FILTER(#REF!, (#REF! &gt;= EOMONTH(_xlpm.Month, -1) + 1) * (#REF! &lt;= EOMONTH(_xlpm.Month, 0)) * (#REF! = _xlpm.LivestockClass))), 0))</definedName>
    <definedName name="CommonLivestock_InputFunctions.LivestockMovement_HeadLostDuringMonth" localSheetId="28">_xlfn.LAMBDA(_xlpm.Month,_xlpm.LivestockClass, IFERROR(SUM(_xlfn._xlws.FILTER(#REF!, (#REF! &gt;= EOMONTH(_xlpm.Month, -1) + 1) * (#REF! &lt;= EOMONTH(_xlpm.Month, 0)) * (#REF! = _xlpm.LivestockClass))), 0))</definedName>
    <definedName name="CommonLivestock_InputFunctions.LivestockMovement_HeadLostDuringMonth" localSheetId="21">_xlfn.LAMBDA(_xlpm.Month,_xlpm.LivestockClass, IFERROR(SUM(_xlfn._xlws.FILTER(#REF!, (#REF! &gt;= EOMONTH(_xlpm.Month, -1) + 1) * (#REF! &lt;= EOMONTH(_xlpm.Month, 0)) * (#REF! = _xlpm.LivestockClass))), 0))</definedName>
    <definedName name="CommonLivestock_InputFunctions.LivestockMovement_HeadLostDuringMonth" localSheetId="16">_xlfn.LAMBDA(_xlpm.Month,_xlpm.LivestockClass, IFERROR(SUM(_xlfn._xlws.FILTER(#REF!, (#REF! &gt;= EOMONTH(_xlpm.Month, -1) + 1) * (#REF! &lt;= EOMONTH(_xlpm.Month, 0)) * (#REF! = _xlpm.LivestockClass))), 0))</definedName>
    <definedName name="CommonLivestock_InputFunctions.LivestockMovement_HeadLostDuringMonth" localSheetId="22">_xlfn.LAMBDA(_xlpm.Month,_xlpm.LivestockClass, IFERROR(SUM(_xlfn._xlws.FILTER(#REF!, (#REF! &gt;= EOMONTH(_xlpm.Month, -1) + 1) * (#REF! &lt;= EOMONTH(_xlpm.Month, 0)) * (#REF! = _xlpm.LivestockClass))), 0))</definedName>
    <definedName name="CommonLivestock_InputFunctions.LivestockMovement_HeadLostDuringMonth" localSheetId="23">_xlfn.LAMBDA(_xlpm.Month,_xlpm.LivestockClass, IFERROR(SUM(_xlfn._xlws.FILTER(#REF!, (#REF! &gt;= EOMONTH(_xlpm.Month, -1) + 1) * (#REF! &lt;= EOMONTH(_xlpm.Month, 0)) * (#REF! = _xlpm.LivestockClass))), 0))</definedName>
    <definedName name="CommonLivestock_InputFunctions.LivestockMovement_HeadLostDuringMonth" localSheetId="17">_xlfn.LAMBDA(_xlpm.Month,_xlpm.LivestockClass, IFERROR(SUM(_xlfn._xlws.FILTER(#REF!, (#REF! &gt;= EOMONTH(_xlpm.Month, -1) + 1) * (#REF! &lt;= EOMONTH(_xlpm.Month, 0)) * (#REF! = _xlpm.LivestockClass))), 0))</definedName>
    <definedName name="CommonLivestock_InputFunctions.LivestockMovement_HeadLostDuringMonth" localSheetId="18">_xlfn.LAMBDA(_xlpm.Month,_xlpm.LivestockClass, IFERROR(SUM(_xlfn._xlws.FILTER(#REF!, (#REF! &gt;= EOMONTH(_xlpm.Month, -1) + 1) * (#REF! &lt;= EOMONTH(_xlpm.Month, 0)) * (#REF! = _xlpm.LivestockClass))), 0))</definedName>
    <definedName name="CommonLivestock_InputFunctions.LivestockMovement_HeadLostDuringMonth" localSheetId="19">_xlfn.LAMBDA(_xlpm.Month,_xlpm.LivestockClass, IFERROR(SUM(_xlfn._xlws.FILTER(#REF!, (#REF! &gt;= EOMONTH(_xlpm.Month, -1) + 1) * (#REF! &lt;= EOMONTH(_xlpm.Month, 0)) * (#REF! = _xlpm.LivestockClass))), 0))</definedName>
    <definedName name="CommonLivestock_InputFunctions.LivestockMovement_HeadLostDuringMonth" localSheetId="20">_xlfn.LAMBDA(_xlpm.Month,_xlpm.LivestockClass, IFERROR(SUM(_xlfn._xlws.FILTER(#REF!, (#REF! &gt;= EOMONTH(_xlpm.Month, -1) + 1) * (#REF! &lt;= EOMONTH(_xlpm.Month, 0)) * (#REF! = _xlpm.LivestockClass))), 0))</definedName>
    <definedName name="CommonLivestock_InputFunctions.LivestockMovement_HeadLostDuringMonth" localSheetId="40">_xlfn.LAMBDA(_xlpm.Month,_xlpm.LivestockClass, IFERROR(SUM(_xlfn._xlws.FILTER(#REF!, (#REF! &gt;= EOMONTH(_xlpm.Month, -1) + 1) * (#REF! &lt;= EOMONTH(_xlpm.Month, 0)) * (#REF! = _xlpm.LivestockClass))), 0))</definedName>
    <definedName name="CommonLivestock_InputFunctions.LivestockMovement_HeadLostDuringMonth" localSheetId="41">_xlfn.LAMBDA(_xlpm.Month,_xlpm.LivestockClass, IFERROR(SUM(_xlfn._xlws.FILTER(#REF!, (#REF! &gt;= EOMONTH(_xlpm.Month, -1) + 1) * (#REF! &lt;= EOMONTH(_xlpm.Month, 0)) * (#REF! = _xlpm.LivestockClass))), 0))</definedName>
    <definedName name="CommonLivestock_InputFunctions.LivestockMovement_HeadLostDuringMonth" localSheetId="42">_xlfn.LAMBDA(_xlpm.Month,_xlpm.LivestockClass, IFERROR(SUM(_xlfn._xlws.FILTER(#REF!, (#REF! &gt;= EOMONTH(_xlpm.Month, -1) + 1) * (#REF! &lt;= EOMONTH(_xlpm.Month, 0)) * (#REF! = _xlpm.LivestockClass))), 0))</definedName>
    <definedName name="CommonLivestock_InputFunctions.LivestockMovement_HeadLostDuringMonth" localSheetId="43">_xlfn.LAMBDA(_xlpm.Month,_xlpm.LivestockClass, IFERROR(SUM(_xlfn._xlws.FILTER(#REF!, (#REF! &gt;= EOMONTH(_xlpm.Month, -1) + 1) * (#REF! &lt;= EOMONTH(_xlpm.Month, 0)) * (#REF! = _xlpm.LivestockClass))), 0))</definedName>
    <definedName name="CommonLivestock_InputFunctions.LivestockMovement_HeadLostDuringMonth" localSheetId="44">_xlfn.LAMBDA(_xlpm.Month,_xlpm.LivestockClass, IFERROR(SUM(_xlfn._xlws.FILTER(#REF!, (#REF! &gt;= EOMONTH(_xlpm.Month, -1) + 1) * (#REF! &lt;= EOMONTH(_xlpm.Month, 0)) * (#REF! = _xlpm.LivestockClass))), 0))</definedName>
    <definedName name="CommonLivestock_InputFunctions.LivestockMovement_HeadLostDuringMonth" localSheetId="45">_xlfn.LAMBDA(_xlpm.Month,_xlpm.LivestockClass, IFERROR(SUM(_xlfn._xlws.FILTER(#REF!, (#REF! &gt;= EOMONTH(_xlpm.Month, -1) + 1) * (#REF! &lt;= EOMONTH(_xlpm.Month, 0)) * (#REF! = _xlpm.LivestockClass))), 0))</definedName>
    <definedName name="CommonLivestock_InputFunctions.LivestockMovement_HeadLostDuringMonth" localSheetId="24">_xlfn.LAMBDA(_xlpm.Month,_xlpm.LivestockClass, IFERROR(SUM(_xlfn._xlws.FILTER(#REF!, (#REF! &gt;= EOMONTH(_xlpm.Month, -1) + 1) * (#REF! &lt;= EOMONTH(_xlpm.Month, 0)) * (#REF! = _xlpm.LivestockClass))), 0))</definedName>
    <definedName name="CommonLivestock_InputFunctions.LivestockMovement_HeadLostDuringMonth" localSheetId="25">_xlfn.LAMBDA(_xlpm.Month,_xlpm.LivestockClass, IFERROR(SUM(_xlfn._xlws.FILTER(#REF!, (#REF! &gt;= EOMONTH(_xlpm.Month, -1) + 1) * (#REF! &lt;= EOMONTH(_xlpm.Month, 0)) * (#REF! = _xlpm.LivestockClass))), 0))</definedName>
    <definedName name="CommonLivestock_InputFunctions.LivestockMovement_HeadLostDuringMonth" localSheetId="29">_xlfn.LAMBDA(_xlpm.Month,_xlpm.LivestockClass, IFERROR(SUM(_xlfn._xlws.FILTER(#REF!, (#REF! &gt;= EOMONTH(_xlpm.Month, -1) + 1) * (#REF! &lt;= EOMONTH(_xlpm.Month, 0)) * (#REF! = _xlpm.LivestockClass))), 0))</definedName>
    <definedName name="CommonLivestock_InputFunctions.LivestockMovement_HeadLostDuringMonth" localSheetId="37">_xlfn.LAMBDA(_xlpm.Month,_xlpm.LivestockClass, IFERROR(SUM(_xlfn._xlws.FILTER(#REF!, (#REF! &gt;= EOMONTH(_xlpm.Month, -1) + 1) * (#REF! &lt;= EOMONTH(_xlpm.Month, 0)) * (#REF! = _xlpm.LivestockClass))), 0))</definedName>
    <definedName name="CommonLivestock_InputFunctions.LivestockMovement_HeadLostDuringMonth" localSheetId="31">_xlfn.LAMBDA(_xlpm.Month,_xlpm.LivestockClass, IFERROR(SUM(_xlfn._xlws.FILTER(#REF!, (#REF! &gt;= EOMONTH(_xlpm.Month, -1) + 1) * (#REF! &lt;= EOMONTH(_xlpm.Month, 0)) * (#REF! = _xlpm.LivestockClass))), 0))</definedName>
    <definedName name="CommonLivestock_InputFunctions.LivestockMovement_HeadLostDuringMonth" localSheetId="32">_xlfn.LAMBDA(_xlpm.Month,_xlpm.LivestockClass, IFERROR(SUM(_xlfn._xlws.FILTER(#REF!, (#REF! &gt;= EOMONTH(_xlpm.Month, -1) + 1) * (#REF! &lt;= EOMONTH(_xlpm.Month, 0)) * (#REF! = _xlpm.LivestockClass))), 0))</definedName>
    <definedName name="CommonLivestock_InputFunctions.LivestockMovement_HeadLostDuringMonth" localSheetId="33">_xlfn.LAMBDA(_xlpm.Month,_xlpm.LivestockClass, IFERROR(SUM(_xlfn._xlws.FILTER(#REF!, (#REF! &gt;= EOMONTH(_xlpm.Month, -1) + 1) * (#REF! &lt;= EOMONTH(_xlpm.Month, 0)) * (#REF! = _xlpm.LivestockClass))), 0))</definedName>
    <definedName name="CommonLivestock_InputFunctions.LivestockMovement_HeadLostDuringMonth" localSheetId="34">_xlfn.LAMBDA(_xlpm.Month,_xlpm.LivestockClass, IFERROR(SUM(_xlfn._xlws.FILTER(#REF!, (#REF! &gt;= EOMONTH(_xlpm.Month, -1) + 1) * (#REF! &lt;= EOMONTH(_xlpm.Month, 0)) * (#REF! = _xlpm.LivestockClass))), 0))</definedName>
    <definedName name="CommonLivestock_InputFunctions.LivestockMovement_HeadLostDuringMonth" localSheetId="30">_xlfn.LAMBDA(_xlpm.Month,_xlpm.LivestockClass, IFERROR(SUM(_xlfn._xlws.FILTER(#REF!, (#REF! &gt;= EOMONTH(_xlpm.Month, -1) + 1) * (#REF! &lt;= EOMONTH(_xlpm.Month, 0)) * (#REF! = _xlpm.LivestockClass))), 0))</definedName>
    <definedName name="CommonLivestock_InputFunctions.LivestockMovement_HeadLostDuringMonth" localSheetId="35">_xlfn.LAMBDA(_xlpm.Month,_xlpm.LivestockClass, IFERROR(SUM(_xlfn._xlws.FILTER(#REF!, (#REF! &gt;= EOMONTH(_xlpm.Month, -1) + 1) * (#REF! &lt;= EOMONTH(_xlpm.Month, 0)) * (#REF! = _xlpm.LivestockClass))), 0))</definedName>
    <definedName name="CommonLivestock_InputFunctions.LivestockMovement_HeadLostDuringMonth" localSheetId="36">_xlfn.LAMBDA(_xlpm.Month,_xlpm.LivestockClass, IFERROR(SUM(_xlfn._xlws.FILTER(#REF!, (#REF! &gt;= EOMONTH(_xlpm.Month, -1) + 1) * (#REF! &lt;= EOMONTH(_xlpm.Month, 0)) * (#REF! = _xlpm.LivestockClass))), 0))</definedName>
    <definedName name="CommonLivestock_InputFunctions.LivestockMovement_HeadLostDuringMonth" localSheetId="10">_xlfn.LAMBDA(_xlpm.Month,_xlpm.LivestockClass, IFERROR(SUM(_xlfn._xlws.FILTER(#REF!, (#REF! &gt;= EOMONTH(_xlpm.Month, -1) + 1) * (#REF! &lt;= EOMONTH(_xlpm.Month, 0)) * (#REF! = _xlpm.LivestockClass))), 0))</definedName>
    <definedName name="CommonLivestock_InputFunctions.LivestockMovement_HeadLostDuringMonth" localSheetId="9">_xlfn.LAMBDA(_xlpm.Month,_xlpm.LivestockClass, IFERROR(SUM(_xlfn._xlws.FILTER(#REF!, (#REF! &gt;= EOMONTH(_xlpm.Month, -1) + 1) * (#REF! &lt;= EOMONTH(_xlpm.Month, 0)) * (#REF! = _xlpm.LivestockClass))), 0))</definedName>
    <definedName name="CommonLivestock_InputFunctions.LivestockMovement_HeadLostDuringMonth" localSheetId="38">_xlfn.LAMBDA(_xlpm.Month,_xlpm.LivestockClass, IFERROR(SUM(_xlfn._xlws.FILTER(#REF!, (#REF! &gt;= EOMONTH(_xlpm.Month, -1) + 1) * (#REF! &lt;= EOMONTH(_xlpm.Month, 0)) * (#REF! = _xlpm.LivestockClass))), 0))</definedName>
    <definedName name="CommonLivestock_InputFunctions.LivestockMovement_HeadLostDuringMonth" localSheetId="39">_xlfn.LAMBDA(_xlpm.Month,_xlpm.LivestockClass, IFERROR(SUM(_xlfn._xlws.FILTER(#REF!, (#REF! &gt;= EOMONTH(_xlpm.Month, -1) + 1) * (#REF! &lt;= EOMONTH(_xlpm.Month, 0)) * (#REF! = _xlpm.LivestockClass))), 0))</definedName>
    <definedName name="CommonLivestock_InputFunctions.LivestockMovement_HeadLostDuringMonth" localSheetId="12">_xlfn.LAMBDA(_xlpm.Month,_xlpm.LivestockClass, IFERROR(SUM(_xlfn._xlws.FILTER(#REF!, (#REF! &gt;= EOMONTH(_xlpm.Month, -1) + 1) * (#REF! &lt;= EOMONTH(_xlpm.Month, 0)) * (#REF! = _xlpm.LivestockClass))), 0))</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 localSheetId="14">_xlfn.LAMBDA(_xlpm.Month,_xlpm.LivestockClass, IFERROR(SUM(_xlfn._xlws.FILTER(#REF!, (#REF! &gt;= EOMONTH(_xlpm.Month, -1) + 1) * (#REF! &lt;= EOMONTH(_xlpm.Month, 0)) * (#REF! = _xlpm.LivestockClass))), 0))</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 localSheetId="13">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26">_xlfn.LAMBDA(_xlpm.Month,_xlpm.LivestockClass, IFERROR(SUM(_xlfn._xlws.FILTER(#REF!, (#REF! &gt;= EOMONTH(_xlpm.Month, -1) + 1) * (#REF! &lt;= EOMONTH(_xlpm.Month, 0)) * (#REF! = _xlpm.LivestockClass))), 0))</definedName>
    <definedName name="CommonLivestock_InputFunctions.LivestockMovement_TotalLiveweightAddedDuringMonth" localSheetId="27">_xlfn.LAMBDA(_xlpm.Month,_xlpm.LivestockClass, IFERROR(SUM(_xlfn._xlws.FILTER(#REF!, (#REF! &gt;= EOMONTH(_xlpm.Month, -1) + 1) * (#REF! &lt;= EOMONTH(_xlpm.Month, 0)) * (#REF! = _xlpm.LivestockClass))), 0))</definedName>
    <definedName name="CommonLivestock_InputFunctions.LivestockMovement_TotalLiveweightAddedDuringMonth" localSheetId="28">_xlfn.LAMBDA(_xlpm.Month,_xlpm.LivestockClass, IFERROR(SUM(_xlfn._xlws.FILTER(#REF!, (#REF! &gt;= EOMONTH(_xlpm.Month, -1) + 1) * (#REF! &lt;= EOMONTH(_xlpm.Month, 0)) * (#REF! = _xlpm.LivestockClass))), 0))</definedName>
    <definedName name="CommonLivestock_InputFunctions.LivestockMovement_TotalLiveweightAddedDuringMonth" localSheetId="21">_xlfn.LAMBDA(_xlpm.Month,_xlpm.LivestockClass, IFERROR(SUM(_xlfn._xlws.FILTER(#REF!, (#REF! &gt;= EOMONTH(_xlpm.Month, -1) + 1) * (#REF! &lt;= EOMONTH(_xlpm.Month, 0)) * (#REF! = _xlpm.LivestockClass))), 0))</definedName>
    <definedName name="CommonLivestock_InputFunctions.LivestockMovement_TotalLiveweightAddedDuringMonth" localSheetId="16">_xlfn.LAMBDA(_xlpm.Month,_xlpm.LivestockClass, IFERROR(SUM(_xlfn._xlws.FILTER(#REF!, (#REF! &gt;= EOMONTH(_xlpm.Month, -1) + 1) * (#REF! &lt;= EOMONTH(_xlpm.Month, 0)) * (#REF! = _xlpm.LivestockClass))), 0))</definedName>
    <definedName name="CommonLivestock_InputFunctions.LivestockMovement_TotalLiveweightAddedDuringMonth" localSheetId="22">_xlfn.LAMBDA(_xlpm.Month,_xlpm.LivestockClass, IFERROR(SUM(_xlfn._xlws.FILTER(#REF!, (#REF! &gt;= EOMONTH(_xlpm.Month, -1) + 1) * (#REF! &lt;= EOMONTH(_xlpm.Month, 0)) * (#REF! = _xlpm.LivestockClass))), 0))</definedName>
    <definedName name="CommonLivestock_InputFunctions.LivestockMovement_TotalLiveweightAddedDuringMonth" localSheetId="23">_xlfn.LAMBDA(_xlpm.Month,_xlpm.LivestockClass, IFERROR(SUM(_xlfn._xlws.FILTER(#REF!, (#REF! &gt;= EOMONTH(_xlpm.Month, -1) + 1) * (#REF! &lt;= EOMONTH(_xlpm.Month, 0)) * (#REF! = _xlpm.LivestockClass))), 0))</definedName>
    <definedName name="CommonLivestock_InputFunctions.LivestockMovement_TotalLiveweightAddedDuringMonth" localSheetId="17">_xlfn.LAMBDA(_xlpm.Month,_xlpm.LivestockClass, IFERROR(SUM(_xlfn._xlws.FILTER(#REF!, (#REF! &gt;= EOMONTH(_xlpm.Month, -1) + 1) * (#REF! &lt;= EOMONTH(_xlpm.Month, 0)) * (#REF! = _xlpm.LivestockClass))), 0))</definedName>
    <definedName name="CommonLivestock_InputFunctions.LivestockMovement_TotalLiveweightAddedDuringMonth" localSheetId="18">_xlfn.LAMBDA(_xlpm.Month,_xlpm.LivestockClass, IFERROR(SUM(_xlfn._xlws.FILTER(#REF!, (#REF! &gt;= EOMONTH(_xlpm.Month, -1) + 1) * (#REF! &lt;= EOMONTH(_xlpm.Month, 0)) * (#REF! = _xlpm.LivestockClass))), 0))</definedName>
    <definedName name="CommonLivestock_InputFunctions.LivestockMovement_TotalLiveweightAddedDuringMonth" localSheetId="19">_xlfn.LAMBDA(_xlpm.Month,_xlpm.LivestockClass, IFERROR(SUM(_xlfn._xlws.FILTER(#REF!, (#REF! &gt;= EOMONTH(_xlpm.Month, -1) + 1) * (#REF! &lt;= EOMONTH(_xlpm.Month, 0)) * (#REF! = _xlpm.LivestockClass))), 0))</definedName>
    <definedName name="CommonLivestock_InputFunctions.LivestockMovement_TotalLiveweightAddedDuringMonth" localSheetId="20">_xlfn.LAMBDA(_xlpm.Month,_xlpm.LivestockClass, IFERROR(SUM(_xlfn._xlws.FILTER(#REF!, (#REF! &gt;= EOMONTH(_xlpm.Month, -1) + 1) * (#REF! &lt;= EOMONTH(_xlpm.Month, 0)) * (#REF! = _xlpm.LivestockClass))), 0))</definedName>
    <definedName name="CommonLivestock_InputFunctions.LivestockMovement_TotalLiveweightAddedDuringMonth" localSheetId="40">_xlfn.LAMBDA(_xlpm.Month,_xlpm.LivestockClass, IFERROR(SUM(_xlfn._xlws.FILTER(#REF!, (#REF! &gt;= EOMONTH(_xlpm.Month, -1) + 1) * (#REF! &lt;= EOMONTH(_xlpm.Month, 0)) * (#REF! = _xlpm.LivestockClass))), 0))</definedName>
    <definedName name="CommonLivestock_InputFunctions.LivestockMovement_TotalLiveweightAddedDuringMonth" localSheetId="41">_xlfn.LAMBDA(_xlpm.Month,_xlpm.LivestockClass, IFERROR(SUM(_xlfn._xlws.FILTER(#REF!, (#REF! &gt;= EOMONTH(_xlpm.Month, -1) + 1) * (#REF! &lt;= EOMONTH(_xlpm.Month, 0)) * (#REF! = _xlpm.LivestockClass))), 0))</definedName>
    <definedName name="CommonLivestock_InputFunctions.LivestockMovement_TotalLiveweightAddedDuringMonth" localSheetId="42">_xlfn.LAMBDA(_xlpm.Month,_xlpm.LivestockClass, IFERROR(SUM(_xlfn._xlws.FILTER(#REF!, (#REF! &gt;= EOMONTH(_xlpm.Month, -1) + 1) * (#REF! &lt;= EOMONTH(_xlpm.Month, 0)) * (#REF! = _xlpm.LivestockClass))), 0))</definedName>
    <definedName name="CommonLivestock_InputFunctions.LivestockMovement_TotalLiveweightAddedDuringMonth" localSheetId="43">_xlfn.LAMBDA(_xlpm.Month,_xlpm.LivestockClass, IFERROR(SUM(_xlfn._xlws.FILTER(#REF!, (#REF! &gt;= EOMONTH(_xlpm.Month, -1) + 1) * (#REF! &lt;= EOMONTH(_xlpm.Month, 0)) * (#REF! = _xlpm.LivestockClass))), 0))</definedName>
    <definedName name="CommonLivestock_InputFunctions.LivestockMovement_TotalLiveweightAddedDuringMonth" localSheetId="44">_xlfn.LAMBDA(_xlpm.Month,_xlpm.LivestockClass, IFERROR(SUM(_xlfn._xlws.FILTER(#REF!, (#REF! &gt;= EOMONTH(_xlpm.Month, -1) + 1) * (#REF! &lt;= EOMONTH(_xlpm.Month, 0)) * (#REF! = _xlpm.LivestockClass))), 0))</definedName>
    <definedName name="CommonLivestock_InputFunctions.LivestockMovement_TotalLiveweightAddedDuringMonth" localSheetId="45">_xlfn.LAMBDA(_xlpm.Month,_xlpm.LivestockClass, IFERROR(SUM(_xlfn._xlws.FILTER(#REF!, (#REF! &gt;= EOMONTH(_xlpm.Month, -1) + 1) * (#REF! &lt;= EOMONTH(_xlpm.Month, 0)) * (#REF! = _xlpm.LivestockClass))), 0))</definedName>
    <definedName name="CommonLivestock_InputFunctions.LivestockMovement_TotalLiveweightAddedDuringMonth" localSheetId="24">_xlfn.LAMBDA(_xlpm.Month,_xlpm.LivestockClass, IFERROR(SUM(_xlfn._xlws.FILTER(#REF!, (#REF! &gt;= EOMONTH(_xlpm.Month, -1) + 1) * (#REF! &lt;= EOMONTH(_xlpm.Month, 0)) * (#REF! = _xlpm.LivestockClass))), 0))</definedName>
    <definedName name="CommonLivestock_InputFunctions.LivestockMovement_TotalLiveweightAddedDuringMonth" localSheetId="25">_xlfn.LAMBDA(_xlpm.Month,_xlpm.LivestockClass, IFERROR(SUM(_xlfn._xlws.FILTER(#REF!, (#REF! &gt;= EOMONTH(_xlpm.Month, -1) + 1) * (#REF! &lt;= EOMONTH(_xlpm.Month, 0)) * (#REF! = _xlpm.LivestockClass))), 0))</definedName>
    <definedName name="CommonLivestock_InputFunctions.LivestockMovement_TotalLiveweightAddedDuringMonth" localSheetId="29">_xlfn.LAMBDA(_xlpm.Month,_xlpm.LivestockClass, IFERROR(SUM(_xlfn._xlws.FILTER(#REF!, (#REF! &gt;= EOMONTH(_xlpm.Month, -1) + 1) * (#REF! &lt;= EOMONTH(_xlpm.Month, 0)) * (#REF! = _xlpm.LivestockClass))), 0))</definedName>
    <definedName name="CommonLivestock_InputFunctions.LivestockMovement_TotalLiveweightAddedDuringMonth" localSheetId="37">_xlfn.LAMBDA(_xlpm.Month,_xlpm.LivestockClass, IFERROR(SUM(_xlfn._xlws.FILTER(#REF!, (#REF! &gt;= EOMONTH(_xlpm.Month, -1) + 1) * (#REF! &lt;= EOMONTH(_xlpm.Month, 0)) * (#REF! = _xlpm.LivestockClass))), 0))</definedName>
    <definedName name="CommonLivestock_InputFunctions.LivestockMovement_TotalLiveweightAddedDuringMonth" localSheetId="31">_xlfn.LAMBDA(_xlpm.Month,_xlpm.LivestockClass, IFERROR(SUM(_xlfn._xlws.FILTER(#REF!, (#REF! &gt;= EOMONTH(_xlpm.Month, -1) + 1) * (#REF! &lt;= EOMONTH(_xlpm.Month, 0)) * (#REF! = _xlpm.LivestockClass))), 0))</definedName>
    <definedName name="CommonLivestock_InputFunctions.LivestockMovement_TotalLiveweightAddedDuringMonth" localSheetId="32">_xlfn.LAMBDA(_xlpm.Month,_xlpm.LivestockClass, IFERROR(SUM(_xlfn._xlws.FILTER(#REF!, (#REF! &gt;= EOMONTH(_xlpm.Month, -1) + 1) * (#REF! &lt;= EOMONTH(_xlpm.Month, 0)) * (#REF! = _xlpm.LivestockClass))), 0))</definedName>
    <definedName name="CommonLivestock_InputFunctions.LivestockMovement_TotalLiveweightAddedDuringMonth" localSheetId="33">_xlfn.LAMBDA(_xlpm.Month,_xlpm.LivestockClass, IFERROR(SUM(_xlfn._xlws.FILTER(#REF!, (#REF! &gt;= EOMONTH(_xlpm.Month, -1) + 1) * (#REF! &lt;= EOMONTH(_xlpm.Month, 0)) * (#REF! = _xlpm.LivestockClass))), 0))</definedName>
    <definedName name="CommonLivestock_InputFunctions.LivestockMovement_TotalLiveweightAddedDuringMonth" localSheetId="34">_xlfn.LAMBDA(_xlpm.Month,_xlpm.LivestockClass, IFERROR(SUM(_xlfn._xlws.FILTER(#REF!, (#REF! &gt;= EOMONTH(_xlpm.Month, -1) + 1) * (#REF! &lt;= EOMONTH(_xlpm.Month, 0)) * (#REF! = _xlpm.LivestockClass))), 0))</definedName>
    <definedName name="CommonLivestock_InputFunctions.LivestockMovement_TotalLiveweightAddedDuringMonth" localSheetId="30">_xlfn.LAMBDA(_xlpm.Month,_xlpm.LivestockClass, IFERROR(SUM(_xlfn._xlws.FILTER(#REF!, (#REF! &gt;= EOMONTH(_xlpm.Month, -1) + 1) * (#REF! &lt;= EOMONTH(_xlpm.Month, 0)) * (#REF! = _xlpm.LivestockClass))), 0))</definedName>
    <definedName name="CommonLivestock_InputFunctions.LivestockMovement_TotalLiveweightAddedDuringMonth" localSheetId="35">_xlfn.LAMBDA(_xlpm.Month,_xlpm.LivestockClass, IFERROR(SUM(_xlfn._xlws.FILTER(#REF!, (#REF! &gt;= EOMONTH(_xlpm.Month, -1) + 1) * (#REF! &lt;= EOMONTH(_xlpm.Month, 0)) * (#REF! = _xlpm.LivestockClass))), 0))</definedName>
    <definedName name="CommonLivestock_InputFunctions.LivestockMovement_TotalLiveweightAddedDuringMonth" localSheetId="36">_xlfn.LAMBDA(_xlpm.Month,_xlpm.LivestockClass, IFERROR(SUM(_xlfn._xlws.FILTER(#REF!, (#REF! &gt;= EOMONTH(_xlpm.Month, -1) + 1) * (#REF! &lt;= EOMONTH(_xlpm.Month, 0)) * (#REF! = _xlpm.LivestockClass))), 0))</definedName>
    <definedName name="CommonLivestock_InputFunctions.LivestockMovement_TotalLiveweightAddedDuringMonth" localSheetId="10">_xlfn.LAMBDA(_xlpm.Month,_xlpm.LivestockClass, IFERROR(SUM(_xlfn._xlws.FILTER(#REF!, (#REF! &gt;= EOMONTH(_xlpm.Month, -1) + 1) * (#REF! &lt;= EOMONTH(_xlpm.Month, 0)) * (#REF! = _xlpm.LivestockClass))), 0))</definedName>
    <definedName name="CommonLivestock_InputFunctions.LivestockMovement_TotalLiveweightAddedDuringMonth" localSheetId="9">_xlfn.LAMBDA(_xlpm.Month,_xlpm.LivestockClass, IFERROR(SUM(_xlfn._xlws.FILTER(#REF!, (#REF! &gt;= EOMONTH(_xlpm.Month, -1) + 1) * (#REF! &lt;= EOMONTH(_xlpm.Month, 0)) * (#REF! = _xlpm.LivestockClass))), 0))</definedName>
    <definedName name="CommonLivestock_InputFunctions.LivestockMovement_TotalLiveweightAddedDuringMonth" localSheetId="38">_xlfn.LAMBDA(_xlpm.Month,_xlpm.LivestockClass, IFERROR(SUM(_xlfn._xlws.FILTER(#REF!, (#REF! &gt;= EOMONTH(_xlpm.Month, -1) + 1) * (#REF! &lt;= EOMONTH(_xlpm.Month, 0)) * (#REF! = _xlpm.LivestockClass))), 0))</definedName>
    <definedName name="CommonLivestock_InputFunctions.LivestockMovement_TotalLiveweightAddedDuringMonth" localSheetId="39">_xlfn.LAMBDA(_xlpm.Month,_xlpm.LivestockClass, IFERROR(SUM(_xlfn._xlws.FILTER(#REF!, (#REF! &gt;= EOMONTH(_xlpm.Month, -1) + 1) * (#REF! &lt;= EOMONTH(_xlpm.Month, 0)) * (#REF! = _xlpm.LivestockClass))), 0))</definedName>
    <definedName name="CommonLivestock_InputFunctions.LivestockMovement_TotalLiveweightAddedDuringMonth" localSheetId="12">_xlfn.LAMBDA(_xlpm.Month,_xlpm.LivestockClass, IFERROR(SUM(_xlfn._xlws.FILTER(#REF!, (#REF! &gt;= EOMONTH(_xlpm.Month, -1) + 1) * (#REF! &lt;= EOMONTH(_xlpm.Month, 0)) * (#REF! =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 localSheetId="14">_xlfn.LAMBDA(_xlpm.Month,_xlpm.LivestockClass, IFERROR(SUM(_xlfn._xlws.FILTER(#REF!, (#REF! &gt;= EOMONTH(_xlpm.Month, -1) + 1) * (#REF! &lt;= EOMONTH(_xlpm.Month, 0)) * (#REF! =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 localSheetId="13">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26">_xlfn.LAMBDA(_xlpm.Month,_xlpm.LivestockClass, IFERROR(SUM(_xlfn._xlws.FILTER(#REF!, (#REF! &gt;= EOMONTH(_xlpm.Month, -1) + 1) * (#REF! &lt;= EOMONTH(_xlpm.Month, 0)) * (#REF! = _xlpm.LivestockClass))), 0))</definedName>
    <definedName name="CommonLivestock_InputFunctions.LivestockMovement_TotalLiveweightGrownDuringMonth" localSheetId="27">_xlfn.LAMBDA(_xlpm.Month,_xlpm.LivestockClass, IFERROR(SUM(_xlfn._xlws.FILTER(#REF!, (#REF! &gt;= EOMONTH(_xlpm.Month, -1) + 1) * (#REF! &lt;= EOMONTH(_xlpm.Month, 0)) * (#REF! = _xlpm.LivestockClass))), 0))</definedName>
    <definedName name="CommonLivestock_InputFunctions.LivestockMovement_TotalLiveweightGrownDuringMonth" localSheetId="28">_xlfn.LAMBDA(_xlpm.Month,_xlpm.LivestockClass, IFERROR(SUM(_xlfn._xlws.FILTER(#REF!, (#REF! &gt;= EOMONTH(_xlpm.Month, -1) + 1) * (#REF! &lt;= EOMONTH(_xlpm.Month, 0)) * (#REF! = _xlpm.LivestockClass))), 0))</definedName>
    <definedName name="CommonLivestock_InputFunctions.LivestockMovement_TotalLiveweightGrownDuringMonth" localSheetId="21">_xlfn.LAMBDA(_xlpm.Month,_xlpm.LivestockClass, IFERROR(SUM(_xlfn._xlws.FILTER(#REF!, (#REF! &gt;= EOMONTH(_xlpm.Month, -1) + 1) * (#REF! &lt;= EOMONTH(_xlpm.Month, 0)) * (#REF! = _xlpm.LivestockClass))), 0))</definedName>
    <definedName name="CommonLivestock_InputFunctions.LivestockMovement_TotalLiveweightGrownDuringMonth" localSheetId="16">_xlfn.LAMBDA(_xlpm.Month,_xlpm.LivestockClass, IFERROR(SUM(_xlfn._xlws.FILTER(#REF!, (#REF! &gt;= EOMONTH(_xlpm.Month, -1) + 1) * (#REF! &lt;= EOMONTH(_xlpm.Month, 0)) * (#REF! = _xlpm.LivestockClass))), 0))</definedName>
    <definedName name="CommonLivestock_InputFunctions.LivestockMovement_TotalLiveweightGrownDuringMonth" localSheetId="22">_xlfn.LAMBDA(_xlpm.Month,_xlpm.LivestockClass, IFERROR(SUM(_xlfn._xlws.FILTER(#REF!, (#REF! &gt;= EOMONTH(_xlpm.Month, -1) + 1) * (#REF! &lt;= EOMONTH(_xlpm.Month, 0)) * (#REF! = _xlpm.LivestockClass))), 0))</definedName>
    <definedName name="CommonLivestock_InputFunctions.LivestockMovement_TotalLiveweightGrownDuringMonth" localSheetId="23">_xlfn.LAMBDA(_xlpm.Month,_xlpm.LivestockClass, IFERROR(SUM(_xlfn._xlws.FILTER(#REF!, (#REF! &gt;= EOMONTH(_xlpm.Month, -1) + 1) * (#REF! &lt;= EOMONTH(_xlpm.Month, 0)) * (#REF! = _xlpm.LivestockClass))), 0))</definedName>
    <definedName name="CommonLivestock_InputFunctions.LivestockMovement_TotalLiveweightGrownDuringMonth" localSheetId="17">_xlfn.LAMBDA(_xlpm.Month,_xlpm.LivestockClass, IFERROR(SUM(_xlfn._xlws.FILTER(#REF!, (#REF! &gt;= EOMONTH(_xlpm.Month, -1) + 1) * (#REF! &lt;= EOMONTH(_xlpm.Month, 0)) * (#REF! = _xlpm.LivestockClass))), 0))</definedName>
    <definedName name="CommonLivestock_InputFunctions.LivestockMovement_TotalLiveweightGrownDuringMonth" localSheetId="18">_xlfn.LAMBDA(_xlpm.Month,_xlpm.LivestockClass, IFERROR(SUM(_xlfn._xlws.FILTER(#REF!, (#REF! &gt;= EOMONTH(_xlpm.Month, -1) + 1) * (#REF! &lt;= EOMONTH(_xlpm.Month, 0)) * (#REF! = _xlpm.LivestockClass))), 0))</definedName>
    <definedName name="CommonLivestock_InputFunctions.LivestockMovement_TotalLiveweightGrownDuringMonth" localSheetId="19">_xlfn.LAMBDA(_xlpm.Month,_xlpm.LivestockClass, IFERROR(SUM(_xlfn._xlws.FILTER(#REF!, (#REF! &gt;= EOMONTH(_xlpm.Month, -1) + 1) * (#REF! &lt;= EOMONTH(_xlpm.Month, 0)) * (#REF! = _xlpm.LivestockClass))), 0))</definedName>
    <definedName name="CommonLivestock_InputFunctions.LivestockMovement_TotalLiveweightGrownDuringMonth" localSheetId="20">_xlfn.LAMBDA(_xlpm.Month,_xlpm.LivestockClass, IFERROR(SUM(_xlfn._xlws.FILTER(#REF!, (#REF! &gt;= EOMONTH(_xlpm.Month, -1) + 1) * (#REF! &lt;= EOMONTH(_xlpm.Month, 0)) * (#REF! = _xlpm.LivestockClass))), 0))</definedName>
    <definedName name="CommonLivestock_InputFunctions.LivestockMovement_TotalLiveweightGrownDuringMonth" localSheetId="40">_xlfn.LAMBDA(_xlpm.Month,_xlpm.LivestockClass, IFERROR(SUM(_xlfn._xlws.FILTER(#REF!, (#REF! &gt;= EOMONTH(_xlpm.Month, -1) + 1) * (#REF! &lt;= EOMONTH(_xlpm.Month, 0)) * (#REF! = _xlpm.LivestockClass))), 0))</definedName>
    <definedName name="CommonLivestock_InputFunctions.LivestockMovement_TotalLiveweightGrownDuringMonth" localSheetId="41">_xlfn.LAMBDA(_xlpm.Month,_xlpm.LivestockClass, IFERROR(SUM(_xlfn._xlws.FILTER(#REF!, (#REF! &gt;= EOMONTH(_xlpm.Month, -1) + 1) * (#REF! &lt;= EOMONTH(_xlpm.Month, 0)) * (#REF! = _xlpm.LivestockClass))), 0))</definedName>
    <definedName name="CommonLivestock_InputFunctions.LivestockMovement_TotalLiveweightGrownDuringMonth" localSheetId="42">_xlfn.LAMBDA(_xlpm.Month,_xlpm.LivestockClass, IFERROR(SUM(_xlfn._xlws.FILTER(#REF!, (#REF! &gt;= EOMONTH(_xlpm.Month, -1) + 1) * (#REF! &lt;= EOMONTH(_xlpm.Month, 0)) * (#REF! = _xlpm.LivestockClass))), 0))</definedName>
    <definedName name="CommonLivestock_InputFunctions.LivestockMovement_TotalLiveweightGrownDuringMonth" localSheetId="43">_xlfn.LAMBDA(_xlpm.Month,_xlpm.LivestockClass, IFERROR(SUM(_xlfn._xlws.FILTER(#REF!, (#REF! &gt;= EOMONTH(_xlpm.Month, -1) + 1) * (#REF! &lt;= EOMONTH(_xlpm.Month, 0)) * (#REF! = _xlpm.LivestockClass))), 0))</definedName>
    <definedName name="CommonLivestock_InputFunctions.LivestockMovement_TotalLiveweightGrownDuringMonth" localSheetId="44">_xlfn.LAMBDA(_xlpm.Month,_xlpm.LivestockClass, IFERROR(SUM(_xlfn._xlws.FILTER(#REF!, (#REF! &gt;= EOMONTH(_xlpm.Month, -1) + 1) * (#REF! &lt;= EOMONTH(_xlpm.Month, 0)) * (#REF! = _xlpm.LivestockClass))), 0))</definedName>
    <definedName name="CommonLivestock_InputFunctions.LivestockMovement_TotalLiveweightGrownDuringMonth" localSheetId="45">_xlfn.LAMBDA(_xlpm.Month,_xlpm.LivestockClass, IFERROR(SUM(_xlfn._xlws.FILTER(#REF!, (#REF! &gt;= EOMONTH(_xlpm.Month, -1) + 1) * (#REF! &lt;= EOMONTH(_xlpm.Month, 0)) * (#REF! = _xlpm.LivestockClass))), 0))</definedName>
    <definedName name="CommonLivestock_InputFunctions.LivestockMovement_TotalLiveweightGrownDuringMonth" localSheetId="24">_xlfn.LAMBDA(_xlpm.Month,_xlpm.LivestockClass, IFERROR(SUM(_xlfn._xlws.FILTER(#REF!, (#REF! &gt;= EOMONTH(_xlpm.Month, -1) + 1) * (#REF! &lt;= EOMONTH(_xlpm.Month, 0)) * (#REF! = _xlpm.LivestockClass))), 0))</definedName>
    <definedName name="CommonLivestock_InputFunctions.LivestockMovement_TotalLiveweightGrownDuringMonth" localSheetId="25">_xlfn.LAMBDA(_xlpm.Month,_xlpm.LivestockClass, IFERROR(SUM(_xlfn._xlws.FILTER(#REF!, (#REF! &gt;= EOMONTH(_xlpm.Month, -1) + 1) * (#REF! &lt;= EOMONTH(_xlpm.Month, 0)) * (#REF! = _xlpm.LivestockClass))), 0))</definedName>
    <definedName name="CommonLivestock_InputFunctions.LivestockMovement_TotalLiveweightGrownDuringMonth" localSheetId="29">_xlfn.LAMBDA(_xlpm.Month,_xlpm.LivestockClass, IFERROR(SUM(_xlfn._xlws.FILTER(#REF!, (#REF! &gt;= EOMONTH(_xlpm.Month, -1) + 1) * (#REF! &lt;= EOMONTH(_xlpm.Month, 0)) * (#REF! = _xlpm.LivestockClass))), 0))</definedName>
    <definedName name="CommonLivestock_InputFunctions.LivestockMovement_TotalLiveweightGrownDuringMonth" localSheetId="37">_xlfn.LAMBDA(_xlpm.Month,_xlpm.LivestockClass, IFERROR(SUM(_xlfn._xlws.FILTER(#REF!, (#REF! &gt;= EOMONTH(_xlpm.Month, -1) + 1) * (#REF! &lt;= EOMONTH(_xlpm.Month, 0)) * (#REF! = _xlpm.LivestockClass))), 0))</definedName>
    <definedName name="CommonLivestock_InputFunctions.LivestockMovement_TotalLiveweightGrownDuringMonth" localSheetId="31">_xlfn.LAMBDA(_xlpm.Month,_xlpm.LivestockClass, IFERROR(SUM(_xlfn._xlws.FILTER(#REF!, (#REF! &gt;= EOMONTH(_xlpm.Month, -1) + 1) * (#REF! &lt;= EOMONTH(_xlpm.Month, 0)) * (#REF! = _xlpm.LivestockClass))), 0))</definedName>
    <definedName name="CommonLivestock_InputFunctions.LivestockMovement_TotalLiveweightGrownDuringMonth" localSheetId="32">_xlfn.LAMBDA(_xlpm.Month,_xlpm.LivestockClass, IFERROR(SUM(_xlfn._xlws.FILTER(#REF!, (#REF! &gt;= EOMONTH(_xlpm.Month, -1) + 1) * (#REF! &lt;= EOMONTH(_xlpm.Month, 0)) * (#REF! = _xlpm.LivestockClass))), 0))</definedName>
    <definedName name="CommonLivestock_InputFunctions.LivestockMovement_TotalLiveweightGrownDuringMonth" localSheetId="33">_xlfn.LAMBDA(_xlpm.Month,_xlpm.LivestockClass, IFERROR(SUM(_xlfn._xlws.FILTER(#REF!, (#REF! &gt;= EOMONTH(_xlpm.Month, -1) + 1) * (#REF! &lt;= EOMONTH(_xlpm.Month, 0)) * (#REF! = _xlpm.LivestockClass))), 0))</definedName>
    <definedName name="CommonLivestock_InputFunctions.LivestockMovement_TotalLiveweightGrownDuringMonth" localSheetId="34">_xlfn.LAMBDA(_xlpm.Month,_xlpm.LivestockClass, IFERROR(SUM(_xlfn._xlws.FILTER(#REF!, (#REF! &gt;= EOMONTH(_xlpm.Month, -1) + 1) * (#REF! &lt;= EOMONTH(_xlpm.Month, 0)) * (#REF! = _xlpm.LivestockClass))), 0))</definedName>
    <definedName name="CommonLivestock_InputFunctions.LivestockMovement_TotalLiveweightGrownDuringMonth" localSheetId="30">_xlfn.LAMBDA(_xlpm.Month,_xlpm.LivestockClass, IFERROR(SUM(_xlfn._xlws.FILTER(#REF!, (#REF! &gt;= EOMONTH(_xlpm.Month, -1) + 1) * (#REF! &lt;= EOMONTH(_xlpm.Month, 0)) * (#REF! = _xlpm.LivestockClass))), 0))</definedName>
    <definedName name="CommonLivestock_InputFunctions.LivestockMovement_TotalLiveweightGrownDuringMonth" localSheetId="35">_xlfn.LAMBDA(_xlpm.Month,_xlpm.LivestockClass, IFERROR(SUM(_xlfn._xlws.FILTER(#REF!, (#REF! &gt;= EOMONTH(_xlpm.Month, -1) + 1) * (#REF! &lt;= EOMONTH(_xlpm.Month, 0)) * (#REF! = _xlpm.LivestockClass))), 0))</definedName>
    <definedName name="CommonLivestock_InputFunctions.LivestockMovement_TotalLiveweightGrownDuringMonth" localSheetId="36">_xlfn.LAMBDA(_xlpm.Month,_xlpm.LivestockClass, IFERROR(SUM(_xlfn._xlws.FILTER(#REF!, (#REF! &gt;= EOMONTH(_xlpm.Month, -1) + 1) * (#REF! &lt;= EOMONTH(_xlpm.Month, 0)) * (#REF! = _xlpm.LivestockClass))), 0))</definedName>
    <definedName name="CommonLivestock_InputFunctions.LivestockMovement_TotalLiveweightGrownDuringMonth" localSheetId="10">_xlfn.LAMBDA(_xlpm.Month,_xlpm.LivestockClass, IFERROR(SUM(_xlfn._xlws.FILTER(#REF!, (#REF! &gt;= EOMONTH(_xlpm.Month, -1) + 1) * (#REF! &lt;= EOMONTH(_xlpm.Month, 0)) * (#REF! = _xlpm.LivestockClass))), 0))</definedName>
    <definedName name="CommonLivestock_InputFunctions.LivestockMovement_TotalLiveweightGrownDuringMonth" localSheetId="9">_xlfn.LAMBDA(_xlpm.Month,_xlpm.LivestockClass, IFERROR(SUM(_xlfn._xlws.FILTER(#REF!, (#REF! &gt;= EOMONTH(_xlpm.Month, -1) + 1) * (#REF! &lt;= EOMONTH(_xlpm.Month, 0)) * (#REF! = _xlpm.LivestockClass))), 0))</definedName>
    <definedName name="CommonLivestock_InputFunctions.LivestockMovement_TotalLiveweightGrownDuringMonth" localSheetId="38">_xlfn.LAMBDA(_xlpm.Month,_xlpm.LivestockClass, IFERROR(SUM(_xlfn._xlws.FILTER(#REF!, (#REF! &gt;= EOMONTH(_xlpm.Month, -1) + 1) * (#REF! &lt;= EOMONTH(_xlpm.Month, 0)) * (#REF! = _xlpm.LivestockClass))), 0))</definedName>
    <definedName name="CommonLivestock_InputFunctions.LivestockMovement_TotalLiveweightGrownDuringMonth" localSheetId="39">_xlfn.LAMBDA(_xlpm.Month,_xlpm.LivestockClass, IFERROR(SUM(_xlfn._xlws.FILTER(#REF!, (#REF! &gt;= EOMONTH(_xlpm.Month, -1) + 1) * (#REF! &lt;= EOMONTH(_xlpm.Month, 0)) * (#REF! = _xlpm.LivestockClass))), 0))</definedName>
    <definedName name="CommonLivestock_InputFunctions.LivestockMovement_TotalLiveweightGrownDuringMonth" localSheetId="12">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 localSheetId="14">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 localSheetId="13">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_xlfn.LAMBDA(_xlfn.MAKEARRAY(9, 2, _xlfn.LAMBDA(_xlpm.r,_xlpm.c, INDEX({"Product","Source region";"Cattle, for manufacturing beef","Australia";"Cattle, for prime beef","NSW";"Cattle, weaners","NT";"","QLD";"","SA";"","TAS";"","VIC";"","WA"}, _xlpm.r, _xlpm.c))))</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_xlfn.LAMBDA(_xlfn.MAKEARRAY(2, 2, _xlfn.LAMBDA(_xlpm.r,_xlpm.c, INDEX({"Product","Source region";"Chickens","Australia"}, _xlpm.r, _xlpm.c))))</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_xlfn.LAMBDA(_xlfn.MAKEARRAY(2, 2, _xlfn.LAMBDA(_xlpm.r,_xlpm.c, INDEX({"Product","Source region";"Dairy cows","VIC"}, _xlpm.r, _xlpm.c))))</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_xlfn.LAMBDA(_xlfn.MAKEARRAY(2, 2, _xlfn.LAMBDA(_xlpm.r,_xlpm.c, INDEX({"Product","Source region";"Pigs","Australia"}, _xlpm.r, _xlpm.c))))</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_xlfn.LAMBDA(_xlfn.MAKEARRAY(8, 2, _xlfn.LAMBDA(_xlpm.r,_xlpm.c, INDEX({"Product","Source region";"Sheep, for mutton","Australia";"Sheep, for prime lamb","NSW";"","QLD";"","SA";"","TAS";"","VIC";"","WA"}, _xlpm.r, _xlpm.c))))</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lectricity_Equations.VEERG_10_1_1__1_Scope2Electricity_LocationBased">_xlfn.LAMBDA(_xlpm.Qelec,_xlpm.EF2elec, _xlpm.Qelec * _xlpm.EF2elec * 10 ^ -3)</definedName>
    <definedName name="Electricity_Equations.VEERG_10_1_1__1_Scope2Electricity_LocationBased_Arguments">_xlfn.LAMBDA(_xlfn.MAKEARRAY(3, 3, _xlfn.LAMBDA(_xlpm.r,_xlpm.c, INDEX({"Qelec","Amount of electricity purchased from the grid","kWh";"EF2,elec","Location - based Scope 2 emission factor for electricity","kg CO2e / kWh";"2","Scope 2",""}, _xlpm.r, _xlpm.c))))</definedName>
    <definedName name="Electricity_Equations.VEERG_10_1_1__1_Scope2Electricity_LocationBased_NIRReference">_xlfn.LAMBDA("Australian National Greenhouse Accounts Factors 2025 - 2.2 Estimating emissions from stationary energy sources")</definedName>
    <definedName name="Electricity_Equations.VEERG_10_1_1__1_Scope2Electricity_LocationBased_ReadableEquation">_xlfn.LAMBDA("E2,elec = Qelec * EF2,elec * 10 ^ - 3")</definedName>
    <definedName name="Electricity_Equations.VEERG_10_1_1__1_Scope2Electricity_LocationBased_Source">_xlfn.LAMBDA("VEERG 2026: 10.1.1, Equation (1)")</definedName>
    <definedName name="Electricity_Equations.VEERG_10_1_1__1_Scope2Electricity_LocationBased_Title">_xlfn.LAMBDA("Location-based Scope 2 emissions from purchased electricity")</definedName>
    <definedName name="Electricity_Equations.VEERG_10_1_1__1_Scope2Electricity_LocationBased_Unit">_xlfn.LAMBDA("t CO2-e")</definedName>
    <definedName name="Electricity_Equations.VEERG_10_1_1__1_Scope2Electricity_LocationBased_Variable">_xlfn.LAMBDA("E2elec")</definedName>
    <definedName name="Electricity_Equations.VEERG_11_9_1_1__1_Scope3Electricity_LocationBased">_xlfn.LAMBDA(_xlpm.Qelec,_xlpm.EF3elec, _xlpm.Qelec * _xlpm.EF3elec * 10 ^ -3)</definedName>
    <definedName name="Electricity_Equations.VEERG_11_9_1_1__1_Scope3Electricity_LocationBased_Arguments">_xlfn.LAMBDA(_xlfn.MAKEARRAY(3, 3, _xlfn.LAMBDA(_xlpm.r,_xlpm.c, INDEX({"Qelec","Amount of electricity purchased from the grid","kWh";"EF3,elec","Location - based Scope 3 emission factor for electricity","kg CO2e / kWh";"3","Scope 3",""}, _xlpm.r, _xlpm.c))))</definedName>
    <definedName name="Electricity_Equations.VEERG_11_9_1_1__1_Scope3Electricity_LocationBased_NIRReference">_xlfn.LAMBDA("Australian National Greenhouse Accounts Factors 2025 - 2.2 Estimating emissions from stationary energy sources")</definedName>
    <definedName name="Electricity_Equations.VEERG_11_9_1_1__1_Scope3Electricity_LocationBased_ReadableEquation">_xlfn.LAMBDA("E3,elec = Qelec * EF3,elec * 10 ^ - 3")</definedName>
    <definedName name="Electricity_Equations.VEERG_11_9_1_1__1_Scope3Electricity_LocationBased_Source">_xlfn.LAMBDA("VEERG 2026: 11.9.1.1, Equation (1)")</definedName>
    <definedName name="Electricity_Equations.VEERG_11_9_1_1__1_Scope3Electricity_LocationBased_Title">_xlfn.LAMBDA("Location-based Scope 3 emissions from purchased electricity")</definedName>
    <definedName name="Electricity_Equations.VEERG_11_9_1_1__1_Scope3Electricity_LocationBased_Unit">_xlfn.LAMBDA("t CO2-e")</definedName>
    <definedName name="Electricity_Equations.VEERG_11_9_1_1__1_Scope3Electricity_LocationBased_Variable">_xlfn.LAMBDA("E3elec")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EntericMethane_Dairy_Equations.VEERG_3_3_1_1__1_TotalAnnualMethaneFromEntericFermentation">_xlfn.LAMBDA(_xlpm.N_j124,_xlpm.M_j124,_xlpm.D_j124,_xlpm.N_j35,_xlpm.M_j35,_xlpm.D_j35,_xlpm.MPW_ENTERIC_j35, ((_xlpm.N_j124 * _xlpm.M_j124 * _xlpm.D_j124) + (_xlpm.N_j35 * _xlpm.M_j35 * _xlpm.D_j35) + (_xlpm.N_j35 * _xlpm.MPW_ENTERIC_j35 * _xlpm.D_j35)) * 10 ^ -3)</definedName>
    <definedName name="EntericMethane_Dairy_Equations.VEERG_3_3_1_1__1_TotalAnnualMethaneFromEntericFermentation_Arguments">_xlfn.LAMBDA(_xlfn.MAKEARRAY(8, 4, _xlfn.LAMBDA(_xlpm.r,_xlpm.c, INDEX({"N_j124","number of dairy cattle in classes j=1,2,4","head","Input";"M_j124","daily enteric methane production for classes j=1,2,4","kg CH4/head/day","Calculated from 3.3.1.1 (2)";"D_j124","duration of stay on the farm for classes j=1,2,4","days","Input";"N_j35","number of dairy cattle in classes j=3,5","head","Input";"M_j35","daily enteric methane production for weaned classes j=3,5","kg CH4/head/day","Calculated from 3.3.1.1 (2)";"D_j35","duration of stay on the farm for weaned classes j=3,5","days","Input";"DPW_j35","duration of stay on the farm for pre-weaned heifer and bull calves","days","Input";"MPW_ENTERIC_j35","daily methane production for pre-weaned heifer and bull calves","kg CH4/head/day","Constant"}, _xlpm.r, _xlpm.c))))</definedName>
    <definedName name="EntericMethane_Dairy_Equations.VEERG_3_3_1_1__1_TotalAnnualMethaneFromEntericFermentation_LatexEquation">_xlfn.LAMBDA("E_{enteric}=\sum\nolimits_j((N_{j=1,2,4}\times M_{j=1,2,4}\times D_{j=1,2,4})+(N_{j=3,5}\times M_{j=3,5}\times D_{j=3,5})+(N_{j=3,5}\times MPW_{ENTERIC,j=3,5}\times D_{j=3,5}))\times 10^{-3}")</definedName>
    <definedName name="EntericMethane_Dairy_Equations.VEERG_3_3_1_1__1_TotalAnnualMethaneFromEntericFermentation_LatexEquationVariation">_xlfn.LAMBDA("E_{enteric}=\sum\nolimits_j((N_{j=1,2,4}\times M_{j=1,2,4}\times D_{j=1,2,4})+(N_{j=3,5}\times M_{j=3,5}\times D_{j=3,5})+(N_{j=3,5}\times MPW_{ENTERIC,j=3,5}\times DPW_{j=3,5}))\times 10^{-3}")</definedName>
    <definedName name="EntericMethane_Dairy_Equations.VEERG_3_3_1_1__1_TotalAnnualMethaneFromEntericFermentation_NIRReference">_xlfn.LAMBDA("")</definedName>
    <definedName name="EntericMethane_Dairy_Equations.VEERG_3_3_1_1__1_TotalAnnualMethaneFromEntericFermentation_Source">_xlfn.LAMBDA("VEERG 2026: 3.3.1.1, Equation (1)")</definedName>
    <definedName name="EntericMethane_Dairy_Equations.VEERG_3_3_1_1__1_TotalAnnualMethaneFromEntericFermentation_Title">_xlfn.LAMBDA("Total annual methane production from enteric fermentation in dairy cattle")</definedName>
    <definedName name="EntericMethane_Dairy_Equations.VEERG_3_3_1_1__1_TotalAnnualMethaneFromEntericFermentation_Unit">_xlfn.LAMBDA("t CH4")</definedName>
    <definedName name="EntericMethane_Dairy_Equations.VEERG_3_3_1_1__1_TotalAnnualMethaneFromEntericFermentation_Variable">_xlfn.LAMBDA("E_enteric")</definedName>
    <definedName name="EntericMethane_Dairy_Equations.VEERG_3_3_1_1__1_TotalAnnualMethaneFromEntericFermentation_Variation">_xlfn.LAMBDA("VARIATION ON SOURCE: Added 'DPW' variable to allow for a separate handling of pre-weaned duration.")</definedName>
    <definedName name="EntericMethane_Dairy_Equations.VEERG_3_3_1_1__1_TotalAnnualMethaneFromEntericFermentationVariation">_xlfn.LAMBDA(_xlpm.N_j124,_xlpm.M_j124,_xlpm.D_j124,_xlpm.N_j35,_xlpm.M_j35,_xlpm.D_j35,_xlpm.DPW_j35,_xlpm.MPW_ENTERIC_j35, ((_xlpm.N_j124 * _xlpm.M_j124 * _xlpm.D_j124) + (_xlpm.N_j35 * _xlpm.M_j35 * _xlpm.D_j35) + (_xlpm.N_j35 * _xlpm.MPW_ENTERIC_j35 * _xlpm.DPW_j35)) * 10 ^ -3)</definedName>
    <definedName name="EntericMethane_Dairy_Equations.VEERG_3_3_1_1__2_DailyEntericMethaneProduction">_xlfn.LAMBDA(_xlpm.I_j, 20.7 * _xlpm.I_j * 10 ^ -3)</definedName>
    <definedName name="EntericMethane_Dairy_Equations.VEERG_3_3_1_1__2_DailyEntericMethaneProduction_Arguments">_xlfn.LAMBDA(_xlfn.MAKEARRAY(1, 4, _xlfn.LAMBDA(_xlpm.r,_xlpm.c, INDEX({"I_j","dry matter feed intake","kg DM/head/day","Calculated from 3.3.1.1 (3)"}, _xlpm.r, _xlpm.c))))</definedName>
    <definedName name="EntericMethane_Dairy_Equations.VEERG_3_3_1_1__2_DailyEntericMethaneProduction_LatexEquation">_xlfn.LAMBDA("M_j=20.7\times I_j\times 10^{-3}")</definedName>
    <definedName name="EntericMethane_Dairy_Equations.VEERG_3_3_1_1__2_DailyEntericMethaneProduction_NIRReference">_xlfn.LAMBDA("Charmley et al. (2015)")</definedName>
    <definedName name="EntericMethane_Dairy_Equations.VEERG_3_3_1_1__2_DailyEntericMethaneProduction_Source">_xlfn.LAMBDA("VEERG 2026: 3.3.1.1, Equation (2)")</definedName>
    <definedName name="EntericMethane_Dairy_Equations.VEERG_3_3_1_1__2_DailyEntericMethaneProduction_Title">_xlfn.LAMBDA("Daily production of enteric methane")</definedName>
    <definedName name="EntericMethane_Dairy_Equations.VEERG_3_3_1_1__2_DailyEntericMethaneProduction_Unit">_xlfn.LAMBDA("kg CH4/head/day")</definedName>
    <definedName name="EntericMethane_Dairy_Equations.VEERG_3_3_1_1__2_DailyEntericMethaneProduction_Variable">_xlfn.LAMBDA("M_j")</definedName>
    <definedName name="EntericMethane_Dairy_Equations.VEERG_3_3_1_1__3_DryMatterFeedIntake">_xlfn.LAMBDA(_xlpm.W_j,_xlpm.LWG_j,_xlpm.MR_j,_xlpm.MI_j, (1.185 + 0.00454 * _xlpm.W_j - 0.0000026 * _xlpm.W_j ^ 2 + 0.315 * _xlpm.LWG_j) ^ 2 * _xlpm.MR_j + _xlpm.MI_j)</definedName>
    <definedName name="EntericMethane_Dairy_Equations.VEERG_3_3_1_1__3_DryMatterFeedIntake_Arguments">_xlfn.LAMBDA(_xlfn.MAKEARRAY(4, 4, _xlfn.LAMBDA(_xlpm.r,_xlpm.c, INDEX({"W_j","liveweight","kg","Input";"LWG_j","liveweight gain","kg/head/day","Input";"MR_j","increase in metabolic rate when producing milk","fraction","Constant";"MI_j","additional intake required for milk production","kg DM/head/day","Calculated from 3.3.1.1 (4)"}, _xlpm.r, _xlpm.c))))</definedName>
    <definedName name="EntericMethane_Dairy_Equations.VEERG_3_3_1_1__3_DryMatterFeedIntake_LatexEquation">_xlfn.LAMBDA("I_j=(1.185+0.00454\times W_j-0.0000026\times W_j^2+0.315\times LWG_j)^2\times MR_j+MI_j")</definedName>
    <definedName name="EntericMethane_Dairy_Equations.VEERG_3_3_1_1__3_DryMatterFeedIntake_NIRReference">_xlfn.LAMBDA("")</definedName>
    <definedName name="EntericMethane_Dairy_Equations.VEERG_3_3_1_1__3_DryMatterFeedIntake_Source">_xlfn.LAMBDA("VEERG 2026: 3.3.1.1, Equation (3)")</definedName>
    <definedName name="EntericMethane_Dairy_Equations.VEERG_3_3_1_1__3_DryMatterFeedIntake_Title">_xlfn.LAMBDA("Feed intake")</definedName>
    <definedName name="EntericMethane_Dairy_Equations.VEERG_3_3_1_1__3_DryMatterFeedIntake_Unit">_xlfn.LAMBDA("kg DM/head/day")</definedName>
    <definedName name="EntericMethane_Dairy_Equations.VEERG_3_3_1_1__3_DryMatterFeedIntake_Variable">_xlfn.LAMBDA("I_j")</definedName>
    <definedName name="EntericMethane_Dairy_Equations.VEERG_3_3_1_1__4_AdditionalIntakeForMilkProduction">_xlfn.LAMBDA(_xlpm.MP_j,_xlpm.NE,_xlpm.GEC,_xlpm.k,_xlpm.qm_j, (_xlpm.MP_j * 1.03 * _xlpm.NE) / (_xlpm.GEC * _xlpm.k * _xlpm.qm_j))</definedName>
    <definedName name="EntericMethane_Dairy_Equations.VEERG_3_3_1_1__4_AdditionalIntakeForMilkProduction_Arguments">_xlfn.LAMBDA(_xlfn.MAKEARRAY(7, 4, _xlfn.LAMBDA(_xlpm.r,_xlpm.c, INDEX({"MPU","input milk production unit","","Input";"MP_j","milk production (if input as litres of milk)","L/head/day","Input";"MP_j","milk production (if input as milk solids)","L/head/day","Calculated from 3.3.1.1 (5)";"NE","net energy","MJ net energy/kg milk","Constant";"GEC","gross energy content","MJ/kgDM","Constant";"k","efficiency of metabolizable energy use for milk production","fraction","Constant";"qm_j","metabolisability of the diet","fraction","Calculated from 3.3.1.1 (6)"}, _xlpm.r, _xlpm.c))))</definedName>
    <definedName name="EntericMethane_Dairy_Equations.VEERG_3_3_1_1__4_AdditionalIntakeForMilkProduction_LatexEquation">_xlfn.LAMBDA("MI_j=\frac{MP_j\times 1.03\times NE}{GEC\times k\times qm_j}")</definedName>
    <definedName name="EntericMethane_Dairy_Equations.VEERG_3_3_1_1__4_AdditionalIntakeForMilkProduction_NIRReference">_xlfn.LAMBDA("")</definedName>
    <definedName name="EntericMethane_Dairy_Equations.VEERG_3_3_1_1__4_AdditionalIntakeForMilkProduction_Source">_xlfn.LAMBDA("VEERG 2026: 3.3.1.1, Equation (4)")</definedName>
    <definedName name="EntericMethane_Dairy_Equations.VEERG_3_3_1_1__4_AdditionalIntakeForMilkProduction_Title">_xlfn.LAMBDA("Additional intake required for milk production")</definedName>
    <definedName name="EntericMethane_Dairy_Equations.VEERG_3_3_1_1__4_AdditionalIntakeForMilkProduction_Unit">_xlfn.LAMBDA("kg DM/head/day")</definedName>
    <definedName name="EntericMethane_Dairy_Equations.VEERG_3_3_1_1__4_AdditionalIntakeForMilkProduction_Variable">_xlfn.LAMBDA("MI_j")</definedName>
    <definedName name="EntericMethane_Dairy_Equations.VEERG_3_3_1_1__4_AdditionalIntakeForMilkProduction_Variation">_xlfn.LAMBDA("VARATION ON SOURCE: Added milk production unit variable to allow for use of either milk solids or litres of milk.")</definedName>
    <definedName name="EntericMethane_Dairy_Equations.VEERG_3_3_1_1__5_MilkProductionFromMilkSolids">_xlfn.LAMBDA(_xlpm.MS_j,_xlpm.FC_j,_xlpm.PC_j, _xlpm.MS_j / (0.01 * (_xlpm.FC_j + _xlpm.PC_j)))</definedName>
    <definedName name="EntericMethane_Dairy_Equations.VEERG_3_3_1_1__5_MilkProductionFromMilkSolids_Arguments">_xlfn.LAMBDA(
    _xlfn.MAKEARRAY(4, 4,
      _xlfn.LAMBDA(_xlpm.r,_xlpm.c,
        INDEX({"MPU","input milk production unit","","Input";"MS_j","daily production of milk solids","kg MS/head/day","Input";"FC_j","fat content in fat and protein corrected milk","per cent","Input";"PC_j","protein content in fat and protein corrected milk","per cent","Input"}, _xlpm.r, _xlpm.c)
      )
    )
  )</definedName>
    <definedName name="EntericMethane_Dairy_Equations.VEERG_3_3_1_1__5_MilkProductionFromMilkSolids_Arguments_Method2">_xlfn.LAMBDA(_xlfn.MAKEARRAY(4, 4, _xlfn.LAMBDA(_xlpm.r,_xlpm.c, INDEX({"MPU","milk production unit","","Input";"MS_j","daily production of milk solids","kg MS/head/day","Input";"FC_j","fat content in fat and protein corrected milk","per cent","Input";"PC_j","protein content in fat and protein corrected milk","per cent","Input"}, _xlpm.r, _xlpm.c))))</definedName>
    <definedName name="EntericMethane_Dairy_Equations.VEERG_3_3_1_1__5_MilkProductionFromMilkSolids_LatexEquation">_xlfn.LAMBDA("MP_j=\frac{MS_j}{0.01\times (FC_j+PC_j)}")</definedName>
    <definedName name="EntericMethane_Dairy_Equations.VEERG_3_3_1_1__5_MilkProductionFromMilkSolids_NIRReference">_xlfn.LAMBDA("")</definedName>
    <definedName name="EntericMethane_Dairy_Equations.VEERG_3_3_1_1__5_MilkProductionFromMilkSolids_Source">_xlfn.LAMBDA("VEERG 2026: 3.3.1.1, Equation (5)")</definedName>
    <definedName name="EntericMethane_Dairy_Equations.VEERG_3_3_1_1__5_MilkProductionFromMilkSolids_Title">_xlfn.LAMBDA("Milk production converted from milk solids")</definedName>
    <definedName name="EntericMethane_Dairy_Equations.VEERG_3_3_1_1__5_MilkProductionFromMilkSolids_Unit">_xlfn.LAMBDA("L/head/day")</definedName>
    <definedName name="EntericMethane_Dairy_Equations.VEERG_3_3_1_1__5_MilkProductionFromMilkSolids_Variable">_xlfn.LAMBDA("MP_j")</definedName>
    <definedName name="EntericMethane_Dairy_Equations.VEERG_3_3_1_1__5_MilkProductionFromMilkSolids_Variation">_xlfn.LAMBDA("VARATION ON SOURCE: Added milk production unit variable to allow for use of either milk solids or litres of milk. Converted input FC and PC percent to integer.")</definedName>
    <definedName name="EntericMethane_Dairy_Equations.VEERG_3_3_1_1__6_MetabolisabilityOfDiet">_xlfn.LAMBDA(_xlpm.DMD_j, 0.795 * (_xlpm.DMD_j * 100) - 0.0014)</definedName>
    <definedName name="EntericMethane_Dairy_Equations.VEERG_3_3_1_1__6_MetabolisabilityOfDiet_Arguments">_xlfn.LAMBDA(_xlfn.MAKEARRAY(1, 4, _xlfn.LAMBDA(_xlpm.r,_xlpm.c, INDEX({"DMD_j","dry matter digestibility expressed as a fraction","fraction","Input"}, _xlpm.r, _xlpm.c))))</definedName>
    <definedName name="EntericMethane_Dairy_Equations.VEERG_3_3_1_1__6_MetabolisabilityOfDiet_LatexEquation">_xlfn.LAMBDA("qm_j=0.795\times (DMD_j\times 100)-0.0014")</definedName>
    <definedName name="EntericMethane_Dairy_Equations.VEERG_3_3_1_1__6_MetabolisabilityOfDiet_LatexEquationVariation">_xlfn.LAMBDA("qm_j=0.00795\times (DMD_j\times 100)-0.0014")</definedName>
    <definedName name="EntericMethane_Dairy_Equations.VEERG_3_3_1_1__6_MetabolisabilityOfDiet_NIRReference">_xlfn.LAMBDA("")</definedName>
    <definedName name="EntericMethane_Dairy_Equations.VEERG_3_3_1_1__6_MetabolisabilityOfDiet_Source">_xlfn.LAMBDA("VEERG 2026: 3.3.1.1, Equation (6)")</definedName>
    <definedName name="EntericMethane_Dairy_Equations.VEERG_3_3_1_1__6_MetabolisabilityOfDiet_Title">_xlfn.LAMBDA("Metabolisability of diet")</definedName>
    <definedName name="EntericMethane_Dairy_Equations.VEERG_3_3_1_1__6_MetabolisabilityOfDiet_Unit">_xlfn.LAMBDA("fraction")</definedName>
    <definedName name="EntericMethane_Dairy_Equations.VEERG_3_3_1_1__6_MetabolisabilityOfDiet_Variable">_xlfn.LAMBDA("qm_j")</definedName>
    <definedName name="EntericMethane_Dairy_Equations.VEERG_3_3_1_1__6_MetabolisabilityOfDiet_Variation">_xlfn.LAMBDA("VARIATION ON SOURCE: changed 0.795 to 0.00795 which is the value used in the National Inventory Report")</definedName>
    <definedName name="EntericMethane_Dairy_Equations.VEERG_3_3_1_1__6_MetabolisabilityOfDietVariation">_xlfn.LAMBDA(_xlpm.DMD_j, 0.00795 * (_xlpm.DMD_j * 100) - 0.0014)</definedName>
    <definedName name="EntericMethane_PastureBeef_Equations.VEERG_3_2_1_1__1_TotalAnnualMethaneFromEntericFermentation">_xlfn.LAMBDA(_xlpm.D_j,_xlpm.M_jkl,_xlpm.N_jkl, (_xlpm.D_j * _xlpm.M_jkl * _xlpm.N_jkl) * 10 ^ -3)</definedName>
    <definedName name="EntericMethane_PastureBeef_Equations.VEERG_3_2_1_1__1_TotalAnnualMethaneFromEntericFermentation_Arguments">_xlfn.LAMBDA(_xlfn.MAKEARRAY(3, 4, _xlfn.LAMBDA(_xlpm.r,_xlpm.c, INDEX({"D_j","number of days the animal is on the farm in each time-period","days","Input";"M_jkl","daily production of enteric methane in each time-period, class and subclass","kg CH4/head/day","Calculated from 3.2.1.1, (2)";"N_jkl","number of beef cattle in each time-period, class and subclass","head","Input"}, _xlpm.r, _xlpm.c))))</definedName>
    <definedName name="EntericMethane_PastureBeef_Equations.VEERG_3_2_1_1__1_TotalAnnualMethaneFromEntericFermentation_LatexEquation">_xlfn.LAMBDA("E_{enteric}=\sum_{j}\sum_{k}\sum_{l}(D_j\times M_{jkl}\times N_{jkl})\times 10^{-3}")</definedName>
    <definedName name="EntericMethane_PastureBeef_Equations.VEERG_3_2_1_1__1_TotalAnnualMethaneFromEntericFermentation_NIRReference">_xlfn.LAMBDA("")</definedName>
    <definedName name="EntericMethane_PastureBeef_Equations.VEERG_3_2_1_1__1_TotalAnnualMethaneFromEntericFermentation_Source">_xlfn.LAMBDA("VEERG 2026: 3.2.1.1, Equation (1)")</definedName>
    <definedName name="EntericMethane_PastureBeef_Equations.VEERG_3_2_1_1__1_TotalAnnualMethaneFromEntericFermentation_Title">_xlfn.LAMBDA("Total annual methane production from enteric fermentation in grazing beef cattle")</definedName>
    <definedName name="EntericMethane_PastureBeef_Equations.VEERG_3_2_1_1__1_TotalAnnualMethaneFromEntericFermentation_Unit">_xlfn.LAMBDA("t CH4")</definedName>
    <definedName name="EntericMethane_PastureBeef_Equations.VEERG_3_2_1_1__1_TotalAnnualMethaneFromEntericFermentation_Variable">_xlfn.LAMBDA("E_enteric")</definedName>
    <definedName name="EntericMethane_PastureBeef_Equations.VEERG_3_2_1_1__2_DailyEntericMethaneProduction">_xlfn.LAMBDA(_xlpm.I_jkl, 20.7 * _xlpm.I_jkl * 10 ^ -3)</definedName>
    <definedName name="EntericMethane_PastureBeef_Equations.VEERG_3_2_1_1__2_DailyEntericMethaneProduction_Arguments">_xlfn.LAMBDA(_xlfn.MAKEARRAY(1, 4, _xlfn.LAMBDA(_xlpm.r,_xlpm.c, INDEX({"I_jkl","dry matter intake","kg DM/head/day","Calculated from 3.2.1.1, (3)"}, _xlpm.r, _xlpm.c))))</definedName>
    <definedName name="EntericMethane_PastureBeef_Equations.VEERG_3_2_1_1__2_DailyEntericMethaneProduction_LatexEquation">_xlfn.LAMBDA("M_{jkl}=20.7\times I_{jkl}\times 10^{-3}")</definedName>
    <definedName name="EntericMethane_PastureBeef_Equations.VEERG_3_2_1_1__2_DailyEntericMethaneProduction_NIRReference">_xlfn.LAMBDA("Charmley et al. (2015)")</definedName>
    <definedName name="EntericMethane_PastureBeef_Equations.VEERG_3_2_1_1__2_DailyEntericMethaneProduction_Source">_xlfn.LAMBDA("VEERG 2026: 3.2.1.1, Equation (2)")</definedName>
    <definedName name="EntericMethane_PastureBeef_Equations.VEERG_3_2_1_1__2_DailyEntericMethaneProduction_Title">_xlfn.LAMBDA("Daily production of enteric methane")</definedName>
    <definedName name="EntericMethane_PastureBeef_Equations.VEERG_3_2_1_1__2_DailyEntericMethaneProduction_Unit">_xlfn.LAMBDA("kg CH4/head/day")</definedName>
    <definedName name="EntericMethane_PastureBeef_Equations.VEERG_3_2_1_1__2_DailyEntericMethaneProduction_Variable">_xlfn.LAMBDA("M_jkl")</definedName>
    <definedName name="EntericMethane_PastureBeef_Equations.VEERG_3_2_1_1__3_FeedIntakeForGrazingBeef">_xlfn.LAMBDA(_xlpm.W_jkl,_xlpm.LWG_jkl,_xlpm.MA_jk45, (1.185 + 0.00454 * _xlpm.W_jkl - 0.0000026 * _xlpm.W_jkl ^ 2 + 0.315 * _xlpm.LWG_jkl) ^ 2 * _xlpm.MA_jk45)</definedName>
    <definedName name="EntericMethane_PastureBeef_Equations.VEERG_3_2_1_1__3_FeedIntakeForGrazingBeef_Arguments">_xlfn.LAMBDA(_xlfn.MAKEARRAY(3, 4, _xlfn.LAMBDA(_xlpm.r,_xlpm.c, INDEX({"W_jkl","liveweight (kg)","kg","Input";"LWG_jkl","live weight gain (kg/head/day)","kg/head/day","Input";"MA_jk45","additional intake for milk production in cows greater than 2 years","kg/head/day","Calculated from 3.2.1.1, (4)"}, _xlpm.r, _xlpm.c))))</definedName>
    <definedName name="EntericMethane_PastureBeef_Equations.VEERG_3_2_1_1__3_FeedIntakeForGrazingBeef_LatexEquation">_xlfn.LAMBDA("I_{jkl}=(1.185+0.00454\times W_{jkl}-0.0000026\times W_{jkl}^{2}+0.315\times LWG_{jkl})^2\times MA_{jk=4,5}")</definedName>
    <definedName name="EntericMethane_PastureBeef_Equations.VEERG_3_2_1_1__3_FeedIntakeForGrazingBeef_NIRReference">_xlfn.LAMBDA("Minson and McDonald (1987)")</definedName>
    <definedName name="EntericMethane_PastureBeef_Equations.VEERG_3_2_1_1__3_FeedIntakeForGrazingBeef_Source">_xlfn.LAMBDA("VEERG 2026: 3.2.1.1, Equation (3)")</definedName>
    <definedName name="EntericMethane_PastureBeef_Equations.VEERG_3_2_1_1__3_FeedIntakeForGrazingBeef_Title">_xlfn.LAMBDA("Feed intake for grazing beef cattle")</definedName>
    <definedName name="EntericMethane_PastureBeef_Equations.VEERG_3_2_1_1__3_FeedIntakeForGrazingBeef_Unit">_xlfn.LAMBDA("kg DM/head/day")</definedName>
    <definedName name="EntericMethane_PastureBeef_Equations.VEERG_3_2_1_1__3_FeedIntakeForGrazingBeef_Variable">_xlfn.LAMBDA("I_jkl")</definedName>
    <definedName name="EntericMethane_PastureBeef_Equations.VEERG_3_2_1_1__4_AdditionalIntakeForMilkProduction">_xlfn.LAMBDA(_xlpm.LC_jk45,_xlpm.FA_jk45, (_xlpm.LC_jk45 * _xlpm.FA_jk45) + (1 - _xlpm.LC_jk45))</definedName>
    <definedName name="EntericMethane_PastureBeef_Equations.VEERG_3_2_1_1__4_AdditionalIntakeForMilkProduction_Arguments">_xlfn.LAMBDA(_xlfn.MAKEARRAY(3, 4, _xlfn.LAMBDA(_xlpm.r,_xlpm.c, INDEX({"LC_jk45","proportion of cows greater than 1 year in calf in the season of calving expressed as a fraction","fraction","Input";"FA_jk45","feed adjustment value for lactating cows in the season of calving and the season immediately after calving expressed as a fraction","fraction","Constant";"b","breed of cattle","","Input"}, _xlpm.r, _xlpm.c))))</definedName>
    <definedName name="EntericMethane_PastureBeef_Equations.VEERG_3_2_1_1__4_AdditionalIntakeForMilkProduction_ArgumentsVariation">_xlfn.LAMBDA(_xlfn.MAKEARRAY(4, 4, _xlfn.LAMBDA(_xlpm.r,_xlpm.c, INDEX({"LC_jk45","proportion of cows greater than 1 year in calf in the season of calving expressed as a fraction","fraction","Input";"FA_jk45calv","feed adjustment value for lactating cows in the season of calving expressed as a fraction","fraction","Constant";"FA_jk45after","feed adjustment value for lactating cows in the season immediately after calving expressed as a fraction","fraction","Constant";"b","breed of cattle","","Input"}, _xlpm.r, _xlpm.c))))</definedName>
    <definedName name="EntericMethane_PastureBeef_Equations.VEERG_3_2_1_1__4_AdditionalIntakeForMilkProduction_LatexEquation">_xlfn.LAMBDA("MA_{jk=4,5}=(LC_{jk=4,5}\times FA_{jk=4,5})+(1-LC_{jk=4,5})")</definedName>
    <definedName name="EntericMethane_PastureBeef_Equations.VEERG_3_2_1_1__4_AdditionalIntakeForMilkProduction_LatexEquationVariation">_xlfn.LAMBDA("MA_{jk=4,5}=((LC_{jk=4,5,calv}\times FA_{jk=4,5,calv})+(LC_{jk=4,5,prev}\times FA_{jk=4,5,after}))+(1-(LC_{jk=4,5,calv}+LC_{jk=4,5,prev}))")</definedName>
    <definedName name="EntericMethane_PastureBeef_Equations.VEERG_3_2_1_1__4_AdditionalIntakeForMilkProduction_NIRReference">_xlfn.LAMBDA("")</definedName>
    <definedName name="EntericMethane_PastureBeef_Equations.VEERG_3_2_1_1__4_AdditionalIntakeForMilkProduction_Source">_xlfn.LAMBDA("VEERG 2026: 3.2.1.1, Equation (4)")</definedName>
    <definedName name="EntericMethane_PastureBeef_Equations.VEERG_3_2_1_1__4_AdditionalIntakeForMilkProduction_Title">_xlfn.LAMBDA("Additional intake for milk production in the season of calving and the season after calving")</definedName>
    <definedName name="EntericMethane_PastureBeef_Equations.VEERG_3_2_1_1__4_AdditionalIntakeForMilkProduction_Unit">_xlfn.LAMBDA("fraction")</definedName>
    <definedName name="EntericMethane_PastureBeef_Equations.VEERG_3_2_1_1__4_AdditionalIntakeForMilkProduction_Variable">_xlfn.LAMBDA("MA_jk45")</definedName>
    <definedName name="EntericMethane_PastureBeef_Equations.VEERG_3_2_1_1__4_AdditionalIntakeForMilkProduction_Variation">_xlfn.LAMBDA("VARIATION ON SOURCE: Expanded equation to account for season after calving, rather than doing the same equation twice for both seasons")</definedName>
    <definedName name="EntericMethane_PastureBeef_Equations.VEERG_3_2_1_1__4_AdditionalIntakeForMilkProductionVariation">_xlfn.LAMBDA(_xlpm.LC_jk45calv,_xlpm.LC_jk45prev,_xlpm.FA_jk45calv,_xlpm.FA_jk45after,
    ((_xlpm.LC_jk45calv * _xlpm.FA_jk45calv) + (_xlpm.LC_jk45prev * _xlpm.FA_jk45after)) + (1 - (_xlpm.LC_jk45calv + _xlpm.LC_jk45prev))
  )</definedName>
    <definedName name="EntericMethane_Swine_Equations.VEERG_3_5_1_1__1_TotalAnnualMethaneFromEntericFermentation">_xlfn.LAMBDA(_xlpm.N_j,_xlpm.M_j,_xlpm.D_j, (_xlpm.N_j * _xlpm.M_j * _xlpm.D_j) * 10 ^ -3)</definedName>
    <definedName name="EntericMethane_Swine_Equations.VEERG_3_5_1_1__1_TotalAnnualMethaneFromEntericFermentation_Arguments">_xlfn.LAMBDA(_xlfn.MAKEARRAY(3, 4, _xlfn.LAMBDA(_xlpm.r,_xlpm.c, INDEX({"N_j","numbers of swine of each class","head","Input";"M_j","methane production","kg CH4/head/day","Calculated from 3.5.1.1, (2)";"D_j","the average number of days on farm for each swine class","days","Input"}, _xlpm.r, _xlpm.c))))</definedName>
    <definedName name="EntericMethane_Swine_Equations.VEERG_3_5_1_1__1_TotalAnnualMethaneFromEntericFermentation_LatexEquation">_xlfn.LAMBDA("E_{enteric}=\sum\nolimits_j(N_j\times M_j\times D_j)\times 10^{-3}")</definedName>
    <definedName name="EntericMethane_Swine_Equations.VEERG_3_5_1_1__1_TotalAnnualMethaneFromEntericFermentation_NIRReference">_xlfn.LAMBDA("")</definedName>
    <definedName name="EntericMethane_Swine_Equations.VEERG_3_5_1_1__1_TotalAnnualMethaneFromEntericFermentation_Source">_xlfn.LAMBDA("VEERG 2026: 3.5.1.1, Equation (1)")</definedName>
    <definedName name="EntericMethane_Swine_Equations.VEERG_3_5_1_1__1_TotalAnnualMethaneFromEntericFermentation_Title">_xlfn.LAMBDA("Total annual methane production from enteric fermentation in swine")</definedName>
    <definedName name="EntericMethane_Swine_Equations.VEERG_3_5_1_1__1_TotalAnnualMethaneFromEntericFermentation_Unit">_xlfn.LAMBDA("t CH4")</definedName>
    <definedName name="EntericMethane_Swine_Equations.VEERG_3_5_1_1__1_TotalAnnualMethaneFromEntericFermentation_Variable">_xlfn.LAMBDA("E_enteric")</definedName>
    <definedName name="EntericMethane_Swine_Equations.VEERG_3_5_1_1__2_DailyEntericMethaneProduction">_xlfn.LAMBDA(_xlpm.I_j,_xlpm.F, (_xlpm.I_j * 18.6 * 0.007) / _xlpm.F)</definedName>
    <definedName name="EntericMethane_Swine_Equations.VEERG_3_5_1_1__2_DailyEntericMethaneProduction_Arguments">_xlfn.LAMBDA(_xlfn.MAKEARRAY(4, 4, _xlfn.LAMBDA(_xlpm.r,_xlpm.c, INDEX({"I_j","daily feed ingested by each swine class","kg/head/day","Input";"18.6","gross energy (GE) content of feed","MJ GE/kg feed","Constant";"0.007","fraction of GE intake converted to methane by swine","fraction","Constant";"F","megajoules per kilogram of methane","MJ/kg CH4","Constant"}, _xlpm.r, _xlpm.c))))</definedName>
    <definedName name="EntericMethane_Swine_Equations.VEERG_3_5_1_1__2_DailyEntericMethaneProduction_LatexEquation">_xlfn.LAMBDA("M_j=\frac{I_j\times 18.6\times 0.007}{F}")</definedName>
    <definedName name="EntericMethane_Swine_Equations.VEERG_3_5_1_1__2_DailyEntericMethaneProduction_NIRReference">_xlfn.LAMBDA("")</definedName>
    <definedName name="EntericMethane_Swine_Equations.VEERG_3_5_1_1__2_DailyEntericMethaneProduction_Source">_xlfn.LAMBDA("VEERG 2026: 3.5.1.1, Equation (2)")</definedName>
    <definedName name="EntericMethane_Swine_Equations.VEERG_3_5_1_1__2_DailyEntericMethaneProduction_Title">_xlfn.LAMBDA("Total daily production of enteric methane of swine")</definedName>
    <definedName name="EntericMethane_Swine_Equations.VEERG_3_5_1_1__2_DailyEntericMethaneProduction_Unit">_xlfn.LAMBDA("kg CH4/head/day")</definedName>
    <definedName name="EntericMethane_Swine_Equations.VEERG_3_5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FLeach_Data">'Constants - Fertiliser'!$E$83</definedName>
    <definedName name="Fertiliser_EFUreaCO2_Data">'Constants - Fertiliser'!$E$60</definedName>
    <definedName name="Fertiliser_Equations_AtmosphericDeposition.VEERG_5_4_1_1__1_InorganicFertiliserAtmosphericDepositionN2OEmissions">_xlfn.LAMBDA(_xlpm.M_volinorganicjf,_xlpm.EF_N2Oj,_xlpm.C_N2O, (_xlpm.M_volinorganicjf * _xlpm.EF_N2Oj) * _xlpm.C_N2O * 10 ^ -3)</definedName>
    <definedName name="Fertiliser_Equations_AtmosphericDeposition.VEERG_5_4_1_1__1_InorganicFertiliserAtmosphericDepositionN2OEmissions_Arguments">_xlfn.LAMBDA(_xlfn.MAKEARRAY(6, 4, _xlfn.LAMBDA(_xlpm.r,_xlpm.c, INDEX({"M_volinorganicjf","mass of nitrogen volatilised from inorganic fertiliser applied to production system","kg N","Calculated from 5.4.1.1 (2)";"EF_N2Oj","emission factor for atmospheric deposition","kg N2O-N/kg N","Constant";"C_N2O","factor to convert elemental mass of nitrous oxide to molecular mass","","Constant";"j","Production system","","Input";"ir","irrigation method","","Input";"r","rainfall region","","Input"}, _xlpm.r, _xlpm.c))))</definedName>
    <definedName name="Fertiliser_Equations_AtmosphericDeposition.VEERG_5_4_1_1__1_InorganicFertiliserAtmosphericDepositionN2OEmissions_LatexEquation">_xlfn.LAMBDA("E_{ad,inorganic}=\sum\nolimits_{j}\sum\nolimits_{f}((M_{vol,inorganic,jf}\times EF_{N2O,j})\times C_{N2O}\times 10^{-3})")</definedName>
    <definedName name="Fertiliser_Equations_AtmosphericDeposition.VEERG_5_4_1_1__1_InorganicFertiliserAtmosphericDepositionN2OEmissions_NIRReference">_xlfn.LAMBDA("")</definedName>
    <definedName name="Fertiliser_Equations_AtmosphericDeposition.VEERG_5_4_1_1__1_InorganicFertiliserAtmosphericDepositionN2OEmissions_Source">_xlfn.LAMBDA("VEERG 2026: 5.4.1.1, Equation (1)")</definedName>
    <definedName name="Fertiliser_Equations_AtmosphericDeposition.VEERG_5_4_1_1__1_InorganicFertiliserAtmosphericDepositionN2OEmissions_Title">_xlfn.LAMBDA("Nitrous oxide emissions from atmospheric deposition from all inorganic fertiliser types f and all production systems j")</definedName>
    <definedName name="Fertiliser_Equations_AtmosphericDeposition.VEERG_5_4_1_1__1_InorganicFertiliserAtmosphericDepositionN2OEmissions_Unit">_xlfn.LAMBDA("t N2O")</definedName>
    <definedName name="Fertiliser_Equations_AtmosphericDeposition.VEERG_5_4_1_1__1_InorganicFertiliserAtmosphericDepositionN2OEmissions_Variable">_xlfn.LAMBDA("E_adinorganic")</definedName>
    <definedName name="Fertiliser_Equations_AtmosphericDeposition.VEERG_5_4_1_1__2_MassOfNitrogenVolatilisedFromInorganicFertiliser">_xlfn.LAMBDA(_xlpm.MN_jf,_xlpm.FracGASF_f, _xlpm.MN_jf * _xlpm.FracGASF_f)</definedName>
    <definedName name="Fertiliser_Equations_AtmosphericDeposition.VEERG_5_4_1_1__2_MassOfNitrogenVolatilisedFromInorganicFertiliser_Arguments">_xlfn.LAMBDA(_xlfn.MAKEARRAY(2, 4, _xlfn.LAMBDA(_xlpm.r,_xlpm.c, INDEX({"MN_jf","mass of nitrogen in inorganic fertiliser applied","kg N","Calculated from 5.1.1.1 (2)";"FracGASF_f","fraction of inorganic fertiliser that volatilises","(kg NH3-N + NOx-N)/kg N","Constant"}, _xlpm.r, _xlpm.c))))</definedName>
    <definedName name="Fertiliser_Equations_AtmosphericDeposition.VEERG_5_4_1_1__2_MassOfNitrogenVolatilisedFromInorganicFertiliser_LatexEquation">_xlfn.LAMBDA("M_{vol,inorganic,jf}={MN}_{jf}\times FracGASF_{f}")</definedName>
    <definedName name="Fertiliser_Equations_AtmosphericDeposition.VEERG_5_4_1_1__2_MassOfNitrogenVolatilisedFromInorganicFertiliser_NIRReference">_xlfn.LAMBDA("")</definedName>
    <definedName name="Fertiliser_Equations_AtmosphericDeposition.VEERG_5_4_1_1__2_MassOfNitrogenVolatilisedFromInorganicFertiliser_Source">_xlfn.LAMBDA("VEERG 2026: 5.4.1.1, Equation (2)")</definedName>
    <definedName name="Fertiliser_Equations_AtmosphericDeposition.VEERG_5_4_1_1__2_MassOfNitrogenVolatilisedFromInorganicFertiliser_Title">_xlfn.LAMBDA("Mass of nitrogen volatilised from inorganic fertiliser applied to production system")</definedName>
    <definedName name="Fertiliser_Equations_AtmosphericDeposition.VEERG_5_4_1_1__2_MassOfNitrogenVolatilisedFromInorganicFertiliser_Unit">_xlfn.LAMBDA("kg N")</definedName>
    <definedName name="Fertiliser_Equations_AtmosphericDeposition.VEERG_5_4_1_1__2_MassOfNitrogenVolatilisedFromInorganicFertiliser_Variable">_xlfn.LAMBDA("M_volinorganicjf")</definedName>
    <definedName name="Fertiliser_Equations_AtmosphericDeposition.VEERG_5_4_1_3__1_OrganicFertiliserAtmosphericDepositionN2OEmissions">_xlfn.LAMBDA(_xlpm.M_volorganicjf,_xlpm.EF_N2Oj,_xlpm.C_N2O, (_xlpm.M_volorganicjf * _xlpm.EF_N2Oj) * _xlpm.C_N2O * 10 ^ -3)</definedName>
    <definedName name="Fertiliser_Equations_AtmosphericDeposition.VEERG_5_4_1_3__1_OrganicFertiliserAtmosphericDepositionN2OEmissions_Arguments">_xlfn.LAMBDA(_xlfn.MAKEARRAY(6, 4, _xlfn.LAMBDA(_xlpm.r,_xlpm.c, INDEX({"M_volorganicjf","mass of nitrogen volatilised from organic fertiliser applied to production system","kg N","Calculated from 5.4.1.3 (2)";"EF_N2Oj","emission factor for atmospheric deposition in production system j","kg N2O-N/kg N","Constant";"C_N2O","factor to convert elemental mass of nitrous oxide to molecular mass","","Constant";"j","Production system","","Input";"ir","irrigation method","","Input";"r","rainfall region","","Input"}, _xlpm.r, _xlpm.c))))</definedName>
    <definedName name="Fertiliser_Equations_AtmosphericDeposition.VEERG_5_4_1_3__1_OrganicFertiliserAtmosphericDepositionN2OEmissions_LatexEquation">_xlfn.LAMBDA("E_{ad,organic}=\sum\nolimits_{j}\sum\nolimits_{f}((M_{vol,organic,jf}\times EF_{N2O,j})\times C_{N2O}\times 10^{-3})")</definedName>
    <definedName name="Fertiliser_Equations_AtmosphericDeposition.VEERG_5_4_1_3__1_OrganicFertiliserAtmosphericDepositionN2OEmissions_NIRReference">_xlfn.LAMBDA("")</definedName>
    <definedName name="Fertiliser_Equations_AtmosphericDeposition.VEERG_5_4_1_3__1_OrganicFertiliserAtmosphericDepositionN2OEmissions_Source">_xlfn.LAMBDA("VEERG 2026: 5.4.1.3, Equation (1)")</definedName>
    <definedName name="Fertiliser_Equations_AtmosphericDeposition.VEERG_5_4_1_3__1_OrganicFertiliserAtmosphericDepositionN2OEmissions_Title">_xlfn.LAMBDA("Nitrous oxide emissions from atmospheric deposition of all organic fertiliser types f and all production systems j")</definedName>
    <definedName name="Fertiliser_Equations_AtmosphericDeposition.VEERG_5_4_1_3__1_OrganicFertiliserAtmosphericDepositionN2OEmissions_Unit">_xlfn.LAMBDA("t N2O")</definedName>
    <definedName name="Fertiliser_Equations_AtmosphericDeposition.VEERG_5_4_1_3__1_OrganicFertiliserAtmosphericDepositionN2OEmissions_Variable">_xlfn.LAMBDA("E_adorganic")</definedName>
    <definedName name="Fertiliser_Equations_AtmosphericDeposition.VEERG_5_4_1_3__2_MassOfNitrogenVolatilisedFromOrganicFertiliser">_xlfn.LAMBDA(_xlpm.MNSoil_jf,_xlpm.FracGASM_soil, _xlpm.MNSoil_jf * _xlpm.FracGASM_soil)</definedName>
    <definedName name="Fertiliser_Equations_AtmosphericDeposition.VEERG_5_4_1_3__2_MassOfNitrogenVolatilisedFromOrganicFertiliser_Arguments">_xlfn.LAMBDA(_xlfn.MAKEARRAY(2, 4, _xlfn.LAMBDA(_xlpm.r,_xlpm.c, INDEX({"MNSoil_jf","mass of nitrogen in organic fertiliser type f applied to production system j","kg N","Calculated from 5.2.1.1 (2)";"FracGASM_soil","fraction of organic fertiliser N that volatilises","(kg NH3-N + NOx-N)/kg N","Constant"}, _xlpm.r, _xlpm.c))))</definedName>
    <definedName name="Fertiliser_Equations_AtmosphericDeposition.VEERG_5_4_1_3__2_MassOfNitrogenVolatilisedFromOrganicFertiliser_LatexEquation">_xlfn.LAMBDA("M_{vol,organic,jf}=MNSoil_{jf}\times FracGASM_{soil}")</definedName>
    <definedName name="Fertiliser_Equations_AtmosphericDeposition.VEERG_5_4_1_3__2_MassOfNitrogenVolatilisedFromOrganicFertiliser_NIRReference">_xlfn.LAMBDA("")</definedName>
    <definedName name="Fertiliser_Equations_AtmosphericDeposition.VEERG_5_4_1_3__2_MassOfNitrogenVolatilisedFromOrganicFertiliser_Source">_xlfn.LAMBDA("VEERG 2026: 5.4.1.3, Equation (2)")</definedName>
    <definedName name="Fertiliser_Equations_AtmosphericDeposition.VEERG_5_4_1_3__2_MassOfNitrogenVolatilisedFromOrganicFertiliser_Title">_xlfn.LAMBDA("Mass of nitrogen volatilised from organic fertiliser applied to production system")</definedName>
    <definedName name="Fertiliser_Equations_AtmosphericDeposition.VEERG_5_4_1_3__2_MassOfNitrogenVolatilisedFromOrganicFertiliser_Unit">_xlfn.LAMBDA("kg N")</definedName>
    <definedName name="Fertiliser_Equations_AtmosphericDeposition.VEERG_5_4_1_3__2_MassOfNitrogenVolatilisedFromOrganicFertiliser_Variable">_xlfn.LAMBDA("M_volorganicjf")</definedName>
    <definedName name="Fertiliser_Equations_InorganicCO2.VEERG_5_1_1_3__1_InorganicFertiliserApplicationCO2Emissions">_xlfn.LAMBDA(_xlpm.MU_jf,_xlpm.EF_ureaCO2,_xlpm.C_CO2, (_xlpm.MU_jf * _xlpm.EF_ureaCO2 * _xlpm.C_CO2) * 10 ^ -3)</definedName>
    <definedName name="Fertiliser_Equations_InorganicCO2.VEERG_5_1_1_3__1_InorganicFertiliserApplicationCO2Emissions_Arguments">_xlfn.LAMBDA(_xlfn.MAKEARRAY(5, 4, _xlfn.LAMBDA(_xlpm.r,_xlpm.c, INDEX({"MU_jf","mass of urea of inorganic fertiliser type f applied to production system j","kg urea","Calculated";"EF_ureaCO2","emission factor for carbon emissions from urea-based fertilisers","kg C/kg urea","Constant";"C_CO2","factor to convert elemental mass of carbon to molecular mass of carbon dioxide","","Constant";"j","Production system","","Input";"f","Inorganic fertiliser type","","Lookup"}, _xlpm.r, _xlpm.c))))</definedName>
    <definedName name="Fertiliser_Equations_InorganicCO2.VEERG_5_1_1_3__1_InorganicFertiliserApplicationCO2Emissions_LatexEquation">_xlfn.LAMBDA("E_{CO2}=\sum_{j}\sum_{f}((MU_{jf}\times EF_{urea,CO2}\times C_{CO2})\times 10^{-3})")</definedName>
    <definedName name="Fertiliser_Equations_InorganicCO2.VEERG_5_1_1_3__1_InorganicFertiliserApplicationCO2Emissions_NIRReference">_xlfn.LAMBDA("")</definedName>
    <definedName name="Fertiliser_Equations_InorganicCO2.VEERG_5_1_1_3__1_InorganicFertiliserApplicationCO2Emissions_Source">_xlfn.LAMBDA("VEERG 2026: 5.1.1.3, Equation (1)")</definedName>
    <definedName name="Fertiliser_Equations_InorganicCO2.VEERG_5_1_1_3__1_InorganicFertiliserApplicationCO2Emissions_Title">_xlfn.LAMBDA("Carbon dioxide emissions resulting from the use of all inorganic, urea-based fertilisers")</definedName>
    <definedName name="Fertiliser_Equations_InorganicCO2.VEERG_5_1_1_3__1_InorganicFertiliserApplicationCO2Emissions_Unit">_xlfn.LAMBDA("t CO2")</definedName>
    <definedName name="Fertiliser_Equations_InorganicCO2.VEERG_5_1_1_3__1_InorganicFertiliserApplicationCO2Emissions_Variable">_xlfn.LAMBDA("E_CO2")</definedName>
    <definedName name="Fertiliser_Equations_InorganicCO2.VEERG_5_1_1_3__2_MassOfUreaInInorganicFertiliser">_xlfn.LAMBDA(_xlpm.TM_jf,_xlpm.FU_f, _xlpm.TM_jf * _xlpm.FU_f)</definedName>
    <definedName name="Fertiliser_Equations_InorganicCO2.VEERG_5_1_1_3__2_MassOfUreaInInorganicFertiliser_Arguments">_xlfn.LAMBDA(_xlfn.MAKEARRAY(2, 4, _xlfn.LAMBDA(_xlpm.r,_xlpm.c, INDEX({"TM_jf","total mass of inorganic fertiliser type f applied to production system j","kg","Input";"FU_f","fraction of urea in fertiliser type f","kg urea/kg","Lookup"}, _xlpm.r, _xlpm.c))))</definedName>
    <definedName name="Fertiliser_Equations_InorganicCO2.VEERG_5_1_1_3__2_MassOfUreaInInorganicFertiliser_LatexEquation">_xlfn.LAMBDA("{MU}_{jf}=TM_{jf}\times FU_f")</definedName>
    <definedName name="Fertiliser_Equations_InorganicCO2.VEERG_5_1_1_3__2_MassOfUreaInInorganicFertiliser_NIRReference">_xlfn.LAMBDA("")</definedName>
    <definedName name="Fertiliser_Equations_InorganicCO2.VEERG_5_1_1_3__2_MassOfUreaInInorganicFertiliser_Source">_xlfn.LAMBDA("VEERG 2026: 5.1.1.3, Equation (2)")</definedName>
    <definedName name="Fertiliser_Equations_InorganicCO2.VEERG_5_1_1_3__2_MassOfUreaInInorganicFertiliser_Title">_xlfn.LAMBDA("Mass of urea applied to production system")</definedName>
    <definedName name="Fertiliser_Equations_InorganicCO2.VEERG_5_1_1_3__2_MassOfUreaInInorganicFertiliser_Unit">_xlfn.LAMBDA("kg urea")</definedName>
    <definedName name="Fertiliser_Equations_InorganicCO2.VEERG_5_1_1_3__2_MassOfUreaInInorganicFertiliser_Variable">_xlfn.LAMBDA("MU_jf")</definedName>
    <definedName name="Fertiliser_Equations_InorganicN2O.VEERG_5_1_1_1__1_InorganicFertiliserApplicationN2OEmissions">_xlfn.LAMBDA(_xlpm.MN_jf,_xlpm.EF_jN2O,_xlpm.C_N2O, (_xlpm.MN_jf * _xlpm.EF_jN2O * _xlpm.C_N2O) * 10 ^ -3)</definedName>
    <definedName name="Fertiliser_Equations_InorganicN2O.VEERG_5_1_1_1__1_InorganicFertiliserApplicationN2OEmissions_Arguments">_xlfn.LAMBDA(_xlfn.MAKEARRAY(7, 4, _xlfn.LAMBDA(_xlpm.r,_xlpm.c, INDEX({"MN_jf","mass of nitrogen in inorganic fertiliser type f applied to production system j","kg N","Calculated from 5.1.1.1 (2)";"EF_jN2O","emission factor for nitrous oxide for inorganic fertilisers","kg N2O-N/kg N applied","Constant";"C_N2O","factor to convert elemental mass of nitrous oxide to molecular mass","","Constant";"j","Production system","","Input";"f","Inorganic fertiliser type","","Constant";"ir","irrigation method","","Input";"z","rainfall zone","","Input"}, _xlpm.r, _xlpm.c))))</definedName>
    <definedName name="Fertiliser_Equations_InorganicN2O.VEERG_5_1_1_1__1_InorganicFertiliserApplicationN2OEmissions_Arguments_Method2">_xlfn.LAMBDA(_xlfn.MAKEARRAY(8, 4, _xlfn.LAMBDA(_xlpm.r,_xlpm.c, INDEX({"MN_jf","mass of nitrogen in inorganic fertiliser type f applied to production system j","kg N","Calculated from 5.1.1.1 (2)";"EF_jN2O","emission factor for nitrous oxide for inorganic fertilisers","kg N2O-N/kg N applied","Calculated from 5.1.1.2 (1)(2)(3)";"C_N2O","factor to convert elemental mass of nitrous oxide to molecular mass","","Constant";"j","Production system","","Input";"c","Crop type","","Input";"f","Inorganic fertiliser type","","Constant";"ir","irrigation method","","Input";"z","rainfall zone","","Input"}, _xlpm.r, _xlpm.c))))</definedName>
    <definedName name="Fertiliser_Equations_InorganicN2O.VEERG_5_1_1_1__1_InorganicFertiliserApplicationN2OEmissions_LatexEquation">_xlfn.LAMBDA("E_{N2O}=\sum_{j}\sum_{f}((MN_{jf}\times EF_{j,N2O}\times C_{N2O})\times 10^{-3})")</definedName>
    <definedName name="Fertiliser_Equations_InorganicN2O.VEERG_5_1_1_1__1_InorganicFertiliserApplicationN2OEmissions_NIRReference">_xlfn.LAMBDA("")</definedName>
    <definedName name="Fertiliser_Equations_InorganicN2O.VEERG_5_1_1_1__1_InorganicFertiliserApplicationN2OEmissions_Source">_xlfn.LAMBDA("VEERG 2026: 5.1.1.1, Equation (1)")</definedName>
    <definedName name="Fertiliser_Equations_InorganicN2O.VEERG_5_1_1_1__1_InorganicFertiliserApplicationN2OEmissions_Title">_xlfn.LAMBDA("Nitrous oxide emissions from the application of all inorganic fertiliser types f to all production systems j")</definedName>
    <definedName name="Fertiliser_Equations_InorganicN2O.VEERG_5_1_1_1__1_InorganicFertiliserApplicationN2OEmissions_Unit">_xlfn.LAMBDA("t N2O")</definedName>
    <definedName name="Fertiliser_Equations_InorganicN2O.VEERG_5_1_1_1__1_InorganicFertiliserApplicationN2OEmissions_Variable">_xlfn.LAMBDA("E_N2O")</definedName>
    <definedName name="Fertiliser_Equations_InorganicN2O.VEERG_5_1_1_1__2_MassOfNitrogenInInorganicFertiliser">_xlfn.LAMBDA(_xlpm.TM_jf,_xlpm.FN_inorganicf, _xlpm.TM_jf * _xlpm.FN_inorganicf)</definedName>
    <definedName name="Fertiliser_Equations_InorganicN2O.VEERG_5_1_1_1__2_MassOfNitrogenInInorganicFertiliser_Arguments">_xlfn.LAMBDA(_xlfn.MAKEARRAY(2, 4, _xlfn.LAMBDA(_xlpm.r,_xlpm.c, INDEX({"TM_jf","total mass of inorganic fertiliser type f applied to production system j","kg","Input";"FN_inorganicf","fraction of nitrogen in inorganic fertiliser type f ","kg N/kg","Constant"}, _xlpm.r, _xlpm.c))))</definedName>
    <definedName name="Fertiliser_Equations_InorganicN2O.VEERG_5_1_1_1__2_MassOfNitrogenInInorganicFertiliser_LatexEquation">_xlfn.LAMBDA("{MN}_{jf}=TM_{jf}\times FN_{inorganic,f}")</definedName>
    <definedName name="Fertiliser_Equations_InorganicN2O.VEERG_5_1_1_1__2_MassOfNitrogenInInorganicFertiliser_NIRReference">_xlfn.LAMBDA("")</definedName>
    <definedName name="Fertiliser_Equations_InorganicN2O.VEERG_5_1_1_1__2_MassOfNitrogenInInorganicFertiliser_Source">_xlfn.LAMBDA("VEERG 2026: 5.1.1.1, Equation (2)")</definedName>
    <definedName name="Fertiliser_Equations_InorganicN2O.VEERG_5_1_1_1__2_MassOfNitrogenInInorganicFertiliser_Title">_xlfn.LAMBDA("Mass of nitrogen in inorganic fertiliser applied to production system")</definedName>
    <definedName name="Fertiliser_Equations_InorganicN2O.VEERG_5_1_1_1__2_MassOfNitrogenInInorganicFertiliser_Unit">_xlfn.LAMBDA("kg N")</definedName>
    <definedName name="Fertiliser_Equations_InorganicN2O.VEERG_5_1_1_1__2_MassOfNitrogenInInorganicFertiliser_Variable">_xlfn.LAMBDA("MN_jf")</definedName>
    <definedName name="Fertiliser_Equations_InorganicN2O.VEERG_5_1_1_2__1_EmissionFactorIrrigatedMaize">_xlfn.LAMBDA(_xlpm.N_fjIrrigatedMaize, (-0.1474 + (0.0061 * _xlpm.N_fjIrrigatedMaize)) * 10 ^ -2)</definedName>
    <definedName name="Fertiliser_Equations_InorganicN2O.VEERG_5_1_1_2__1_EmissionFactorIrrigatedMaize_Arguments">_xlfn.LAMBDA(_xlfn.MAKEARRAY(2, 4, _xlfn.LAMBDA(_xlpm.r,_xlpm.c, INDEX({"N_fjIrrigatedMaize","application rate of inorganic fertiliser type f in the irrigated maize crop","kg N/ha","Input";"f","Inorganic fertiliser type","","Constant"}, _xlpm.r, _xlpm.c))))</definedName>
    <definedName name="Fertiliser_Equations_InorganicN2O.VEERG_5_1_1_2__1_EmissionFactorIrrigatedMaize_LatexEquation">_xlfn.LAMBDA("EF_{fj=irrigatedmaize,N2O}=(-0.1474+(0.0061\times N_{fj=irrigatedmaize}))\times 10^{-2}")</definedName>
    <definedName name="Fertiliser_Equations_InorganicN2O.VEERG_5_1_1_2__1_EmissionFactorIrrigatedMaize_NIRReference">_xlfn.LAMBDA("")</definedName>
    <definedName name="Fertiliser_Equations_InorganicN2O.VEERG_5_1_1_2__1_EmissionFactorIrrigatedMaize_Source">_xlfn.LAMBDA("VEERG 2026: 5.1.1.2, Equation (1)")</definedName>
    <definedName name="Fertiliser_Equations_InorganicN2O.VEERG_5_1_1_2__1_EmissionFactorIrrigatedMaize_Title">_xlfn.LAMBDA("Emission factor for nitrous oxide for irrigated maize")</definedName>
    <definedName name="Fertiliser_Equations_InorganicN2O.VEERG_5_1_1_2__1_EmissionFactorIrrigatedMaize_Unit">_xlfn.LAMBDA("kg N2O-N/kg N applied")</definedName>
    <definedName name="Fertiliser_Equations_InorganicN2O.VEERG_5_1_1_2__1_EmissionFactorIrrigatedMaize_Variable">_xlfn.LAMBDA("EF_fjIrrigatedMaizeN2O")</definedName>
    <definedName name="Fertiliser_Equations_InorganicN2O.VEERG_5_1_1_2__2_EmissionFactorNonIrrigatedGrainsHighRainfall">_xlfn.LAMBDA(_xlpm.N_fjNonIrrigatedGrains, (0.0781 + (0.0075 * _xlpm.N_fjNonIrrigatedGrains)) * 10 ^ -2)</definedName>
    <definedName name="Fertiliser_Equations_InorganicN2O.VEERG_5_1_1_2__2_EmissionFactorNonIrrigatedGrainsHighRainfall_Arguments">_xlfn.LAMBDA(_xlfn.MAKEARRAY(2, 4, _xlfn.LAMBDA(_xlpm.r,_xlpm.c, INDEX({"N_fjNonIrrigatedGrains","application rate of inorganic fertiliser type f in the grains crop","kg N/ha","Input";"f","Inorganic fertiliser type","","Constant"}, _xlpm.r, _xlpm.c))))</definedName>
    <definedName name="Fertiliser_Equations_InorganicN2O.VEERG_5_1_1_2__2_EmissionFactorNonIrrigatedGrainsHighRainfall_LatexEquation">_xlfn.LAMBDA("EF_{fj=nonirrigatedgrains,N2O}=(0.0781+(0.0075\times N_{fj=nonirrigatedgrains}))\times 10^{-2}")</definedName>
    <definedName name="Fertiliser_Equations_InorganicN2O.VEERG_5_1_1_2__2_EmissionFactorNonIrrigatedGrainsHighRainfall_NIRReference">_xlfn.LAMBDA("")</definedName>
    <definedName name="Fertiliser_Equations_InorganicN2O.VEERG_5_1_1_2__2_EmissionFactorNonIrrigatedGrainsHighRainfall_Source">_xlfn.LAMBDA("VEERG 2026: 5.1.1.2, Equation (2)")</definedName>
    <definedName name="Fertiliser_Equations_InorganicN2O.VEERG_5_1_1_2__2_EmissionFactorNonIrrigatedGrainsHighRainfall_Title">_xlfn.LAMBDA("Emission factor for nitrous oxide for non-irrigated grains in high rainfall zone")</definedName>
    <definedName name="Fertiliser_Equations_InorganicN2O.VEERG_5_1_1_2__2_EmissionFactorNonIrrigatedGrainsHighRainfall_Unit">_xlfn.LAMBDA("kg N2O-N/kg N applied")</definedName>
    <definedName name="Fertiliser_Equations_InorganicN2O.VEERG_5_1_1_2__2_EmissionFactorNonIrrigatedGrainsHighRainfall_Variable">_xlfn.LAMBDA("EF_fjNonIrrigatedGrainsN2O")</definedName>
    <definedName name="Fertiliser_Equations_InorganicN2O.VEERG_5_1_1_2__3_EmissionFactorCotton">_xlfn.LAMBDA(_xlpm.N_fjCotton, (0.01 * (0.29 + ((0.007 * (EXP(0.037 * _xlpm.N_fjCotton) - 1)) / _xlpm.N_fjCotton))) * 10 ^ -2)</definedName>
    <definedName name="Fertiliser_Equations_InorganicN2O.VEERG_5_1_1_2__3_EmissionFactorCotton_Arguments">_xlfn.LAMBDA(_xlfn.MAKEARRAY(2, 4, _xlfn.LAMBDA(_xlpm.r,_xlpm.c, INDEX({"N_fjCotton","application rate of inorganic fertiliser type f in the cotton crop","kg N/ha","Input";"f","Inorganic fertiliser type","","Constant"}, _xlpm.r, _xlpm.c))))</definedName>
    <definedName name="Fertiliser_Equations_InorganicN2O.VEERG_5_1_1_2__3_EmissionFactorCotton_LatexEquation">_xlfn.LAMBDA("EF_{fj=cotton,N2O}=(0.01 \times (0.29 + \frac{0.007(e^{0.037 \times N_{fj=cotton}}-1)}{N_{fj=cotton}})) \times 10^{-2}
")</definedName>
    <definedName name="Fertiliser_Equations_InorganicN2O.VEERG_5_1_1_2__3_EmissionFactorCotton_NIRReference">_xlfn.LAMBDA("")</definedName>
    <definedName name="Fertiliser_Equations_InorganicN2O.VEERG_5_1_1_2__3_EmissionFactorCotton_Source">_xlfn.LAMBDA("VEERG 2026: 5.1.1.2, Equation (3)")</definedName>
    <definedName name="Fertiliser_Equations_InorganicN2O.VEERG_5_1_1_2__3_EmissionFactorCotton_Title">_xlfn.LAMBDA("Emission factor for nitrous oxide for cotton")</definedName>
    <definedName name="Fertiliser_Equations_InorganicN2O.VEERG_5_1_1_2__3_EmissionFactorCotton_Unit">_xlfn.LAMBDA("kg N2O-N/kg N applied")</definedName>
    <definedName name="Fertiliser_Equations_InorganicN2O.VEERG_5_1_1_2__3_EmissionFactorCotton_Variable">_xlfn.LAMBDA("EF_fjCottonN2O")</definedName>
    <definedName name="Fertiliser_Equations_LeachingAndRunoff.VEERG_5_5_1_1__1_FertiliserLeachingAndRunoffN2OEmissions">_xlfn.LAMBDA(_xlpm.M_leachinorganicj,_xlpm.M_leachorganicj,_xlpm.EF_leach,_xlpm.C_N2O, (_xlpm.M_leachinorganicj + _xlpm.M_leachorganicj) * _xlpm.EF_leach * _xlpm.C_N2O * 10 ^ -3)</definedName>
    <definedName name="Fertiliser_Equations_LeachingAndRunoff.VEERG_5_5_1_1__1_FertiliserLeachingAndRunoffN2OEmissions_Arguments">_xlfn.LAMBDA(_xlfn.MAKEARRAY(4, 4, _xlfn.LAMBDA(_xlpm.r,_xlpm.c, INDEX({"M_leachinorganicj","mass of nitrogen lost through leaching and runoff from inorganic fertiliser application in production system j","kg N","Calculated from 5.5.1.1 (2)";"M_leachorganicj","mass of nitrogen lost through leaching and runoff from organic fertiliser application","kg N","Calculated from 5.5.1.1 (3)";"EF_leach","emission factor for nitrogen leaching and runoff","kg N2O-N/kg N","Constant";"C_N2O","factor to convert elemental mass of nitrous oxide to molecular mass","","Constant"}, _xlpm.r, _xlpm.c))))</definedName>
    <definedName name="Fertiliser_Equations_LeachingAndRunoff.VEERG_5_5_1_1__1_FertiliserLeachingAndRunoffN2OEmissions_LatexEquation">_xlfn.LAMBDA("E_{fert,leach}=\sum_{j}((M_{leach,inorganic,j}+M_{leach,organic,j})\times EF_{leach}\times C_{N2O}\times 10^{-3})")</definedName>
    <definedName name="Fertiliser_Equations_LeachingAndRunoff.VEERG_5_5_1_1__1_FertiliserLeachingAndRunoffN2OEmissions_NIRReference">_xlfn.LAMBDA("")</definedName>
    <definedName name="Fertiliser_Equations_LeachingAndRunoff.VEERG_5_5_1_1__1_FertiliserLeachingAndRunoffN2OEmissions_Source">_xlfn.LAMBDA("VEERG 2026: 5.5, Equation (1)")</definedName>
    <definedName name="Fertiliser_Equations_LeachingAndRunoff.VEERG_5_5_1_1__1_FertiliserLeachingAndRunoffN2OEmissions_Title">_xlfn.LAMBDA("Nitrous oxide emissions from nitrogen leaching and runoff from the application of all fertilisers across all production systems j")</definedName>
    <definedName name="Fertiliser_Equations_LeachingAndRunoff.VEERG_5_5_1_1__1_FertiliserLeachingAndRunoffN2OEmissions_Unit">_xlfn.LAMBDA("t N2O")</definedName>
    <definedName name="Fertiliser_Equations_LeachingAndRunoff.VEERG_5_5_1_1__1_FertiliserLeachingAndRunoffN2OEmissions_Variable">_xlfn.LAMBDA("E_fertleach")</definedName>
    <definedName name="Fertiliser_Equations_LeachingAndRunoff.VEERG_5_5_1_1__2_MassOfNitrogenLeachedFromInorganicFertiliser">_xlfn.LAMBDA(_xlpm.MN_jf,_xlpm.FracWETj,_xlpm.FracLEACH, _xlpm.MN_jf * _xlpm.FracWETj * _xlpm.FracLEACH)</definedName>
    <definedName name="Fertiliser_Equations_LeachingAndRunoff.VEERG_5_5_1_1__2_MassOfNitrogenLeachedFromInorganicFertiliser_Arguments">_xlfn.LAMBDA(_xlfn.MAKEARRAY(6, 4, _xlfn.LAMBDA(_xlpm.r,_xlpm.c, INDEX({"MN_jf","mass of nitrogen in inorganic fertiliser","kg N","Calculated from 5.1.1.1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2_MassOfNitrogenLeachedFromInorganicFertiliser_LatexEquation">_xlfn.LAMBDA("M_{leach,inorganic,j}=\sum\nolimits_{f}\left({MN}_{jf}\times Frac_{WET,j}\times Frac_{LEACH}\right)")</definedName>
    <definedName name="Fertiliser_Equations_LeachingAndRunoff.VEERG_5_5_1_1__2_MassOfNitrogenLeachedFromInorganicFertiliser_NIRReference">_xlfn.LAMBDA("")</definedName>
    <definedName name="Fertiliser_Equations_LeachingAndRunoff.VEERG_5_5_1_1__2_MassOfNitrogenLeachedFromInorganicFertiliser_Source">_xlfn.LAMBDA("VEERG 2026: 5.5, Equation (2)")</definedName>
    <definedName name="Fertiliser_Equations_LeachingAndRunoff.VEERG_5_5_1_1__2_MassOfNitrogenLeachedFromInorganicFertiliser_Title">_xlfn.LAMBDA("Mass of nitrogen lost through leaching and runoff from inorganic fertiliser application in production system j")</definedName>
    <definedName name="Fertiliser_Equations_LeachingAndRunoff.VEERG_5_5_1_1__2_MassOfNitrogenLeachedFromInorganicFertiliser_Unit">_xlfn.LAMBDA("kg N")</definedName>
    <definedName name="Fertiliser_Equations_LeachingAndRunoff.VEERG_5_5_1_1__2_MassOfNitrogenLeachedFromInorganicFertiliser_Variable">_xlfn.LAMBDA("M_leachinorganicj")</definedName>
    <definedName name="Fertiliser_Equations_LeachingAndRunoff.VEERG_5_5_1_1__3_MassOfNitrogenLeachedFromOrganicFertiliser">_xlfn.LAMBDA(_xlpm.MNSoil_jf,_xlpm.FracWETj,_xlpm.FracLEACH, _xlpm.MNSoil_jf * _xlpm.FracWETj * _xlpm.FracLEACH)</definedName>
    <definedName name="Fertiliser_Equations_LeachingAndRunoff.VEERG_5_5_1_1__3_MassOfNitrogenLeachedFromOrganicFertiliser_Arguments">_xlfn.LAMBDA(_xlfn.MAKEARRAY(6, 4, _xlfn.LAMBDA(_xlpm.r,_xlpm.c, INDEX({"MNSoil_jf","mass of nitrogen in organic fertiliser","kg N","Calculated from 5.2.1.1 (2)";"FracWETj","fraction of N available for leaching and runoff","fraction","Constant";"FracLEACH","fraction of N that is lost through leaching and runoff","fraction","Constant";"z","location in leaching zone","","Input";"j","production system","","Input";"ir","irrigation method","","Input"}, _xlpm.r, _xlpm.c))))</definedName>
    <definedName name="Fertiliser_Equations_LeachingAndRunoff.VEERG_5_5_1_1__3_MassOfNitrogenLeachedFromOrganicFertiliser_LatexEquation">_xlfn.LAMBDA("M_{leach,organic,j}=\sum\nolimits_{f}\left({MNSoil}_{jf}\times Frac_{WET,j}\times Frac_{LEACH}\right)")</definedName>
    <definedName name="Fertiliser_Equations_LeachingAndRunoff.VEERG_5_5_1_1__3_MassOfNitrogenLeachedFromOrganicFertiliser_NIRReference">_xlfn.LAMBDA("")</definedName>
    <definedName name="Fertiliser_Equations_LeachingAndRunoff.VEERG_5_5_1_1__3_MassOfNitrogenLeachedFromOrganicFertiliser_Source">_xlfn.LAMBDA("VEERG 2026: 5.5, Equation (3)")</definedName>
    <definedName name="Fertiliser_Equations_LeachingAndRunoff.VEERG_5_5_1_1__3_MassOfNitrogenLeachedFromOrganicFertiliser_Title">_xlfn.LAMBDA("Mass of nitrogen lost through leaching and runoff from organic fertiliser application in production system j")</definedName>
    <definedName name="Fertiliser_Equations_LeachingAndRunoff.VEERG_5_5_1_1__3_MassOfNitrogenLeachedFromOrganicFertiliser_Unit">_xlfn.LAMBDA("kg N")</definedName>
    <definedName name="Fertiliser_Equations_LeachingAndRunoff.VEERG_5_5_1_1__3_MassOfNitrogenLeachedFromOrganicFertiliser_Variable">_xlfn.LAMBDA("M_leachorganicj")</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Lime.VEERG_5_3_1_1__1_LimeApplicationCO2Emissions">_xlfn.LAMBDA(_xlpm.M_lime,_xlpm.FracLime,_xlpm.P_lime,_xlpm.EF_lime,_xlpm.FracDol,_xlpm.P_dol,_xlpm.EF_dol,_xlpm.C_CO2, ((_xlpm.M_lime * _xlpm.FracLime * _xlpm.P_lime * _xlpm.EF_lime) + (_xlpm.M_lime * _xlpm.FracDol * _xlpm.P_dol * _xlpm.EF_dol)) * _xlpm.C_CO2 * 10 ^ -3)</definedName>
    <definedName name="Fertiliser_Equations_Lime.VEERG_5_3_1_1__1_LimeApplicationCO2Emissions_Arguments">_xlfn.LAMBDA(_xlfn.MAKEARRAY(8, 4, _xlfn.LAMBDA(_xlpm.r,_xlpm.c, INDEX({"M_lime","total mass of lime applied to production system","kg","Input";"FracLime","fraction of lime as limestone (CaCO3)","fraction","Input";"P_lime","fractional purity of limestone","fraction","Constant";"EF_lime","emission factor for limestone fraction of lime","kg C/kg","Constant";"FracDol","fraction of lime as dolomite","fraction","Input";"P_dol","fractional purity of dolomite","fraction","Constant";"EF_dol","emission factor for dolomite fraction of lime","kg C/kg","Constant";"C_CO2","factor to convert elemental mass of carbon dioxide to molecular mass","","Constant"}, _xlpm.r, _xlpm.c))))</definedName>
    <definedName name="Fertiliser_Equations_Lime.VEERG_5_3_1_1__1_LimeApplicationCO2Emissions_LatexEquation">_xlfn.LAMBDA("E_{lime}=[(M_{lime}\times FracLime\times P_{lime}\times EF_{lime})+(M_{lime}\times FracDol\times P_{dol}\times EF_{dol})]\times C_{CO2}\times 10^{-3}")</definedName>
    <definedName name="Fertiliser_Equations_Lime.VEERG_5_3_1_1__1_LimeApplicationCO2Emissions_NIRReference">_xlfn.LAMBDA("")</definedName>
    <definedName name="Fertiliser_Equations_Lime.VEERG_5_3_1_1__1_LimeApplicationCO2Emissions_Source">_xlfn.LAMBDA("VEERG 2026: 5.3.1.1, Equation (1)")</definedName>
    <definedName name="Fertiliser_Equations_Lime.VEERG_5_3_1_1__1_LimeApplicationCO2Emissions_Title">_xlfn.LAMBDA("Emissions from the application of lime and dolomite to production systems")</definedName>
    <definedName name="Fertiliser_Equations_Lime.VEERG_5_3_1_1__1_LimeApplicationCO2Emissions_Unit">_xlfn.LAMBDA("t CO2")</definedName>
    <definedName name="Fertiliser_Equations_Lime.VEERG_5_3_1_1__1_LimeApplicationCO2Emissions_Variable">_xlfn.LAMBDA("E_lime")</definedName>
    <definedName name="Fertiliser_Equations_Organic.VEERG_5_2_1_1__2_MassOfNitrogenInOrganicFertiliser">_xlfn.LAMBDA(_xlpm.Morganicjf,_xlpm.FNorganicf, _xlpm.Morganicjf * _xlpm.FNorganicf)</definedName>
    <definedName name="Fertiliser_Equations_OrganicN2O.VEERG_5_2_1_1__1_OrganicFertiliserApplicationN2OEmissions">_xlfn.LAMBDA(_xlpm.MNSoil_jf,_xlpm.EF_N2Oi,_xlpm.C_N2O, (_xlpm.MNSoil_jf * _xlpm.EF_N2Oi * _xlpm.C_N2O) * 10 ^ -3)</definedName>
    <definedName name="Fertiliser_Equations_OrganicN2O.VEERG_5_2_1_1__1_OrganicFertiliserApplicationN2OEmissions_Arguments">_xlfn.LAMBDA(_xlfn.MAKEARRAY(5, 4, _xlfn.LAMBDA(_xlpm.r,_xlpm.c, INDEX({"MNSoil_jf","mass of nitrogen in organic fertiliser type f applied to production system j","kg N","Calculated from 5.2.1.1 (2)";"EF_N2Oi","emission factor for direct nitrous oxide emissions from organic fertiliser applied to soils and aquatic systems in climate zone i","kg N2O-N/kg N","Lookup";"C_N2O","factor to convert elemental mass of nitrous oxide to molecular mass","","Constant";"j","Production system","","Input";"i","Wet or dry climate zone","","Input"}, _xlpm.r, _xlpm.c))))</definedName>
    <definedName name="Fertiliser_Equations_OrganicN2O.VEERG_5_2_1_1__1_OrganicFertiliserApplicationN2OEmissions_LatexEquation">_xlfn.LAMBDA("E_{N2O}=\sum_{j}\sum_{f}((MNSoil_{jf}\times EF_{N2O,i}\times C_{N2O})\times 10^{-3})")</definedName>
    <definedName name="Fertiliser_Equations_OrganicN2O.VEERG_5_2_1_1__1_OrganicFertiliserApplicationN2OEmissions_NIRReference">_xlfn.LAMBDA("")</definedName>
    <definedName name="Fertiliser_Equations_OrganicN2O.VEERG_5_2_1_1__1_OrganicFertiliserApplicationN2OEmissions_Source">_xlfn.LAMBDA("VEERG 2026: 5.2.1.1, Equation (1)")</definedName>
    <definedName name="Fertiliser_Equations_OrganicN2O.VEERG_5_2_1_1__1_OrganicFertiliserApplicationN2OEmissions_Title">_xlfn.LAMBDA("Nitrous oxide emissions from the application of all organic fertiliser types f to all production systems j")</definedName>
    <definedName name="Fertiliser_Equations_OrganicN2O.VEERG_5_2_1_1__1_OrganicFertiliserApplicationN2OEmissions_Unit">_xlfn.LAMBDA("t N2O")</definedName>
    <definedName name="Fertiliser_Equations_OrganicN2O.VEERG_5_2_1_1__1_OrganicFertiliserApplicationN2OEmissions_Variable">_xlfn.LAMBDA("E_N2O")</definedName>
    <definedName name="Fertiliser_Equations_OrganicN2O.VEERG_5_2_1_1__2_MassOfNitrogenInOrganicFertiliser">_xlfn.LAMBDA(_xlpm.M_organicjf,_xlpm.FN_organicf, _xlpm.M_organicjf * _xlpm.FN_organicf)</definedName>
    <definedName name="Fertiliser_Equations_OrganicN2O.VEERG_5_2_1_1__2_MassOfNitrogenInOrganicFertiliser_Arguments">_xlfn.LAMBDA(_xlfn.MAKEARRAY(3, 4, _xlfn.LAMBDA(_xlpm.r,_xlpm.c, INDEX({"M_organicjf","mass of organic fertiliser type f applied to production system j","kg","Input";"FN_organicf","nitrogen fraction of organic fertiliser type f","kg N/kg","Input";"f","Organic fertiliser type","","Input"}, _xlpm.r, _xlpm.c))))</definedName>
    <definedName name="Fertiliser_Equations_OrganicN2O.VEERG_5_2_1_1__2_MassOfNitrogenInOrganicFertiliser_LatexEquation">_xlfn.LAMBDA("MNSoil_{jf}=M_{organic,jf}\times FN_{organic,f}")</definedName>
    <definedName name="Fertiliser_Equations_OrganicN2O.VEERG_5_2_1_1__2_MassOfNitrogenInOrganicFertiliser_NIRReference">_xlfn.LAMBDA("")</definedName>
    <definedName name="Fertiliser_Equations_OrganicN2O.VEERG_5_2_1_1__2_MassOfNitrogenInOrganicFertiliser_Source">_xlfn.LAMBDA("VEERG 2026: 5.2.1.1, Equation (2)")</definedName>
    <definedName name="Fertiliser_Equations_OrganicN2O.VEERG_5_2_1_1__2_MassOfNitrogenInOrganicFertiliser_Title">_xlfn.LAMBDA("Mass of nitrogen in purchased organic fertilisers applied to production system")</definedName>
    <definedName name="Fertiliser_Equations_OrganicN2O.VEERG_5_2_1_1__2_MassOfNitrogenInOrganicFertiliser_Unit">_xlfn.LAMBDA("kg N")</definedName>
    <definedName name="Fertiliser_Equations_OrganicN2O.VEERG_5_2_1_1__2_MassOfNitrogenInOrganicFertiliser_Variable">_xlfn.LAMBDA("MNSoil_jf")</definedName>
    <definedName name="Fertiliser_FracGASMSoil_Data">'Constants - Fertiliser'!$E$73</definedName>
    <definedName name="Fertiliser_FracLEACH_Data">'Constants - Fertiliser'!$E$78</definedName>
    <definedName name="Fertiliser_InputFunctions.Fertiliser_FertiliserProductLookup">_xlfn.LAMBDA(_xlpm.Product,_xlpm.ProductAttribute,_xlpm.ProductArray,_xlpm.ProductArrayColumn,_xlpm.ProductArrayHeaders, IFERROR(INDEX(_xlpm.ProductArray, _xlfn.XMATCH(TRIM(_xlpm.Product), _xlpm.ProductArrayColumn, 0), _xlfn.XMATCH(TRIM(_xlpm.ProductAttribute), _xlpm.ProductArrayHeaders, 0)), ""))</definedName>
    <definedName name="Fertiliser_InputFunctions.Fertiliser_GetChemicalCompoundElementFraction">_xlfn.LAMBDA(_xlpm.ChemicalCompound,_xlpm.Element,_xlpm.ChemicalCompoundArray,_xlpm.ChemicalCompoundColumn,_xlpm.ElementRow, INDEX(_xlpm.ChemicalCompoundArray, MATCH(_xlpm.ChemicalCompound, _xlpm.ChemicalCompoundColumn, 0), MATCH(_xlpm.Element, _xlpm.ElementRow, 0)))</definedName>
    <definedName name="Fertiliser_InputFunctions.Fertiliser_GetScope3EF">_xlfn.LAMBDA(_xlpm.ChemicalCompound,_xlpm.Scope3Array,_xlpm.ChemicalCompoundColumn,_xlpm.Source,_xlpm.SourceRow, INDEX(_xlpm.Scope3Array, MATCH(_xlpm.ChemicalCompound, _xlpm.ChemicalCompoundColumn, 0), MATCH(_xlpm.Source, _xlpm.SourceRow, 0)))</definedName>
    <definedName name="Fertiliser_InputFunctions.Fertiliser_SumProductApplied">_xlfn.LAMBDA(_xlpm.LookupTarget1,_xlpm.LookupArray1,_xlpm.AmountApplied,_xlop.LookupTarget2,_xlop.LookupArray2, _xlfn.LET(_xlpm.criteria1, --(_xlpm.LookupArray1 = _xlpm.LookupTarget1), _xlpm.criteria2, IF(_xlfn.ISOMITTED(_xlpm.LookupTarget2), 1, --(_xlpm.LookupArray2 = _xlpm.LookupTarget2)), SUMPRODUCT(IFERROR(_xlpm.criteria1 * _xlpm.criteria2 * _xlpm.AmountApplied, 0))))</definedName>
    <definedName name="Fertiliser_InputFunctions.Fertiliser_TotalActiveIngredientAppliedAllIngredients">_xlfn.LAMBDA(_xlpm.ChemicalCompound,_xlpm.AmountApplied,_xlpm.ProductIngredient1,_xlpm.ProductIngredientUnit1,_xlpm.ProductIngredientPercent1,_xlop.ProductIngredient2,_xlop.ProductIngredientUnit2,_xlop.ProductIngredientPercent2,_xlop.ProductIngredient3,_xlop.ProductIngredientUnit3,_xlop.ProductIngredientPercent3, _xlfn.LET(_xlpm.calculatedAmount1, (IF(_xlpm.ProductIngredientUnit1 = "Percent of product", _xlpm.AmountApplied * _xlpm.ProductIngredientPercent1, _xlpm.AmountApplied * (_xlpm.ProductIngredientPercent1 * 10 ^ -3))), _xlpm.calculatedAmount2, (IF(_xlpm.ProductIngredientUnit1 = "Percent of product", _xlpm.AmountApplied * _xlpm.ProductIngredientPercent2, _xlpm.AmountApplied * (_xlpm.ProductIngredientPercent2 * 10 ^ -3))), _xlpm.calculatedAmount3, (IF(_xlpm.ProductIngredientUnit1 = "Percent of product", _xlpm.AmountApplied * _xlpm.ProductIngredientPercent3, _xlpm.AmountApplied * (_xlpm.ProductIngredientPercent3 * 10 ^ -3))),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definedName>
    <definedName name="Fertiliser_InputFunctions.Fertiliser_TotalChemicalCompoundAppliedAllIngredients">_xlfn.LAMBDA(_xlpm.ChemicalCompound,_xlpm.AmountApplied,_xlpm.ProductIngredient1,_xlpm.ProductIngredientPercent1,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Fertiliser_InputFunctions.Fertiliser_SumProductApplied(_xlpm.ChemicalCompound, _xlpm.ProductIngredient1, _xlpm.calculatedAmount1) + IFERROR(Fertiliser_InputFunctions.Fertiliser_SumProductApplied(_xlpm.ChemicalCompound, _xlpm.ProductIngredient2, _xlpm.calculatedAmount2), 0) + IFERROR(Fertiliser_InputFunctions.Fertiliser_SumProductApplied(_xlpm.ChemicalCompound, _xlpm.ProductIngredient3, _xlpm.calculatedAmount3), 0) + IFERROR(Fertiliser_InputFunctions.Fertiliser_SumProductApplied(_xlpm.ChemicalCompound, _xlpm.ProductIngredient4, _xlpm.calculatedAmount4), 0) + IFERROR(Fertiliser_InputFunctions.Fertiliser_SumProductApplied(_xlpm.ChemicalCompound, _xlpm.ProductIngredient5, _xlpm.calculatedAmount5), 0) + IFERROR(Fertiliser_InputFunctions.Fertiliser_SumProductApplied(_xlpm.ChemicalCompound, _xlpm.ProductIngredient6, _xlpm.calculatedAmount6), 0)))</definedName>
    <definedName name="Fertiliser_InputFunctions.Fertiliser_TotalChemicalCompoundtAppliedBySourceAllIngredients">_xlfn.LAMBDA(_xlpm.ChemicalCompound,_xlpm.Source,_xlpm.AmountApplied,_xlpm.ProductIngredient1,_xlpm.ProductIngredientPercent1,_xlop.ProductIngredientSource,_xlop.ProductIngredient2,_xlop.ProductIngredientPercent2,_xlop.ProductIngredient3,_xlop.ProductIngredientPercent3,_xlop.ProductIngredient4,_xlop.ProductIngredientPercent4,_xlop.ProductIngredient5,_xlop.ProductIngredientPercent5,_xlop.ProductIngredient6,_xlop.ProductIngredientPercent6, _xlfn.LET(_xlpm.calculatedAmount1, (_xlpm.AmountApplied * _xlpm.ProductIngredientPercent1), _xlpm.calculatedAmount2, (_xlpm.AmountApplied * _xlpm.ProductIngredientPercent2), _xlpm.calculatedAmount3, (_xlpm.AmountApplied * _xlpm.ProductIngredientPercent3), _xlpm.calculatedAmount4, (_xlpm.AmountApplied * _xlpm.ProductIngredientPercent4), _xlpm.calculatedAmount5, (_xlpm.AmountApplied * _xlpm.ProductIngredientPercent5), _xlpm.calculatedAmount6, (_xlpm.AmountApplied * _xlpm.ProductIngredientPercent6), _xlpm.ProductIngredientSource, IF(_xlpm.ProductIngredientSource = "", "Global", _xlpm.ProductIngredientSource), Fertiliser_InputFunctions.Fertiliser_SumProductApplied(_xlpm.ChemicalCompound, _xlpm.ProductIngredient1, _xlpm.calculatedAmount1, _xlpm.Source, _xlpm.ProductIngredientSource) + IFERROR(Fertiliser_InputFunctions.Fertiliser_SumProductApplied(_xlpm.ChemicalCompound, _xlpm.ProductIngredient2, _xlpm.calculatedAmount2, _xlpm.Source, _xlpm.ProductIngredientSource), 0) + IFERROR(Fertiliser_InputFunctions.Fertiliser_SumProductApplied(_xlpm.ChemicalCompound, _xlpm.ProductIngredient3, _xlpm.calculatedAmount3, _xlpm.Source, _xlpm.ProductIngredientSource), 0) + IFERROR(Fertiliser_InputFunctions.Fertiliser_SumProductApplied(_xlpm.ChemicalCompound, _xlpm.ProductIngredient4, _xlpm.calculatedAmount4, _xlpm.Source, _xlpm.ProductIngredientSource), 0) + IFERROR(Fertiliser_InputFunctions.Fertiliser_SumProductApplied(_xlpm.ChemicalCompound, _xlpm.ProductIngredient5, _xlpm.calculatedAmount5, _xlpm.Source, _xlpm.ProductIngredientSource), 0) + IFERROR(Fertiliser_InputFunctions.Fertiliser_SumProductApplied(_xlpm.ChemicalCompound, _xlpm.ProductIngredient6, _xlpm.calculatedAmount6, _xlpm.Source, _xlpm.ProductIngredientSource), 0)))</definedName>
    <definedName name="Fertiliser_InputFunctions.Fertiliser_TotalSoilAmendmentApplied">_xlfn.LAMBDA(_xlpm.AmountApplied,_xlpm.AmendmentPercent, SUMPRODUCT(_xlpm.AmountApplied * _xlpm.AmendmentPercent))</definedName>
    <definedName name="Fertiliser_SourceData.Fertiliser_ChemicalCompoundElements_Data">_xlfn.LAMBDA(_xlfn.MAKEARRAY(20, 6, _xlfn.LAMBDA(_xlpm.r,_xlpm.c, INDEX({"Fertiliser Type f","FNinorganic,f","FUf","Basis","LifeCycles Scope 3 definition","Source";"Monoammonium phosphate (MAP)",0.1,0,"Ammonium-based fertilisers","Monoammonium phosphate (MAP)","VEERG";"Diammonium phosphate (DAP)",0.18,0,"Ammonium-based fertilisers","Diammonium phosphate (DAP)","VEERG";"Urea",0.46,1,"Urea-based fertilisers","Urea","VEERG";"Sulphate of ammonia (SOA)",0.21,0,"Ammonium-based fertilisers","Sulphate of ammonia (SOA)","VEERG";"Urea-ammonium nitrate (UAN)",0.32,0.35,"Urea-based fertilisers","Urea-ammonium nitrate (UAN)","VEERG";"Ammonium nitrate (AN)",0.337,0,"Ammonium-nitrate based fertilisers","Ammonium nitrate (AN)","VEERG";"Calcium ammonium nitrate (CAN)",0.27,0,"Ammonium-nitrate based fertilisers","Calcium ammonium nitrate (CAN)","VEERG";"Nitrogen - Ammoniacal",1,0,"Ammonium-based fertilisers","Nitrogen - Ammoniacal","LifeCycles";"Nitrogen - Nitrate",1,0,"Nitrate-based fertilisers","Nitrogen from Nitrate","LifeCycles";"Nitrogen - Generic",1,0,"Urea-based fertilisers","Nitrogen from fertiliser","LifeCycles";"Phosphorus - Generic",0,0,"Other fertilisers","Phosphorus from fertiliser","LifeCycles";"Potassium - Generic",0,0,"Other fertilisers","Potassium from fertiliser","LifeCycles";"Sulfur - Generic",0,0,"Other fertilisers","Sulfur from fertiliser","LifeCycles";"Zinc - Generic",0,0,"Other fertilisers","Zinc from fertiliser","LifeCycles";"Muriate of potash (MOP)",0,0,"Other fertilisers","Muriate of potash (MOP)","LifeCycles";"Double superphosphate",0,0,"Other fertilisers","Double superphosphate","LifeCycles";"Single superphosphate (SSP)",0,0,"Other fertilisers","Single superphosphate (SSP)","LifeCycles";"Ammonia",0.8235,0,"Ammonium-based fertilisers","Ammonia","LifeCycles";"Calcium nitrate",0.155,0,"Nitrate-based fertilisers","Calcium nitrate","VEERG"}, _xlpm.r, _xlpm.c))))</definedName>
    <definedName name="Fertiliser_SourceData.Fertiliser_ChemicalCompoundElements_Description">_xlfn.LAMBDA(("Chemical compounds used in fertilisers, along with their elemental composition"))</definedName>
    <definedName name="Fertiliser_SourceData.Fertiliser_ChemicalCompoundElements_Source">_xlfn.LAMBDA(("Table A.2.2.3: Fraction of nitrogen in common inorganic fertilisers (kgN/kg) (FNorganic,f) AND Table A.2.2.4: Fraction of urea in common inorganic fertilisers (kg urea/kg) (FUf)"))</definedName>
    <definedName name="Fertiliser_SourceData.Fertiliser_ChemicalCompoundElements_Title">_xlfn.LAMBDA(("Common inorganic fertilisers"))</definedName>
    <definedName name="Fertiliser_SourceData.Fertiliser_ChemicalCompoundElements_Variation">_xlfn.LAMBDA(_xlfn.MAKEARRAY(12, 1, _xlfn.LAMBDA(_xlpm.r,_xlpm.c, INDEX({"VARIATION ON SOURCE";"Added 'Basis' column to allow cross-referencing with table Table A.2.2.6: Fraction of inorganic fertiliser f that volatilises as NH3 and NOx ((kg NH3-N + NOx-N)/kg N) (FracGASFf)";"Added extra fertiliser types and generic chemical compounds to allow for custom NPKS blends";"Added extra 'Scope 3 definition' column to allow mapping with scope 3 data";"Added 'Source' column";"Combined data from Table A.2.2.3 and Table A.2.2.4 into one table to aid lookup.";"Excluded 'References' column";"Excluded 'Ammonium sulfate' as it is a duplicate of 'Sulphate of ammonia (SOA)'";"Excluded 'Calcium nitrate' as no scope 3 value available.";"Set 'Nitrogen - Generic' basis as 'Urea-based fertilisers, as urea is the most commonly used form of nitrogen in Australian fertilisers";"Set 'Urea-ammonium nitrate' basis as 'Urea-based fertiliser'";"Ammonia has an FN value of 0.8235 based on (14/17)x100, where 14 is the mass of nitrogen in ammonia and 17 is the molar mass of ammonia."}, _xlpm.r, _xlpm.c))))</definedName>
    <definedName name="Fertiliser_SourceData.Fertiliser_EFLeach_Data">_xlfn.LAMBDA(0.011)</definedName>
    <definedName name="Fertiliser_SourceData.Fertiliser_EFLeach_Source">_xlfn.LAMBDA(("VEERG 2026: 5.5.2.3 Constant Parameters"))</definedName>
    <definedName name="Fertiliser_SourceData.Fertiliser_EFLeach_Title">_xlfn.LAMBDA(("Emission factor for nitrogen leaching and runoff"))</definedName>
    <definedName name="Fertiliser_SourceData.Fertiliser_EFLeach_Unit">_xlfn.LAMBDA(("kg N2O-N / kg N"))</definedName>
    <definedName name="Fertiliser_SourceData.Fertiliser_EFLeach_Variable">_xlfn.LAMBDA(("EFLeach"))</definedName>
    <definedName name="Fertiliser_SourceData.Fertiliser_EFLeach_Variation">_xlfn.LAMBDA("")</definedName>
    <definedName name="Fertiliser_SourceData.Fertiliser_EFUreaCO2_Data">_xlfn.LAMBDA(0.2)</definedName>
    <definedName name="Fertiliser_SourceData.Fertiliser_EFUreaCO2_Source">_xlfn.LAMBDA(("VEERG 2026: 5.1.2.2 Constant Parameters"))</definedName>
    <definedName name="Fertiliser_SourceData.Fertiliser_EFUreaCO2_Title">_xlfn.LAMBDA(("Emission factor for carbon emissions from urea application"))</definedName>
    <definedName name="Fertiliser_SourceData.Fertiliser_EFUreaCO2_Unit">_xlfn.LAMBDA(("kg C/kg urea"))</definedName>
    <definedName name="Fertiliser_SourceData.Fertiliser_EFUreaCO2_Variable">_xlfn.LAMBDA(("EFureaCO2"))</definedName>
    <definedName name="Fertiliser_SourceData.Fertiliser_EFUreaCO2_Variation">_xlfn.LAMBDA("")</definedName>
    <definedName name="Fertiliser_SourceData.Fertiliser_FracGASF_Data">_xlfn.LAMBDA(_xlfn.MAKEARRAY(6, 2, _xlfn.LAMBDA(_xlpm.r,_xlpm.c, INDEX({"Fertiliser type f","FracGASFf";"Urea-based fertilisers",0.15;"Ammonium-based fertilisers",0.08;"Nitrate-based fertilisers",0.01;"Ammonium-nitrate based fertilisers",0.05;"Other fertilisers",0.11}, _xlpm.r, _xlpm.c))))</definedName>
    <definedName name="Fertiliser_SourceData.Fertiliser_FracGASF_Source">_xlfn.LAMBDA(("Table A.2.2.6: Fraction of inorganic fertiliser f that volatilises as NH3 and NOx ((kg NH3-N + NOx-N)/kg N) (FracGASFf)"))</definedName>
    <definedName name="Fertiliser_SourceData.Fertiliser_FracGASF_Title">_xlfn.LAMBDA(("Fraction of inorganic fertiliser that volatilises as NH3 and NOx"))</definedName>
    <definedName name="Fertiliser_SourceData.Fertiliser_FracGASF_Variation">_xlfn.LAMBDA("")</definedName>
    <definedName name="Fertiliser_SourceData.Fertiliser_FracGASMSoil_Data">_xlfn.LAMBDA(0.21)</definedName>
    <definedName name="Fertiliser_SourceData.Fertiliser_FracGASMSoil_Source">_xlfn.LAMBDA(("VEERG 2026: 5.4.2.3 Constant Parameters"))</definedName>
    <definedName name="Fertiliser_SourceData.Fertiliser_FracGASMSoil_Title">_xlfn.LAMBDA(("Fraction of organic fertiliser that volatilises as NH3 and NOx"))</definedName>
    <definedName name="Fertiliser_SourceData.Fertiliser_FracGASMSoil_Unit">_xlfn.LAMBDA(("(kg NH3-N + NOx-N)/kg N"))</definedName>
    <definedName name="Fertiliser_SourceData.Fertiliser_FracGASMSoil_Variable">_xlfn.LAMBDA(("FracGASMsoil"))</definedName>
    <definedName name="Fertiliser_SourceData.Fertiliser_FracGASMSoil_Variation">_xlfn.LAMBDA("")</definedName>
    <definedName name="Fertiliser_SourceData.Fertiliser_FracLEACH_Data">_xlfn.LAMBDA(0.24)</definedName>
    <definedName name="Fertiliser_SourceData.Fertiliser_FracLEACH_Source">_xlfn.LAMBDA(("VEERG 2026: 5.5.2.3 Constant Parameters"))</definedName>
    <definedName name="Fertiliser_SourceData.Fertiliser_FracLEACH_Title">_xlfn.LAMBDA(("Fraction of nitrogen that is lost through leaching and runoff"))</definedName>
    <definedName name="Fertiliser_SourceData.Fertiliser_FracLEACH_Unit">_xlfn.LAMBDA(("fraction"))</definedName>
    <definedName name="Fertiliser_SourceData.Fertiliser_FracLEACH_Variable">_xlfn.LAMBDA(("FracLEACH"))</definedName>
    <definedName name="Fertiliser_SourceData.Fertiliser_FracLEACH_Variation">_xlfn.LAMBDA("")</definedName>
    <definedName name="Fertiliser_SourceData.Fertiliser_FractionNCommonFertilisers_Data">_xlfn.LAMBDA(_xlfn.MAKEARRAY(10, 2, _xlfn.LAMBDA(_xlpm.r,_xlpm.c, INDEX({"Fertiliser Type f","FNinorganicf";"Monoammonium phosphate (MAP)",0.1;"Diammonium phosphate (DAP)",0.18;"Urea",0.46;"Sulphate of ammonia (SOA)",0.21;"Urea-ammonium nitrate (UAN)",0.32;"Ammonium nitrate (AN)",0.337;"Calcium ammonium nitrate (CAN)",0.27;"Ammonium Sulfate",0.21;"Calcium Nitrate",0.155}, _xlpm.r, _xlpm.c))))</definedName>
    <definedName name="Fertiliser_SourceData.Fertiliser_FractionNCommonFertilisers_Source">_xlfn.LAMBDA(("VEERG 2026: Table A.2.2.3"))</definedName>
    <definedName name="Fertiliser_SourceData.Fertiliser_FractionNCommonFertilisers_Title">_xlfn.LAMBDA(("Fraction of nitrogen in common inorganic fertilisers (kgN/kg) (FNorganic,f)"))</definedName>
    <definedName name="Fertiliser_SourceData.Fertiliser_FractionNCommonFertilisers_Variation">_xlfn.LAMBDA((""))</definedName>
    <definedName name="Fertiliser_SourceData.Fertiliser_FractionUreaCommonFertilisers_Data">_xlfn.LAMBDA(_xlfn.MAKEARRAY(10, 2, _xlfn.LAMBDA(_xlpm.r,_xlpm.c, INDEX({"Fertiliser Type f","FUf";"Monoammonium phosphate (MAP)",0;"Diammonium phosphate (DAP)",0;"Urea",1;"Sulphate of ammonia (SOA)",0;"Urea-ammonium nitrate (UAN)",0.35;"Ammonium nitrate (AN)",0;"Calcium ammonium nitrate (CAN)",0;"Ammonium Sulfate",0;"Calcium Nitrate",0}, _xlpm.r, _xlpm.c))))</definedName>
    <definedName name="Fertiliser_SourceData.Fertiliser_FractionUreaCommonFertilisers_Source">_xlfn.LAMBDA(("VEERG 2026: Table A.2.2.4"))</definedName>
    <definedName name="Fertiliser_SourceData.Fertiliser_FractionUreaCommonFertilisers_Title">_xlfn.LAMBDA(("Fraction of urea in common inorganic fertilisers (kg urea/kg) (FUf)"))</definedName>
    <definedName name="Fertiliser_SourceData.Fertiliser_FractionUreaCommonFertilisers_Variation">_xlfn.LAMBDA((""))</definedName>
    <definedName name="Fertiliser_SourceData.Fertiliser_LimeDolomiteGypsumConstants_Data">_xlfn.LAMBDA(_xlfn.MAKEARRAY(4, 3, _xlfn.LAMBDA(_xlpm.r,_xlpm.c, INDEX({"Element","P","EF";"Lime (Calcium carbonate)",0.9,0.12;"Dolomite (Magnesium carbonate)",0.95,0.13;"Gypsum",0,0}, _xlpm.r, _xlpm.c))))</definedName>
    <definedName name="Fertiliser_SourceData.Fertiliser_LimeDolomiteGypsumConstants_Description">_xlfn.LAMBDA(("Constants for lime, dolomite and gypsum"))</definedName>
    <definedName name="Fertiliser_SourceData.Fertiliser_LimeDolomiteGypsumConstants_Source">_xlfn.LAMBDA(("VEERG 2026: 5.3.2.3 Constant Parameters"))</definedName>
    <definedName name="Fertiliser_SourceData.Fertiliser_LimeDolomiteGypsumConstants_Title">_xlfn.LAMBDA(("Constants for lime, dolomite and gypsum"))</definedName>
    <definedName name="Fertiliser_SourceData.Fertiliser_LimeDolomiteGypsumConstants_Variation">_xlfn.LAMBDA(("VARIATION FROM SOURCE DATA: Gypsum has been added with placeholder values of 0 for P and EF."))</definedName>
    <definedName name="Fertiliser_SourceData.Fertiliser_Products_Data1">_xlfn.LAMBDA(_xlfn.MAKEARRAY(30, 31, _xlfn.LAMBDA(_xlpm.r,_xlpm.c, INDEX({"Campbells fertilisers Australia","Aqua Finish","L",1.26,"","","",2.6,4,22.5,"","Potassium - Generic",0.225,"Phosphorus - Generic",0.04,"Nitrogen - Generic",0.026,"","","","","","","","","","","","","","";"Campbells fertilisers Australia","Aqua Grow","L",1.26,"","","",9.6,5,10.5,"","Potassium - Generic",0.105,"Nitrogen - Generic",0.096,"Phosphorus - Generic",0.05,"","","","","","","","","","","","","","";"Campbells fertilisers Australia","Aqua Nitro AN","L",1.24,"","","",22.3,"","","","Nitrogen - Ammoniacal",0.223,"","","","","","","","","","","","","","","","","","";"Campbells fertilisers Australia","Aqua NitroCal","L",1.5,"","","",13.2,"","","","Calcium",0.162,"Nitrogen - Nitrate",0.132,"","","","","","","","","","","","","","","","";"Campbells fertilisers Australia","Aqua NitroCal (VI)","L",1.5,"","","",13.2,"","","","Calcium",0.187,"Nitrogen - Nitrate",0.132,"","","","","","","","","","","","","","","","";"Campbells fertilisers Australia","Aqua NitroCal Ultimate","L",1.5,"","","",13.2,"","","","Calcium",0.183,"Nitrogen - Nitrate",0.132,"","","","","","","","","","","","","","","","";"Campbells fertilisers Australia","Aqua Start","L",1.25,"","","",10.3,10,3.4,"","Nitrogen - Generic",0.103,"Phosphorus - Generic",0.1,"Potassium - Generic",0.034,"","","","","","","","","","","","","","";"Campbells fertilisers Australia","Aqua Thio-Complete","L",1.43,"","","",2.5,3.8,22.5,"","Potassium - Generic",0.225,"Phosphorus - Generic",0.038,"Nitrogen - Generic",0.025,"","","","","","","","","","","","","","";"Campbells fertilisers Australia","Aqua Thio-Emerge","L",1.29,"","","",10.5,9.4,4,3,"Nitrogen - Generic",0.105,"Phosphorus - Generic",0.094,"Potassium - Generic",0.04,"Sulfur - Generic",0.03,"","","","","","","","","","","","";"Campbells fertilisers Australia","Aqua Thio-Flourish","L",1.32,"","","",9.5,4.7,10.8,8.1,"Potassium - Generic",0.108,"Nitrogen - Generic",0.095,"Sulfur - Generic",0.081,"Phosphorus - Generic",0.047,"","","","","","","","","","","","";"Campbells fertilisers Australia","Boost-It","kg",1,"","","",24,5.2,8,5.3,"Urea",0.521739,"Potassium - Generic",0.08,"Sulfur - Generic",0.053,"Phosphorus - Generic",0.052,"Magnesium",0.013,"Zinc",0.002,"Manganese",0.0035,"Iron",0.0013,"Copper",0.0007,"Boron",0.0007;"Campbells fertilisers Australia","Bronze","kg",1,"","","",17,0.04,11.6,0.5,"Muriate of potash (MOP)",0.232,"Nitrogen - Generic",0.17,"Sulfur - Generic",0.005,"Magnesium",0.0024,"Phosphorus - Generic",0.0004,"","","","","","","","","","";"Campbells fertilisers Australia","Calbit C","L",1.45,"","","","","","","","Calcium",0.107,"","","","","","","","","","","","","","","","","","";"Campbells fertilisers Australia","Compass","kg",1,"","","",15,6.5,12.5,6,"Nitrogen - Ammoniacal",0.075,"Nitrogen - Nitrate",0.075,"Potassium - Generic",0.125,"Phosphorus - Generic",0.065,"Sulfur - Generic",0.06,"","","","","","","","","","";"Campbells fertilisers Australia","CoRoN 12-0-10","L",1.215,"","","",12,"",10,"","Urea",0.195652,"Potassium - Generic",0.1,"Nitrogen - Generic",0.03,"Boron",0.005,"","","","","","","","","","","","";"Campbells fertilisers Australia","Maximum Quick-N","kg",1,"","","",21.66,"","",13.2,"Sulphate of ammonia (SOA)",0.55,"Ammonium nitrate (AN)",0.3,"","","","","","","","","","","","","","","","";"SL Tec","Crop Booster PLUS","L",1.319,"","","",5,15,2.1,"","Phosphorus - Generic",0.15,"Calcium",0.04,"Nitrogen - Ammoniacal",0.029,"Nitrogen - Nitrate",0.021,"Potassium - Generic",0.021,"Copper",0.005,"Zinc",0.004,"Manganese",0.004,"Magnesium",0.002,"","";"Risso-Chemical","Ammonium Bicarbonate","kg",1,"","","China",17.7,"","","","Nitrogen - Ammoniacal",0.177,"","","","","","","","","","","","","","","","","","";"Risso-Chemical","Ammonium Sulfate","kg",1,"","","China",21,"","",24,"Sulfur - Generic",0.24,"Nitrogen - Ammoniacal",0.21,"","","","","","","","","","","","","","","","";"Ravensdown","Ammonium Sulphate - Granular","kg",1,"","","",21,"","",24,"Sulphate of ammonia (SOA)",1,"","","","","","","","","","","","","","","","","","";"Impact Fertilisers","Di-Ammonium Phosphate (DAP)","kg",1,"","","",18,20,"","","Diammonium phosphate (DAP)",1,"","","","","","","","","","","","","","","","","","";"Incitec Pivot Fertilisers","Basalt BooSSta","kg",1,"","","",8,14,"",27.6,"Sulfur - Generic",0.276,"Phosphorus - Generic",0.14,"Nitrogen - Generic",0.08,"Fluoride",0.024,"","","","","","","","","","","","";"Summit Fertilizers","DAPSZC","kg",1,"","","",16.9,18.2,"",8,"Phosphorus - Generic",0.182,"Nitrogen - Generic",0.169,"Sulfur - Generic",0.08,"Zinc",0.002,"Copper",0.001,"","","","","","","","","","";"Incitec Pivot Fertilisers","Easy N","L",1.32,"","","",42.5,"","","","Urea",0.467391,"Nitrogen - Nitrate",0.105,"Nitrogen - Ammoniacal",0.105,"Biuret",0.006,"","","","","","","","","","","","";"Risso-Chemical","Calcium Ammonium nitrate","kg",1,"","","China",40.5,"","","","Nitrogen - Ammoniacal",0.27,"Nitrogen - Nitrate",0.135,"Calcium",0.12,"","","","","","","","","","","","","","";"SL Tec","CellCAL Plus","L",1.138,"","","","","","","","Calcium",0.059,"Copper",0.003,"Boron",0.001,"","","","","","","","","","","","","","";"Incitec Pivot Fertilisers","CK55","kg",1,"","","",13.5,15,6.25,1.2,"Phosphorus - Generic",0.15,"Nitrogen - Ammoniacal",0.135,"Muriate of potash (MOP)",0.125,"Fluoride",0.023,"Sulfur - Generic",0.012,"","","","","","","","","","";"Switch Ag","Crop K","L",1.25,"","","",3,"",21,"","Potassium - Generic",0.21,"Nitrogen - Generic",0.03,"","","","","","","","","","","","","","","","";"Switch Ag","Crop Starter","L",1.2,"","","",5,3,8,"","Potassium - Generic",0.08,"Nitrogen - Generic",0.05,"Phosphorus - Generic",0.03,"","","","","","","","","","","","","","";"Incitec Pivot Fertilisers","Gran-Am","kg",1,"","","",21,"","",24,"Sulphate of ammonia (SOA)",1,"","","","","","","","","","","","","","","","","",""}, _xlpm.r, _xlpm.c))))</definedName>
    <definedName name="Fertiliser_SourceData.Fertiliser_Products_Data2">_xlfn.LAMBDA(_xlfn.MAKEARRAY(30, 31, _xlfn.LAMBDA(_xlpm.r,_xlpm.c, INDEX({"Campbells fertilisers Australia","Encal","L",1.5,"","","",9,"","",13.94,"Sulphate of ammonia (SOA)",0.580645,"Magnesium",0.012,"","","","","","","","","","","","","","","","";"Incitec Pivot Fertilisers","Granulock SS","kg",1,"","","",10,17.5,"",12,"Phosphorus - Generic",0.175,"Sulfur - Generic",0.12,"Nitrogen - Ammoniacal",0.1,"Fluoride",0.03,"","","","","","","","","","","","";"Incitec Pivot Fertilisers","Granulock Z","kg",1,"","","",11,21.8,"",4,"Phosphorus - Generic",0.218,"Nitrogen - Generic",0.11,"Sulfur - Generic",0.04,"Fluoride",0.03,"Zinc",0.01,"","","","","","","","","","";"Incitec Pivot Fertilisers","Farm Ag Leichhardt","kg",1,"","","",32.5,5.4,6.25,"","Urea",0.6,"Nitrogen - Ammoniacal",0.049,"Phosphorus - Generic",0.054,"Muriate of potash (MOP)",0.125,"","","","","","","","","","","","";"Ravensdown","Flexi-N NBPT","kg",1,"Yes","","",45.54,"","","","Urea",0.99,"","","","","","","","","","","","","","","","","","";"Campbells fertilisers Australia","Gold Premium","kg",1,"","","",14.87,2.2,16.6,8,"Ammonium nitrate (AN)",0.441176,"Potassium - Generic",0.166,"Sulfur - Generic",0.08,"Phosphorus - Generic",0.022,"Magnesium",0.012,"Boron",0.0002,"Zinc",0.0001,"","","","","","";"SL Tec","High NS","L",1.299,"","","",38,"","",2,"Urea",0.46087,"Nitrogen - Ammoniacal",0.092,"Nitrogen - Nitrate",0.076,"Sulfur - Generic",0.02,"","","","","","","","","","","","";"Impact Fertilisers","Impact SSP","kg",1,"","","","",8.8,"",11,"Single superphosphate (SSP)",1,"","","","","","","","","","","","","","","","","","";"Switch Ag","In Crop","L",1.2,"","","",10,1,11,"","Potassium - Generic",0.11,"Nitrogen - Generic",0.1,"Phosphorus - Generic",0.01,"","","","","","","","","","","","","","";"Switch Ag","K20","L",1.3,"","","",3,"",22,"","Potassium - Generic",0.22,"Nitrogen - Generic",0.03,"","","","","","","","","","","","","","","","";"Loveland Agriproducts","Maximum N-Pact","L",1.185,"","","",23.8,"","","","Urea",0.517391,"","","","","","","","","","","","","","","","","","";"SL Tec","Nitro Combi TE","L",1.255,"","","","","",0.1,4.4,"Sulfur - Generic",0.044,"Zinc",0.022,"Iron",0.022,"Manganese",0.016,"Boron",0.008,"Magnesium",0.007,"Fulvic acid (organic)",0.005,"Copper",0.003,"Potassium - Generic",0.001,"Molybdenum",0.0003;"Switch Ag","PastureMAXX","L",1.23,"","","",9.71,"",3.25,2.11,"Nitrogen - Generic",0.0971,"Potassium - Generic",0.0325,"Sulfur - Generic",0.0211,"Zinc",0.015,"Iron",0.0111,"Manganese",0.0115,"Magnesium",0.0045,"Boron",0.002,"","","","";"Campbells fertilisers Australia","Platinum Nergetic","kg",1,"","","",10,10.9,10,4.34,"Monoammonium phosphate (MAP)",0.4178,"Ammonium nitrate (AN)",0.1728,"Potassium sulphate",0.240964,"Double superphosphate",0.1,"Magnesium",0.012,"Zinc",0.0036,"Boron",0.001,"Glaze Extend G3 Flexi",0.0519,"","","","";"Impact Fertilisers","Sulphate of ammonia (SOA)","kg",1,"","","",21,"","",24,"Sulphate of ammonia (SOA)",1,"","","","","","","","","","","","","","","","","","";"Impact Fertilisers","Mono-Ammonium Phosphate (MAP)","kg",1,"","","",10,21.9,"",1.5,"Monoammonium phosphate (MAP)",1,"","","","","","","","","","","","","","","","","","";"Impact Fertilisers","Urea","kg",1,"","","",46,"","","","Urea",1,"","","","","","","","","","","","","","","","","","";"Koch Fertiliser Australia","Muriate of potash (MOP)","kg",1,"","","","","",50,"","Muriate of potash (MOP)",1,"","","","","","","","","","","","","","","","","","";"Risso-Chemical","Urea Ammonium nitrate (UAN 32-0-0)","L",1.32,"","China","China",32,"","","","Urea-ammonium nitrate (UAN)",1,"","","","","","","","","","","","","","","","","","";"Risso-Chemical","Polypeptide Urea","kg",1,"","China","",46,"","","","Urea",1,"Polypeptide (amino acids)",0,"","","","","","","","","","","","","","","","";"Yara Australia","YaraTera CALCINIT","kg",1,"","","",15.5,"","","","Calcium nitrate",1,"","","","","","","","","","","","","","","","","","";"Yara Australia","YaraLiva NITRABOR","kg",1,"","","",15.4,"","","","Calcium nitrate",0.993548,"Boron",0.003,"","","","","","","","","","","","","","","","";"Yara Australia","YaraMila COMPLEX","kg",1,"","","",12,5,15,8,"Nitrogen - Nitrate",0.05,"Nitrogen - Ammoniacal",0.07,"Phosphorus - Generic",0.05,"Potassium - Generic",0.15,"Sulfur - Generic",0.08,"Magnesium",0.016,"Zinc",0.0002,"Boron",0.00015,"","","","";"Yara Australia","YaraRega 9-0-30 (14)","kg",1,"","","",9,"",30,14,"Potassium - Generic",0.3,"Sulfur - Generic",0.14,"Nitrogen - Nitrate",0.045,"Nitrogen - Ammoniacal",0.045,"","","","","","","","","","","","";"Yara Australia","YaraRega 13-2-21","kg",1,"","","",13,1.75,21,10.8,"Potassium - Generic",0.21,"Sulfur - Generic",0.108,"Nitrogen - Ammoniacal",0.077,"Nitrogen - Nitrate",0.053,"Phosphorus - Generic",0.0175,"Magnesium",0.004,"Zinc",0.0008,"Boron",0.0008,"","","","";"Yara Australia","YaraRega 15-7-13 (7S)","kg",1,"","","",15,6.5,12.5,7.2,"Nitrogen - Nitrate",0.095,"Potassium - Generic",0.125,"Sulfur - Generic",0.072,"Phosphorus - Generic",0.065,"Nitrogen - Ammoniacal",0.055,"Magnesium",0.0066,"Boron",0.001,"Zinc",0.0006,"","","","";"Yara Australia","YaraTera CALCINIT B","kg",1,"","","",15.5,"","","","Calcium nitrate",1,"Boron",0.001,"","","","","","","","","","","","","","","","";"Yara Australia","YaraTera KRISTA MAP","kg",1,"","","",10,21.9,"","","Monoammonium phosphate (MAP)",1,"","","","","","","","","","","","","","","","","","";"Yara Australia","YaraTera KRISTALON RED","kg",1,"","","",12,5.2,29.9,1,"Potassium - Generic",0.299,"Nitrogen - Nitrate",0.101,"Phosphorus - Generic",0.052,"Nitrogen - Ammoniacal",0.019,"Sulfur - Generic",0.01,"Magnesium",0.006,"Iron",0.0007,"Manganese",0.0004,"Zinc",0.00025,"Boron",0.00025;"Yara Australia","YaraTera KRISTALON SPECIAL","kg",1,"","","",18,7.9,14.9,2,"Potassium - Generic",0.149,"Urea",0.213043,"Phosphorus - Generic",0.079,"Nitrogen - Nitrate",0.049,"Nitrogen - Ammoniacal",0.033,"Sulfur - Generic",0.02,"Magnesium",0.018,"Iron",0.0007,"Manganese",0.0004,"Zinc",0.00025}, _xlpm.r, _xlpm.c))))</definedName>
    <definedName name="Fertiliser_SourceData.Fertiliser_Products_Data3">_xlfn.LAMBDA(_xlfn.MAKEARRAY(30, 31, _xlfn.LAMBDA(_xlpm.r,_xlpm.c, INDEX({"Yara Australia","YaraMila 21-7-3(4)","kg",1,"","","",21,7.4,2.5,4,"Nitrogen - Nitrate",0.105,"Nitrogen - Ammoniacal",0.105,"Phosphorus - Generic",0.074,"Sulfur - Generic",0.04,"Potassium - Generic",0.025,"Magnesium",0.004,"Zinc",0.0015,"","","","","","";"Yara Australia","YaraTera KRISTALON SCARLET","kg",1,"","","",7.5,"",29.9,4,"Potassium - Generic",0.299,"Nitrogen - Nitrate",0.052,"Sulfur - Generic",0.04,"Magnesium",0.027,"Nitrogen - Ammoniacal",0.023,"","","","","","","","","","";"Campbells fertilisers Australia","Solu-MAP","kg",1,"","","",10,21.9,"","","Monoammonium phosphate (MAP)",1,"","","","","","","","","","","","","","","","","","";"Campbells fertilisers Australia","Solu-Sam","kg",1,"","","",21,"","",24,"Sulphate of ammonia (SOA)",1,"","","","","","","","","","","","","","","","","","";"Campbells fertilisers Australia","Rustica Plus","kg",1,"","","",12,5,14,9.7,"Potassium - Generic",0.14,"Sulfur - Generic",0.097,"Nitrogen - Nitrate",0.06,"Nitrogen - Ammoniacal",0.06,"Phosphorus - Generic",0.05,"Calcium",0.031,"Magnesium",0.012,"Zinc",0.001,"Boron",0.0002,"","";"Campbells fertilisers Australia","Platinum Plus","kg",1,"","","",10,11,10,6,"Phosphorus - Generic",0.11,"Potassium - Generic",0.1,"Sulfur - Generic",0.06,"Nitrogen - Nitrate",0.05,"Nitrogen - Ammoniacal",0.05,"Calcium",0.043,"Magnesium",0.012,"Zinc",0.0036,"Boron",0.001,"","";"Campbells fertilisers Australia","Tropika","kg",1,"","","",11,2.6,20.8,4,"Nitrogen - Nitrate",0.055,"Nitrogen - Ammoniacal",0.055,"Phosphorus - Generic",0.026,"Potassium - Generic",0.208,"Sulfur - Generic",0.04,"Magnesium",0.024,"","","","","","","","";"Campbells fertilisers Australia","Rustica Nergetic","kg",1,"","","",12,5.2,14.1,9.6,"Potassium - Generic",0.141,"Sulfur - Generic",0.096,"Nitrogen - Nitrate",0.06,"Nitrogen - Ammoniacal",0.06,"Phosphorus - Generic",0.052,"Magnesium",0.012,"Zinc",0.0008,"Iron",0.0007,"Manganese",0.0006,"Boron",0.0002;"Campbells fertilisers Australia","Quick-N Nergetic","kg",1,"","","",25,"","",12.8,"Sulphate of ammonia (SOA)",0.533333,"Ammonium nitrate (AN)",0.409496,"Zinc",0.001,"Manganese",0.001,"Boron",0.0001,"Molybdenum",0.00001,"","","","","","","","";"FertPro Manufacturing Pty. Ltd.","(SSP) Single Super Fertiliser","kg",1,"","","","",8.8,"",11,"Single superphosphate (SSP)",1,"","","","","","","","","","","","","","","","","","";"Impact Fertilisers","ZincStar","kg",1,"","","",10,21.9,0,2,"Monoammonium phosphate (MAP)",1,"Zinc",0.01,"","","","","","","","","","","","","","","","";"Baileys (Simplot) [listed as Impact]","Apex GaIXe Low P 21-1-6","kg",1,"","","",21,0.86,5.8,4.2,"Nitrogen - Generic",0.21,"Potassium - Generic",0.058,"Sulfur - Generic",0.042,"Phosphorus - Generic",0.0086,"","","","","","","","","","","","";"Incitec Pivot Fertilisers","SuPerfect","kg",1,"","","","",8.8,"",11,"Single superphosphate (SSP)",1,"","","","","","","","","","","","","","","","","","";"Incitec Pivot Fertilisers [listed as Summit]","Big N","kg",1,"","","",82.35,"","","","Ammonia",1,"","","","","","","","","","","","","","","","","","";"Incitec Pivot Fertilisers","Entec Urea","kg",1,"Yes","","",46,"","","","Urea",1,"","","","","","","","","","","","","","","","","","";"Incitec Pivot Fertilisers (or Ravensdown - see note)","Flexi-N NI only","kg",1,"Yes","","",45.54,"","","","Urea",0.99,"Urease/nitrification inhibitor",0.01,"","","","","","","","","","","","","","","","";"Nutri-Tech Solutions (NTS)","Muriate Of Potash MOP","kg",1,"","","","","",50,"","Muriate of potash (MOP)",1,"","","","","","","","","","","","","","","","","","";"Nuturf","MAP NUTURF","kg",1,"","","",10,21.9,"","","Monoammonium phosphate (MAP)",1,"","","","","","","","","","","","","","","","","","";"Campbells fertilisers Australia","Quick-N","kg",1,"","","",26,"","",13,"Sulphate of ammonia (SOA)",0.541667,"Ammonium nitrate (AN)",0.433976,"","","","","","","","","","","","","","","","";"SLTEC Fertilizers","UAS","L",1.235,"","","",26.6,"","",6.7,"Urea",0.450815,"Sulphate of ammonia (SOA)",0.279167,"","","","","","","","","","","","","","","","";"SLTEC Fertilizers","Triazone Urea","L",1.28,"","","",0,"","","","Urea",0.652174,"","","","","","","","","","","","","","","","","","";"Marnco [listed as SLTEC]","Ammo 36N","kg",1,"","","",36,"","",9.6,"Nitrogen - Generic",0.36,"Sulfur - Generic",0.096,"","","","","","","","","","","","","","","","";"Risso-Chemical","Risso Liquid NPK (200-200-200)","L",1.3,"","","",20,8.73,16.6,"","Nitrogen - Generic",0.2,"Phosphorus - Generic",0.08728,"Potassium - Generic",0.16602,"","","","","","","","","","","","","","";"Turf Group Australia (Simplot)","Super Cal 15-0-12","kg",1,"","","",15,"",9.96,"","Nitrogen - Nitrate",0.084737,"Potassium - Generic",0.099612,"Calcium nitrate",0.421053,"Magnesium",0.005,"Boron",0.0002,"","","","","","","","","","";"Incitec Pivot Fertilisers","CK 88","kg",1,"","","",15.1,4.4,11.5,13.6,"Nitrogen - Generic",0.151,"Phosphorus - Generic",0.044,"Potassium - Generic",0.115,"Sulfur - Generic",0.136,"","","","","","","","","","","","";"Incitec Pivot Fertilisers","CropLift 15","kg",1,"","","",14.6,12.1,"",11.6,"Nitrogen - Generic",0.146,"Phosphorus - Generic",0.121,"Sulfur - Generic",0.116,"","","","","","","","","","","","","","";"Incitec Pivot Fertilisers","NPKS 19-13-0-9","kg",1,"","","",19,13,0,9,"Nitrogen - Generic",0.19,"Phosphorus - Generic",0.13,"Sulfur - Generic",0.09,"","","","","","","","","","","","","","";"Incitec Pivot Fertilisers","PastureBoosta","kg",1,"","","",23.8,3.7,13,4.1,"Nitrogen - Generic",0.238,"Phosphorus - Generic",0.037,"Potassium - Generic",0.13,"Sulfur - Generic",0.041,"","","","","","","","","","","","";"Incitec Pivot Fertilisers","Greentop K","kg",1,"","","",32.8,"",11,2.9,"Urea",0.66087,"Nitrogen - Ammoniacal",0.024,"Potassium - Generic",0.11,"Sulfur - Generic",0.029,"","","","","","","","","","","","";"Incitec Pivot Fertilisers","HayBoosta","kg",1,"","","",11.7,4.7,23.9,4.6,"Nitrogen - Generic",0.117,"Phosphorus - Generic",0.047,"Potassium - Generic",0.239,"Sulfur - Generic",0.046,"","","","","","","","","","","",""}, _xlpm.r, _xlpm.c))))</definedName>
    <definedName name="Fertiliser_SourceData.Fertiliser_Products_Data4">_xlfn.LAMBDA(_xlfn.MAKEARRAY(30, 31, _xlfn.LAMBDA(_xlpm.r,_xlpm.c, INDEX({"Impact Fertilisers","Impact Super Potash 1&amp;1","kg",1,"","","","",4.4,25,5.5,"Single superphosphate (SSP)",0.5,"Muriate of potash (MOP)",0.5,"","","","","","","","","","","","","","","","";"Impact Fertilisers","Impact Super Potash 2&amp;1","kg",1,"","","","",5.84,16.8,7.29,"Single superphosphate (SSP)",0.663158,"Muriate of potash (MOP)",0.336,"","","","","","","","","","","","","","","","";"Impact Fertilisers","Impact Super Potash 3&amp;1","kg",1,"","","","",6.58,12.5,8.22,"Single superphosphate (SSP)",0.747368,"Muriate of potash (MOP)",0.25,"","","","","","","","","","","","","","","","";"Impact Fertilisers","Impact Super Potash 4&amp;1","kg",1,"","","","",7.04,10,8.8,"Single superphosphate (SSP)",0.8,"Muriate of potash (MOP)",0.2,"","","","","","","","","","","","","","","","";"Impact Fertilisers","Impact Super Potash 5&amp;1","kg",1,"","","","",7.32,8.4,9.15,"Single superphosphate (SSP)",0.831579,"Muriate of potash (MOP)",0.168,"","","","","","","","","","","","","","","","";"Pacific Fertiliser / Incitec Pivot Fertilisers","Cal-Gran","kg",1,"","","",23.9,"","",10.8,"Nitrogen - Nitrate",0.074,"Nitrogen - Ammoniacal",0.165,"Sulfur - Generic",0.108,"Calcium",0.044,"","","","","","","","","","","","";"Pacific Fertiliser / Incitec Pivot Fertilisers","Cal-Gran 50/50","kg",1,"","","",17.9,"",15,3.6,"Nitrogen - Nitrate",0.055,"Nitrogen - Ammoniacal",0.124,"Potassium - Generic",0.15,"Sulfur - Generic",0.036,"Calcium",0.044,"","","","","","","","","","";"Pacific Fertiliser / Incitec Pivot Fertilisers","Cal-Gran 50/50 (S)","kg",1,"","","",16.9,"",14.4,8.7,"Nitrogen - Nitrate",0.052,"Nitrogen - Ammoniacal",0.117,"Potassium - Generic",0.144,"Sulfur - Generic",0.087,"Calcium",0.044,"","","","","","","","","","";"Pacific Fertiliser / Incitec Pivot Fertilisers","Cal-Gran 130","kg",1,"","","",18.8,1,12.5,3.7,"Nitrogen - Nitrate",0.058,"Nitrogen - Ammoniacal",0.13,"Phosphorus - Generic",0.01,"Potassium - Generic",0.125,"Sulfur - Generic",0.037,"Calcium",0.044,"","","","","","","","";"Pacific Fertiliser / Incitec Pivot Fertilisers","Cal-Gran 150","kg",1,"","","",18.6,3,12.5,1.4,"Nitrogen - Nitrate",0.058,"Nitrogen - Ammoniacal",0.128,"Phosphorus - Generic",0.03,"Potassium - Generic",0.125,"Sulfur - Generic",0.014,"Calcium",0.044,"","","","","","","","";"Pacific Fertiliser / Incitec Pivot Fertilisers","Cal-Gran Extra K","kg",1,"","","",15.8,"",19,3.2,"Nitrogen - Nitrate",0.049,"Nitrogen - Ammoniacal",0.109,"Potassium - Generic",0.19,"Sulfur - Generic",0.032,"Calcium",0.039,"","","","","","","","","","";"Incitec Pivot Fertilisers","Dairy Pro","kg",1,"","","",25.9,3.9,15.9,0.3,"Nitrogen - Generic",0.259,"Phosphorus - Generic",0.039,"Potassium - Generic",0.159,"Sulfur - Generic",0.003,"","","","","","","","","","","","";"Yara Australia","YaraMila ACTYVA S","kg",1,"","","",15.6,6.37,12.45,2.6,"Nitrogen - Nitrate",0.058,"Nitrogen - Ammoniacal",0.098,"Phosphorus - Generic",0.063714,"Potassium - Generic",0.124515,"Sulfur - Generic",0.026,"","","","","","","","","","";"CSBP","Agflow Extra","kg",1,"","","",11.15,17.52,"",3.6,"Monoammonium phosphate (MAP)",0.8,"Sulphate of ammonia (SOA)",0.15,"Copper","No data","Molybdenum","No data","Zinc","No data","","","","","","","","","","";"CSBP","Super &amp; Potash 3:1","kg",1,"","","","",5.5,15,6.88,"Single superphosphate (SSP)",0.625,"Muriate of potash (MOP)",0.3,"","","","","","","","","","","","","","","","";"Yara","YaraBela CAN-27","kg",1,"","","",27,"","","","Calcium ammonium nitrate (CAN)",1,"","","","","","","","","","","","","","","","","","";"Incitec Pivot Fertilisers","Cal-Gran Aftergraze","kg",1,"","","",20.6,3,7.5,3.8,"Nitrogen - Nitrate",0.064,"Nitrogen - Ammoniacal",0.142,"Phosphorus - Generic",0.03,"Potassium - Generic",0.075,"Sulfur - Generic",0.038,"Calcium",0.044,"","","","","","","","";"Incitec Pivot Fertilisers","Cal-Gran Prodress","kg",1,"","","",17.8,1,15,2.5,"Nitrogen - Nitrate",0.055,"Nitrogen - Ammoniacal",0.123,"Phosphorus - Generic",0.01,"Potassium - Generic",0.15,"Sulfur - Generic",0.025,"Calcium",0.044,"","","","","","","","";"Wengfu Australia","Wengfu PrimeZinc 10","kg",1,"","","",10,22,"",1.5,"Nitrogen - Generic",0.1,"Phosphorus - Generic",0.22,"Sulfur - Generic",0.015,"Zinc",0.01,"","","","","","","","","","","","";"Wengfu Australia","Wengfu Pasture King","kg",1,"","","","",15.7,"",4.6,"Phosphorus - Generic",0.157,"Sulfur - Generic",0.046,"Calcium",0.14,"","","","","","","","","","","","","","";"Wengfu Australia","Wengfu SuStain","kg",1,"","","","","","",90,"Sulfur - Generic",0.9,"","","","","","","","","","","","","","","","","","";"Wengfu Australia","Wengfu Slam","kg",1,"","","",19.5,0.7,"",23,"Nitrogen - Generic",0.195,"Phosphorus - Generic",0.007,"Sulfur - Generic",0.23,"","","","","","","","","","","","","","";"Wengfu Australia","Wengfu Prime MSZ","kg",1,"","","",10,18,"",8,"Nitrogen - Generic",0.1,"Phosphorus - Generic",0.18,"Sulfur - Generic",0.08,"Zinc",0.005,"","","","","","","","","","","","";"Wengfu Australia","Wengfu 9-20-0-10 MAP SuStain","kg",1,"","","",9,19.8,0,10.4,"Nitrogen - Generic",0.09,"Phosphorus - Generic",0.198,"Sulfur - Generic",0.104,"","","","","","","","","","","","","","";"Wengfu Australia","Wengfu 15-17-0-15 DAP SuStain","kg",1,"","","",15.2,16.9,0,15.2,"Nitrogen - Generic",0.152,"Phosphorus - Generic",0.169,"Sulfur - Generic",0.152,"","","","","","","","","","","","","","";"Wengfu Australia","Wengfu 16-18-0-10 DAP SuStain","kg",1,"","","",16.2,18,0,10.4,"Nitrogen - Generic",0.162,"Phosphorus - Generic",0.18,"Sulfur - Generic",0.104,"","","","","","","","","","","","","","";"Wengfu Australia","Wengfu 5-15-0-6 Fast Start Legume","kg",1,"","","",5,15.4,0,6.3,"Nitrogen - Generic",0.05,"Phosphorus - Generic",0.154,"Sulfur - Generic",0.063,"","","","","","","","","","","","","","";"Wengfu Australia","Wengfu 9-20-0-10 PrimeZinc","kg",1,"","","",9,19.8,0,10.4,"Nitrogen - Generic",0.09,"Phosphorus - Generic",0.198,"Sulfur - Generic",0.104,"Zinc",0.009,"","","","","","","","","","","","";"Wengfu Australia","Wengfu 12-18-0-6 PrimeZinc","kg",1,"","","",11.9,17.6,0,5.9,"Nitrogen - Generic",0.119,"Phosphorus - Generic",0.176,"Sulfur - Generic",0.059,"Zinc",0.008,"","","","","","","","","","","","";"Wengfu Australia","Wengfu 14-13-0-11 PrimeZinc","kg",1,"","","",14.1,12.8,0,10.7,"Nitrogen - Generic",0.141,"Phosphorus - Generic",0.128,"Sulfur - Generic",0.107,"Zinc",0.006,"","","","","","","","","","","",""}, _xlpm.r, _xlpm.c))))</definedName>
    <definedName name="Fertiliser_SourceData.Fertiliser_Products_Data5">_xlfn.LAMBDA(_xlfn.MAKEARRAY(14, 31, _xlfn.LAMBDA(_xlpm.r,_xlpm.c, INDEX({"Wengfu Australia","Wengfu 19-13-0-7 PrimeZinc","kg",1,"","","",18.6,12.7,0,6.8,"Nitrogen - Generic",0.186,"Phosphorus - Generic",0.127,"Sulfur - Generic",0.068,"Zinc",0.006,"","","","","","","","","","","","";"Wengfu Australia","Wengfu Booster K","kg",1,"","","",32,0,11,3,"Nitrogen - Generic",0.32,"Potassium - Generic",0.11,"Sulfur - Generic",0.03,"","","","","","","","","","","","","","";"Wengfu Australia","Wengfu Booster Rich 1","kg",1,"","","",31,6,0,6,"Nitrogen - Generic",0.31,"Phosphorus - Generic",0.06,"Sulfur - Generic",0.06,"","","","","","","","","","","","","","";"Wengfu Australia","Wengfu Booster Grass DAP","kg",1,"","","",21,4,8,7,"Nitrogen - Generic",0.21,"Phosphorus - Generic",0.04,"Potassium - Generic",0.08,"Sulfur - Generic",0.07,"","","","","","","","","","","","";"Wengfu Australia","Wengfu Aftergraze","kg",1,"","","",23,0,25,0,"Nitrogen - Generic",0.23,"Potassium - Generic",0.25,"","","","","","","","","","","","","","","","";"Wengfu Australia","Wengfu Sidedress","kg",1,"","","",25,4,13,4,"Nitrogen - Generic",0.25,"Phosphorus - Generic",0.04,"Potassium - Generic",0.13,"Sulfur - Generic",0.04,"","","","","","","","","","","","";"Wengfu Australia","Wengfu Pasture Booster","kg",1,"","","",13,5,24,5,"Nitrogen - Generic",0.13,"Phosphorus - Generic",0.05,"Potassium - Generic",0.24,"Sulfur - Generic",0.05,"","","","","","","","","","","","";"Wengfu Australia","Wengfu DAP Hay Booster","kg",1,"","","",11,5,24,4,"Nitrogen - Generic",0.11,"Phosphorus - Generic",0.05,"Potassium - Generic",0.24,"Sulfur - Generic",0.04,"","","","","","","","","","","","";"Wengfu Australia","Wengfu MAP Hay Booster","kg",1,"","","",11,8,20,6,"Nitrogen - Generic",0.11,"Phosphorus - Generic",0.08,"Potassium - Generic",0.2,"Sulfur - Generic",0.06,"","","","","","","","","","","","";"Wengfu Australia","Wengfu Fodder Booster","kg",1,"","","",9,4,5,15,"Nitrogen - Generic",0.09,"Phosphorus - Generic",0.04,"Potassium - Generic",0.05,"Sulfur - Generic",0.15,"","","","","","","","","","","","";"CSBP","K-Till Extra","kg",1,"","","",10.73,10.95,11.35,6.55,"Monoammonium phosphate (MAP)",0.5,"Sulphate of ammonia (SOA)",0.273,"Muriate of potash (MOP)",0.227,"Copper","No data","Zinc","No data","","","","","","","","","","";"CSBP","Agras Extra","kg",1,"","","",16.95,8.06,"",15.17,"Sulphate of ammonia (SOA)",0.632,"Monoammonium phosphate (MAP)",0.368,"Zinc","No data","Copper","No data","Molybdenum","No data","Cobalt","No data","","","","","","","","";"CSBP","Super Copper Zinc Moly","kg",1,"","","","",8.8,"",11,"Single superphosphate (SSP)",1,"Copper",0.006,"Zinc",0.003,"Molybdenum",0.0006,"","","","","","","","","","","","";"CSBP","Flexi-N","L",1.32,"","","",32,"","","","Urea-ammonium nitrate (UAN)",1,"","","","","","","","","","","","","","","","","",""}, _xlpm.r, _xlpm.c))))</definedName>
    <definedName name="Fertiliser_SourceData.Fertiliser_Products_Description">_xlfn.LAMBDA(("Popular fertiliser products used in Australia, along with their chemical compound composition"))</definedName>
    <definedName name="Fertiliser_SourceData.Fertiliser_Products_Source">_xlfn.LAMBDA((""))</definedName>
    <definedName name="Fertiliser_SourceData.Fertiliser_Products_Title">_xlfn.LAMBDA(("Branded fertiliser products and their chemical composition"))</definedName>
    <definedName name="Fertiliser_SourceData.Fertiliser_UreaAmmoniaSourceRegions_Data">_xlfn.LAMBDA(_xlfn.MAKEARRAY(5, 1, _xlfn.LAMBDA(_xlpm.r,_xlpm.c, INDEX({"Source";"Global";"Canada";"China";"Yemen"}, _xlpm.r, _xlpm.c))))</definedName>
    <definedName name="Fertiliser_SourceData.Fertiliser_UreaAmmoniaSourceRegions_Source">_xlfn.LAMBDA("Lifecycles. (2026). Greenhouse Gas Emission Intensities for Material Inputs to Australian Agriculture, Fisheries and Forestry. Version 48. doi 10.5281/zenodo.19656580")</definedName>
    <definedName name="Fertiliser_SourceData.Fertiliser_UreaAmmoniaSourceRegions_Title">_xlfn.LAMBDA("Source regions for urea and ammonia")</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Dairy.CalculateFractionInMMSAfterSolidSeparation">_xlfn.LAMBDA(_xlpm.ProductionSystem,_xlpm.MMSFraction,_xlpm.FractionSeparated, _xlpm.ProductionSystem * (_xlpm.MMSFraction - (_xlpm.MMSFraction * _xlpm.FractionSeparated)))</definedName>
    <definedName name="InputFunctions_Dairy.CalculateFractionInSolidStorage">_xlfn.LAMBDA(_xlpm.ProductionSystem,_xlpm.InitalSolidStorageFraction,_xlpm.MMS1Fraction,_xlpm.MMS1Separated,_xlpm.MMS2Fraction,_xlpm.MMS2Separated,_xlpm.MMS3Fraction,_xlpm.MMS3Separated, _xlpm.ProductionSystem * (_xlpm.InitalSolidStorageFraction + (_xlpm.MMS1Fraction * _xlpm.MMS1Separated) + (_xlpm.MMS2Fraction * _xlpm.MMS2Separated) + (_xlpm.MMS3Fraction * _xlpm.MMS3Separated)))</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AE_j_k">'4.6.1.3-4 Direct N20'!$D$81:$G$82</definedName>
    <definedName name="M1_Table_CP_j_k">'4.6.1.3-4 Direct N20'!$D$24:$G$25</definedName>
    <definedName name="M1_Table_DMD_j_k">'4.6.1.1-2 Methane'!$D$24:$G$25</definedName>
    <definedName name="M1_Table_E_CO2">'5.1.1.3-4 Inorganic fert CO2'!$D$57:$E$76</definedName>
    <definedName name="M1_Table_E_N2O">'5.1.1.1-2 Inorganic fert N2O'!$D$59:$E$78</definedName>
    <definedName name="M1_Table_E_N2O_dir">'4.6.1.3-4 Direct N20'!$D$224:$I$229</definedName>
    <definedName name="M1_Table_E_N2O_leach">'4.6.1.7-8 Leaching and runoff'!$D$54:$I$57</definedName>
    <definedName name="M1_Table_EM_N2O_PRP_dir">'4.6.1.10-11 Soil direct N2O'!$D$24:$H$25</definedName>
    <definedName name="M1_Table_I_j_k">'4.6.1.3-4 Direct N20'!$D$19:$G$20</definedName>
    <definedName name="M1_Table_I_j_k_Consumer_1">'4.6.1.1-2 Methane'!$D$19:$G$20</definedName>
    <definedName name="M1_Table_M_j_k_m_T1">'4.6.1.1-2 Methane'!$D$85:$H$89</definedName>
    <definedName name="M1_Table_M_j_k_m_T2">'4.6.1.1-2 Methane'!$N$158:$S$159</definedName>
    <definedName name="M1_Table_M_j_k_m_T2_Consumer_1">'4.6.1.1-2 Methane'!$D$158:$I$159</definedName>
    <definedName name="M1_Table_M_vol_m14">'4.6.1.14-15 Soil leach runoff'!$D$27:$H$28</definedName>
    <definedName name="M1_Table_M_vol_m14_Consumer_1">'4.6.1.12-13 Soil atmos dep'!$D$23:$H$24</definedName>
    <definedName name="M1_Table_MMS_ATMOS">'4.6.1.5-6 Atmos Dep'!$D$56:$I$61</definedName>
    <definedName name="M1_Table_MN_j_k_m_T">'4.6.1.5-6 Atmos Dep'!$D$21:$I$26</definedName>
    <definedName name="M1_Table_MN_j_k_m_T1">'4.6.1.3-4 Direct N20'!$D$107:$H$111</definedName>
    <definedName name="M1_Table_MN_j_k_m_T2">'4.6.1.3-4 Direct N20'!$D$188:$I$189</definedName>
    <definedName name="M1_Table_MN_j_k_m_T2_Consumer_1">'4.6.1.9 Manure applied to soils'!$D$21:$I$22</definedName>
    <definedName name="M1_Table_MN_j_k_m14_T1">'4.6.1.14-15 Soil leach runoff'!$D$22:$H$23</definedName>
    <definedName name="M1_Table_MN_j_k_m14_T1_Consumer_1">'4.6.1.10-11 Soil direct N2O'!$D$19:$H$20</definedName>
    <definedName name="M1_Table_MN_j_k_m14_T1_Consumer_2">'4.6.1.12-13 Soil atmos dep'!$D$18:$H$19</definedName>
    <definedName name="M1_Table_MN_j_k_m4">'4.6.1.7-8 Leaching and runoff'!$N$26:$S$29</definedName>
    <definedName name="M1_Table_MN_j_k_m4_Consumer_1">'4.6.1.7-8 Leaching and runoff'!$D$26:$I$29</definedName>
    <definedName name="M1_Table_MN_Leach_j_k_m4">'4.6.1.7-8 Leaching and runoff'!$D$33:$I$36</definedName>
    <definedName name="M1_Table_MNLeach_MMS">'4.6.1.9 Manure applied to soils'!$D$66:$I$67</definedName>
    <definedName name="M1_Table_MNSoil_scope1">'4.6.1.9 Manure applied to soils'!$D$104:$I$105</definedName>
    <definedName name="M1_Table_MNSoil_scope1_fert">'4.6.1.9 Manure applied to soils'!$D$188:$I$189</definedName>
    <definedName name="M1_Table_MNSoil_scope3">'4.6.1.9 Manure applied to soils'!$D$141:$I$142</definedName>
    <definedName name="M1_Table_N_j_k">'4.6.1.1-2 Methane'!$D$201:$I$206</definedName>
    <definedName name="M1_Table_NE_j_k">'4.6.1.3-4 Direct N20'!$D$52:$G$53</definedName>
    <definedName name="M1_Table_NI_j_k">'4.6.1.3-4 Direct N20'!$D$29:$G$30</definedName>
    <definedName name="M1_Table_NT_j_k_m_T1">'4.6.1.3-4 Direct N20'!$D$149:$H$152</definedName>
    <definedName name="M1_Table_VS_j_k">'4.6.1.1-2 Methane'!$D$34:$G$35</definedName>
    <definedName name="M1_Table_VST_j_k">'4.6.1.1-2 Methane'!$D$114:$H$117</definedName>
    <definedName name="M2_Table_AE_j_k">'4.6.1.3-4 Direct N20'!$N$81:$Q$82</definedName>
    <definedName name="M2_Table_CP_j_k">'4.6.1.3-4 Direct N20'!$N$24:$Q$25</definedName>
    <definedName name="M2_Table_DMD_j_k">'4.6.1.1-2 Methane'!$N$24:$Q$25</definedName>
    <definedName name="M2_Table_E_N2O_dir">'4.6.1.3-4 Direct N20'!$N$224:$S$229</definedName>
    <definedName name="M2_Table_E_N2O_leach">'4.6.1.7-8 Leaching and runoff'!$N$54:$S$57</definedName>
    <definedName name="M2_Table_EM_N2O_PRP_dir">'4.6.1.10-11 Soil direct N2O'!$N$24:$R$25</definedName>
    <definedName name="M2_Table_FertApplications">'5.1.1.1-2 Inorganic fert N2O'!$M$10:$W$25</definedName>
    <definedName name="M2_Table_I_j_k">'4.6.1.3-4 Direct N20'!$N$19:$Q$20</definedName>
    <definedName name="M2_Table_I_j_k_Consumer_1">'4.6.1.1-2 Methane'!$N$19:$Q$20</definedName>
    <definedName name="M2_Table_M_j_k_m_T1">'4.6.1.1-2 Methane'!$N$85:$R$89</definedName>
    <definedName name="M2_Table_M_vol_m14">'4.6.1.14-15 Soil leach runoff'!$N$27:$R$28</definedName>
    <definedName name="M2_Table_M_vol_m14_Consumer_1">'4.6.1.12-13 Soil atmos dep'!$M$23:$Q$24</definedName>
    <definedName name="M2_Table_MMS_ATMOS">'4.6.1.5-6 Atmos Dep'!$N$56:$S$61</definedName>
    <definedName name="M2_Table_MN_j_k_m_T">'4.6.1.5-6 Atmos Dep'!$N$21:$S$26</definedName>
    <definedName name="M2_Table_MN_j_k_m_T1">'4.6.1.3-4 Direct N20'!$N$107:$R$111</definedName>
    <definedName name="M2_Table_MN_j_k_m_T2">'4.6.1.3-4 Direct N20'!$N$188:$S$189</definedName>
    <definedName name="M2_Table_MN_j_k_m_T2_Consumer_1">'4.6.1.9 Manure applied to soils'!$N$21:$S$22</definedName>
    <definedName name="M2_Table_MN_j_k_m14_T1">'4.6.1.14-15 Soil leach runoff'!$N$22:$R$23</definedName>
    <definedName name="M2_Table_MN_j_k_m14_T1_Consumer_1">'4.6.1.10-11 Soil direct N2O'!$N$19:$R$20</definedName>
    <definedName name="M2_Table_MN_j_k_m14_T1_Consumer_2">'4.6.1.12-13 Soil atmos dep'!$M$18:$Q$19</definedName>
    <definedName name="M2_Table_MN_j_k_m4">'4.6.1.7-8 Leaching and runoff'!$N$33:$S$36</definedName>
    <definedName name="M2_Table_MNLeach_MMS">'4.6.1.9 Manure applied to soils'!$N$66:$S$67</definedName>
    <definedName name="M2_Table_MNSoil_scope1">'4.6.1.9 Manure applied to soils'!$N$104:$S$105</definedName>
    <definedName name="M2_Table_MNSoil_scope1_fert">'4.6.1.9 Manure applied to soils'!$N$188:$S$189</definedName>
    <definedName name="M2_Table_MNSoil_scope3">'4.6.1.9 Manure applied to soils'!$N$141:$S$142</definedName>
    <definedName name="M2_Table_N_j_k">'4.6.1.1-2 Methane'!$N$201:$S$206</definedName>
    <definedName name="M2_Table_NE_j_k">'4.6.1.3-4 Direct N20'!$N$52:$Q$53</definedName>
    <definedName name="M2_Table_NI_j_k">'4.6.1.3-4 Direct N20'!$N$29:$Q$30</definedName>
    <definedName name="M2_Table_NT_j_k_m_T1">'4.6.1.3-4 Direct N20'!$N$149:$R$152</definedName>
    <definedName name="M2_Table_VS_j_k">'4.6.1.1-2 Methane'!$N$34:$Q$35</definedName>
    <definedName name="M2_Table_VST_j_k">'4.6.1.1-2 Methane'!$N$114:$R$117</definedName>
    <definedName name="ManureManagement_Swine_Methane.VEERG_4_5_1_1__1_TotalAnnualMethaneEmissions">_xlfn.LAMBDA(_xlpm.Dj,_xlpm.Mmj,_xlpm.Nj, _xlpm.Dj * _xlpm.Mmj * _xlpm.Nj * 10 ^ -3)</definedName>
    <definedName name="ManureManagement_Swine_Methane.VEERG_4_5_1_1__1_TotalAnnualMethaneEmissions_Arguments">_xlfn.LAMBDA(_xlfn.MAKEARRAY(3, 2, _xlfn.LAMBDA(_xlpm.r,_xlpm.c, INDEX({"Dj","length of stay of each class of swine : days";"Mmj","methane production from manure in each swine class : kg CH4/head/day";"Nj","numbers of swine in each class : head"}, _xlpm.r, _xlpm.c))))</definedName>
    <definedName name="ManureManagement_Swine_Methane.VEERG_4_5_1_1__1_TotalAnnualMethaneEmissions_Source">_xlfn.LAMBDA("VEERG 2026: 4.5.1.1, Equation (1)")</definedName>
    <definedName name="ManureManagement_Swine_Methane.VEERG_4_5_1_1__1_TotalAnnualMethaneEmissions_Title">_xlfn.LAMBDA("Total annual methane emissions from manure management")</definedName>
    <definedName name="ManureManagement_Swine_Methane.VEERG_4_5_1_1__1_TotalAnnualMethaneEmissions_Unit">_xlfn.LAMBDA("t CH4")</definedName>
    <definedName name="ManureManagement_Swine_Methane.VEERG_4_5_1_1__1_TotalAnnualMethaneEmissions_Variable">_xlfn.LAMBDA("ECH4")</definedName>
    <definedName name="ManureManagement_Swine_Methane.VEERG_4_5_1_1__2_MethaneProductionPerClass_Arguments">_xlfn.LAMBDA(_xlfn.MAKEARRAY(1, 2, _xlfn.LAMBDA(_xlpm.r,_xlpm.c, INDEX({"MjmT","methane production from manure per class, MMS, and treatment stage : kg CH4/head/day"}, _xlpm.r, _xlpm.c))))</definedName>
    <definedName name="ManureManagement_Swine_Methane.VEERG_4_5_1_1__2_MethaneProductionPerClass_Source">_xlfn.LAMBDA("VEERG 2026: 4.5.1.1, Equation (2)")</definedName>
    <definedName name="ManureManagement_Swine_Methane.VEERG_4_5_1_1__2_MethaneProductionPerClass_Title">_xlfn.LAMBDA("Methane production from the manure of each class of swine")</definedName>
    <definedName name="ManureManagement_Swine_Methane.VEERG_4_5_1_1__2_MethaneProductionPerClass_Unit">_xlfn.LAMBDA("kg CH4/head/day")</definedName>
    <definedName name="ManureManagement_Swine_Methane.VEERG_4_5_1_1__2_MethaneProductionPerClass_Variable">_xlfn.LAMBDA("Mmj")</definedName>
    <definedName name="ManureManagement_Swine_Methane.VEERG_4_5_1_1__2_MethaneProductionPerClass_Variation">_xlfn.LAMBDA("VARIATION ON SOURCE: Split variable Mjm into MjmT1 and MjmT2 for stage 1 and 2 MMS.")</definedName>
    <definedName name="ManureManagement_Swine_Methane.VEERG_4_5_1_1__2_MethaneProductionPerClassVariation">_xlfn.LAMBDA(_xlpm.MjmT1,_xlpm.MjmT2, SUM(_xlpm.MjmT1, _xlpm.MjmT2))</definedName>
    <definedName name="ManureManagement_Swine_Methane.VEERG_4_5_1_1__3_Stage1MethaneProduction">_xlfn.LAMBDA(_xlpm.VSj,_xlpm.FVSjmT1,_xlpm.MCFim,_xlpm.BO,_xlpm.rho, _xlpm.VSj * _xlpm.FVSjmT1 * _xlpm.MCFim * _xlpm.BO * _xlpm.rho)</definedName>
    <definedName name="ManureManagement_Swine_Methane.VEERG_4_5_1_1__3_Stage1MethaneProduction_Arguments">_xlfn.LAMBDA(_xlfn.MAKEARRAY(5, 2, _xlfn.LAMBDA(_xlpm.r,_xlpm.c, INDEX({"VSj","volatile solid production from swine in each class : kg/head/day";"FVSjmT1","fraction of volatile solids in each primary system : fraction";"MCFim","methane conversion factor for temperate zone and system : fraction";"BO","emissions potential : m3 CH4/kg VS";"rho","density of methane : kg/m3"}, _xlpm.r, _xlpm.c))))</definedName>
    <definedName name="ManureManagement_Swine_Methane.VEERG_4_5_1_1__3_Stage1MethaneProduction_Source">_xlfn.LAMBDA("VEERG 2026: 4.5.1.1, Equation (3)")</definedName>
    <definedName name="ManureManagement_Swine_Methane.VEERG_4_5_1_1__3_Stage1MethaneProduction_Title">_xlfn.LAMBDA("Production of methane in treatment stage 1 MMS")</definedName>
    <definedName name="ManureManagement_Swine_Methane.VEERG_4_5_1_1__3_Stage1MethaneProduction_Unit">_xlfn.LAMBDA("kg CH4/head/day")</definedName>
    <definedName name="ManureManagement_Swine_Methane.VEERG_4_5_1_1__3_Stage1MethaneProduction_Variable">_xlfn.LAMBDA("MijmT1")</definedName>
    <definedName name="ManureManagement_Swine_Methane.VEERG_4_5_1_1__4_FractionVolatileSolidsPrimarySystem">_xlfn.LAMBDA(_xlpm.MMSjmT1,_xlpm.SSm, _xlfn.LET(_xlpm.ssm, IF(ISNUMBER(_xlpm.SSm), _xlpm.SSm, 0), _xlpm.MMSjmT1 * (1 - _xlpm.ssm)))</definedName>
    <definedName name="ManureManagement_Swine_Methane.VEERG_4_5_1_1__4_FractionVolatileSolidsPrimarySystem_Arguments">_xlfn.LAMBDA(_xlfn.MAKEARRAY(2, 2, _xlfn.LAMBDA(_xlpm.r,_xlpm.c, INDEX({"MMSjmT1","fraction of manure to each primary MMS for each class prior to solid separation : fraction";"SSm","fraction of volatile solids separated to solid storage for each MMS : fraction"}, _xlpm.r, _xlpm.c))))</definedName>
    <definedName name="ManureManagement_Swine_Methane.VEERG_4_5_1_1__4_FractionVolatileSolidsPrimarySystem_Source">_xlfn.LAMBDA("VEERG 2026: 4.5.1.1, Equation (4)")</definedName>
    <definedName name="ManureManagement_Swine_Methane.VEERG_4_5_1_1__4_FractionVolatileSolidsPrimarySystem_Title">_xlfn.LAMBDA("Fraction of volatile solids in each primary system other than solid storage")</definedName>
    <definedName name="ManureManagement_Swine_Methane.VEERG_4_5_1_1__4_FractionVolatileSolidsPrimarySystem_Unit">_xlfn.LAMBDA("fraction")</definedName>
    <definedName name="ManureManagement_Swine_Methane.VEERG_4_5_1_1__4_FractionVolatileSolidsPrimarySystem_Variable">_xlfn.LAMBDA("FVSjmT1")</definedName>
    <definedName name="ManureManagement_Swine_Methane.VEERG_4_5_1_1__4_FractionVolatileSolidsPrimarySystem_Variation">_xlfn.LAMBDA("VARIATION ON SOURCE: Added check to convert 'N/A' value to zero.")</definedName>
    <definedName name="ManureManagement_Swine_Methane.VEERG_4_5_1_1__5_FractionVolatileSolidsSolidStorage">_xlfn.LAMBDA(_xlpm.MMSjm4T1,_xlpm.MMSjm179T1,_xlpm.SSm, _xlfn.LET(_xlpm.MMSjm4T1, IF(ISNUMBER(_xlpm.MMSjm4T1), _xlpm.MMSjm4T1, 0), _xlpm.MMSjm179T1, IF(ISNUMBER(_xlpm.MMSjm179T1), _xlpm.MMSjm179T1, 0), _xlpm.SSm, IF(ISNUMBER(_xlpm.SSm), _xlpm.SSm, 0), _xlpm.MMSjm4T1 + (_xlpm.MMSjm179T1 * _xlpm.SSm)))</definedName>
    <definedName name="ManureManagement_Swine_Methane.VEERG_4_5_1_1__5_FractionVolatileSolidsSolidStorage_Arguments">_xlfn.LAMBDA(_xlfn.MAKEARRAY(3, 2, _xlfn.LAMBDA(_xlpm.r,_xlpm.c, INDEX({"MMSjm4T1","fraction of manure in solid storage primary system : fraction";"MMSjm179T1","fraction of manure in MMS 1, 7, and 9 in treatment stage 1 : fraction";"SSm","fraction of volatile solids separated to solid storage for each MMS : fraction"}, _xlpm.r, _xlpm.c))))</definedName>
    <definedName name="ManureManagement_Swine_Methane.VEERG_4_5_1_1__5_FractionVolatileSolidsSolidStorage_Source">_xlfn.LAMBDA("VEERG 2026: 4.5.1.1, Equation (5)")</definedName>
    <definedName name="ManureManagement_Swine_Methane.VEERG_4_5_1_1__5_FractionVolatileSolidsSolidStorage_Title">_xlfn.LAMBDA("Fraction of volatile solids in solid storage")</definedName>
    <definedName name="ManureManagement_Swine_Methane.VEERG_4_5_1_1__5_FractionVolatileSolidsSolidStorage_Unit">_xlfn.LAMBDA("fraction")</definedName>
    <definedName name="ManureManagement_Swine_Methane.VEERG_4_5_1_1__5_FractionVolatileSolidsSolidStorage_Variable">_xlfn.LAMBDA("FVSjm4T1")</definedName>
    <definedName name="ManureManagement_Swine_Methane.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anureManagement_Swine_Methane.VEERG_4_5_1_1__6_Stage2MethaneProduction_Arguments">_xlfn.LAMBDA(_xlfn.MAKEARRAY(6, 2, _xlfn.LAMBDA(_xlpm.r,_xlpm.c, INDEX({"VSTjmT2","volatile solids transferred to treatment stage 2 MMS : kg/head/day";"BO","emissions potential : m3 CH4/kg VS";"MMSjmT2","fraction of manure in each secondary system : fraction";"MCFim","methane conversion factor for temperate zone and system : fraction";"rho","density of methane : kg/m3";"i","state"}, _xlpm.r, _xlpm.c))))</definedName>
    <definedName name="ManureManagement_Swine_Methane.VEERG_4_5_1_1__6_Stage2MethaneProduction_Source">_xlfn.LAMBDA("VEERG 2026: 4.5.1.1, Equation (6)")</definedName>
    <definedName name="ManureManagement_Swine_Methane.VEERG_4_5_1_1__6_Stage2MethaneProduction_Title">_xlfn.LAMBDA("Production of methane in each treatment stage 2 MMS")</definedName>
    <definedName name="ManureManagement_Swine_Methane.VEERG_4_5_1_1__6_Stage2MethaneProduction_Unit">_xlfn.LAMBDA("kg CH4/head/day")</definedName>
    <definedName name="ManureManagement_Swine_Methane.VEERG_4_5_1_1__6_Stage2MethaneProduction_Variable">_xlfn.LAMBDA("MijmT2")</definedName>
    <definedName name="ManureManagement_Swine_Methane.VEERG_4_5_1_1__7_VolatileSolidsTransferredStage2">_xlfn.LAMBDA(_xlpm.VSj,_xlpm.FVSjmT1,_xlpm.VSLmT1, _xlpm.VSj * _xlpm.FVSjmT1 * (1 - _xlpm.VSLmT1))</definedName>
    <definedName name="ManureManagement_Swine_Methane.VEERG_4_5_1_1__7_VolatileSolidsTransferredStage2_Arguments">_xlfn.LAMBDA(_xlfn.MAKEARRAY(3, 2, _xlfn.LAMBDA(_xlpm.r,_xlpm.c, INDEX({"VSj","volatile solid production from swine in each class : kg/head/day";"FVSjmT1","fraction of volatile solids in each primary system : fraction";"VSLmT1","fraction of volatile solids lost during storage in the primary system : fraction"}, _xlpm.r, _xlpm.c))))</definedName>
    <definedName name="ManureManagement_Swine_Methane.VEERG_4_5_1_1__7_VolatileSolidsTransferredStage2_Source">_xlfn.LAMBDA("VEERG 2026: 4.5.1.1, Equation (7)")</definedName>
    <definedName name="ManureManagement_Swine_Methane.VEERG_4_5_1_1__7_VolatileSolidsTransferredStage2_Title">_xlfn.LAMBDA("Volatile solids transferred to treatment stage 2 MMS")</definedName>
    <definedName name="ManureManagement_Swine_Methane.VEERG_4_5_1_1__7_VolatileSolidsTransferredStage2_Unit">_xlfn.LAMBDA("kg VS")</definedName>
    <definedName name="ManureManagement_Swine_Methane.VEERG_4_5_1_1__7_VolatileSolidsTransferredStage2_Variable">_xlfn.LAMBDA("VSTijmT2")</definedName>
    <definedName name="MMS_Dairy_AtmosphericDeposition_Equations.VEERG_4_3_1_5__1_AnnualAtmosphericDepositionEmissionsFromMMS">_xlfn.LAMBDA(_xlpm.MN_ATMOS,_xlpm.EF_N2O,_xlpm.C_N2O, _xlpm.MN_ATMOS * _xlpm.EF_N2O * _xlpm.C_N2O * 10 ^ -3)</definedName>
    <definedName name="MMS_Dairy_AtmosphericDeposition_Equations.VEERG_4_3_1_5__1_AnnualAtmosphericDepositionEmissionsFromMMS_Arguments">_xlfn.LAMBDA(_xlfn.MAKEARRAY(6, 4, _xlfn.LAMBDA(_xlpm.r,_xlpm.c, INDEX({"MN_ATMOS","mass of N volatilised from MMS","kg N","Calculated from 4.3.1.5 (2)";"EF_N2O","nitrous oxide emission factor for atmospheric deposition","kg N2O-N/kg N","Constant";"C_N2O","factor to convert elemental mass of N2O to molecular mass","","Constant";"j","production system","","Input";"ir","irrigation method","","Input";"r","rainfall region","","Input"}, _xlpm.r, _xlpm.c))))</definedName>
    <definedName name="MMS_Dairy_AtmosphericDeposition_Equations.VEERG_4_3_1_5__1_AnnualAtmosphericDepositionEmissionsFromMMS_LatexEquation">_xlfn.LAMBDA("E_{N2O,MMS,ad}=MN_{ATMOS}\times EF_{N2O}\times C_{N2O}\times 10^{-3}")</definedName>
    <definedName name="MMS_Dairy_AtmosphericDeposition_Equations.VEERG_4_3_1_5__1_AnnualAtmosphericDepositionEmissionsFromMMS_NIRReference">_xlfn.LAMBDA("")</definedName>
    <definedName name="MMS_Dairy_AtmosphericDeposition_Equations.VEERG_4_3_1_5__1_AnnualAtmosphericDepositionEmissionsFromMMS_Source">_xlfn.LAMBDA("VEERG 2026: 4.3.1.5, Equation (1)")</definedName>
    <definedName name="MMS_Dairy_AtmosphericDeposition_Equations.VEERG_4_3_1_5__1_AnnualAtmosphericDepositionEmissionsFromMMS_Title">_xlfn.LAMBDA("Annual atmospheric deposition emissions from MMS")</definedName>
    <definedName name="MMS_Dairy_AtmosphericDeposition_Equations.VEERG_4_3_1_5__1_AnnualAtmosphericDepositionEmissionsFromMMS_Unit">_xlfn.LAMBDA("t N2O")</definedName>
    <definedName name="MMS_Dairy_AtmosphericDeposition_Equations.VEERG_4_3_1_5__1_AnnualAtmosphericDepositionEmissionsFromMMS_Variable">_xlfn.LAMBDA("E_N2OMMSad")</definedName>
    <definedName name="MMS_Dairy_AtmosphericDeposition_Equations.VEERG_4_3_1_5__2_TotalNitrogenVolatilisedFromMMS">_xlfn.LAMBDA(_xlpm.MN_jm,_xlpm.FracGASM_m, _xlpm.MN_jm * _xlpm.FracGASM_m)</definedName>
    <definedName name="MMS_Dairy_AtmosphericDeposition_Equations.VEERG_4_3_1_5__2_TotalNitrogenVolatilisedFromMMS_Arguments">_xlfn.LAMBDA(_xlfn.MAKEARRAY(2, 4, _xlfn.LAMBDA(_xlpm.r,_xlpm.c, INDEX({"MN_jm","total nitrogen in each MMS for dairy cattle classes","kg N","Calculated from 4.3.1.3 (2)";"FracGASM_m","fraction of N volatilised from MMS","fraction","Constant"}, _xlpm.r, _xlpm.c))))</definedName>
    <definedName name="MMS_Dairy_AtmosphericDeposition_Equations.VEERG_4_3_1_5__2_TotalNitrogenVolatilisedFromMMS_LatexEquation">_xlfn.LAMBDA("MN_{ATMOS}=\sum\nolimits_{j}\sum\nolimits_{m}(MN_{jm}\times FracGASM_m)")</definedName>
    <definedName name="MMS_Dairy_AtmosphericDeposition_Equations.VEERG_4_3_1_5__2_TotalNitrogenVolatilisedFromMMS_NIRReference">_xlfn.LAMBDA("")</definedName>
    <definedName name="MMS_Dairy_AtmosphericDeposition_Equations.VEERG_4_3_1_5__2_TotalNitrogenVolatilisedFromMMS_Source">_xlfn.LAMBDA("VEERG 2026: 4.3.1.5, Equation (2)")</definedName>
    <definedName name="MMS_Dairy_AtmosphericDeposition_Equations.VEERG_4_3_1_5__2_TotalNitrogenVolatilisedFromMMS_Title">_xlfn.LAMBDA("Total nitrogen volatilised from MMS")</definedName>
    <definedName name="MMS_Dairy_AtmosphericDeposition_Equations.VEERG_4_3_1_5__2_TotalNitrogenVolatilisedFromMMS_Unit">_xlfn.LAMBDA("kg N")</definedName>
    <definedName name="MMS_Dairy_AtmosphericDeposition_Equations.VEERG_4_3_1_5__2_TotalNitrogenVolatilisedFromMMS_Variable">_xlfn.LAMBDA("MN_ATMOS")</definedName>
    <definedName name="MMS_Dairy_LeachingAndRunoff_Equations.VEERG_4_3_1_6__1_AnnualEmissionsFromLeachingAndRunoffFromMMS">_xlfn.LAMBDA(_xlpm.MNLeach_jm,_xlpm.EF_leach,_xlpm.C_N2O, (_xlpm.MNLeach_jm * _xlpm.EF_leach * _xlpm.C_N2O) * 10 ^ -3)</definedName>
    <definedName name="MMS_Dairy_LeachingAndRunoff_Equations.VEERG_4_3_1_6__1_AnnualEmissionsFromLeachingAndRunoffFromMMS_Arguments">_xlfn.LAMBDA(_xlfn.MAKEARRAY(3, 4, _xlfn.LAMBDA(_xlpm.r,_xlpm.c, INDEX({"MNLeach_jm","mass of N lost through leaching and runoff","kg N","Calculated from 4.3.1.6 (2)";"EF_leach","nitrous oxide emission factor for leaching and runoff","kg N2O-N/kg N","Constant";"C_N2O","factor to convert elemental mass of N2O to molecular mass","","Constant"}, _xlpm.r, _xlpm.c))))</definedName>
    <definedName name="MMS_Dairy_LeachingAndRunoff_Equations.VEERG_4_3_1_6__1_AnnualEmissionsFromLeachingAndRunoffFromMMS_LatexEquation">_xlfn.LAMBDA("E_{N2O,leach}=\sum\nolimits_{j}\sum\nolimits_{m=1-13}(MNLeach_{jm}\times EF_{leach}\times C_{N2O})\times 10^{-3}")</definedName>
    <definedName name="MMS_Dairy_LeachingAndRunoff_Equations.VEERG_4_3_1_6__1_AnnualEmissionsFromLeachingAndRunoffFromMMS_NIRReference">_xlfn.LAMBDA("")</definedName>
    <definedName name="MMS_Dairy_LeachingAndRunoff_Equations.VEERG_4_3_1_6__1_AnnualEmissionsFromLeachingAndRunoffFromMMS_Source">_xlfn.LAMBDA("VEERG 2026: 4.3.1.6, Equation (1)")</definedName>
    <definedName name="MMS_Dairy_LeachingAndRunoff_Equations.VEERG_4_3_1_6__1_AnnualEmissionsFromLeachingAndRunoffFromMMS_Title">_xlfn.LAMBDA("Annual emissions from leaching and runoff from each MMS")</definedName>
    <definedName name="MMS_Dairy_LeachingAndRunoff_Equations.VEERG_4_3_1_6__1_AnnualEmissionsFromLeachingAndRunoffFromMMS_Unit">_xlfn.LAMBDA("t N2O")</definedName>
    <definedName name="MMS_Dairy_LeachingAndRunoff_Equations.VEERG_4_3_1_6__1_AnnualEmissionsFromLeachingAndRunoffFromMMS_Variable">_xlfn.LAMBDA("E_N2Oleach")</definedName>
    <definedName name="MMS_Dairy_LeachingAndRunoff_Equations.VEERG_4_3_1_6__2_MassOfNitrogenLostToLeachingAndRunoffFromSolidStorage">_xlfn.LAMBDA(_xlpm.MN_jm4,_xlpm.FracWET_i,_xlpm.FracLEACH_MS, _xlpm.MN_jm4 * _xlpm.FracWET_i * _xlpm.FracLEACH_MS)</definedName>
    <definedName name="MMS_Dairy_LeachingAndRunoff_Equations.VEERG_4_3_1_6__2_MassOfNitrogenLostToLeachingAndRunoffFromSolidStorage_Arguments">_xlfn.LAMBDA(_xlfn.MAKEARRAY(6, 4, _xlfn.LAMBDA(_xlpm.r,_xlpm.c, INDEX({"MN_jm4","total nitrogen in solid storage system m=4 (kg N)","kg N","Calculated from 4.3.1.3 (2)";"FracWET_i","fraction of N that is available for leaching and runoff from the leaching zone z and irrigation type ir","fraction","Constant";"FracLEACH_MS","fraction of N that is lost through leaching and runoff","fraction","Constant";"z","location in leaching zone","","Input";"j","production system","","Input";"ir","irrigation method","","Input"}, _xlpm.r, _xlpm.c))))</definedName>
    <definedName name="MMS_Dairy_LeachingAndRunoff_Equations.VEERG_4_3_1_6__2_MassOfNitrogenLostToLeachingAndRunoffFromSolidStorage_LatexEquation">_xlfn.LAMBDA("MNLeach_{jm=4}=MN_{jm=4}\times FracWET_i\times FracLEACH_{MS}")</definedName>
    <definedName name="MMS_Dairy_LeachingAndRunoff_Equations.VEERG_4_3_1_6__2_MassOfNitrogenLostToLeachingAndRunoffFromSolidStorage_NIRReference">_xlfn.LAMBDA("")</definedName>
    <definedName name="MMS_Dairy_LeachingAndRunoff_Equations.VEERG_4_3_1_6__2_MassOfNitrogenLostToLeachingAndRunoffFromSolidStorage_Source">_xlfn.LAMBDA("VEERG 2026: 4.3.1.6, Equation (2)")</definedName>
    <definedName name="MMS_Dairy_LeachingAndRunoff_Equations.VEERG_4_3_1_6__2_MassOfNitrogenLostToLeachingAndRunoffFromSolidStorage_Title">_xlfn.LAMBDA("Mass of nitrogen lost to leaching and runoff from solid storage systems")</definedName>
    <definedName name="MMS_Dairy_LeachingAndRunoff_Equations.VEERG_4_3_1_6__2_MassOfNitrogenLostToLeachingAndRunoffFromSolidStorage_Unit">_xlfn.LAMBDA("kg N")</definedName>
    <definedName name="MMS_Dairy_LeachingAndRunoff_Equations.VEERG_4_3_1_6__2_MassOfNitrogenLostToLeachingAndRunoffFromSolidStorage_Variable">_xlfn.LAMBDA("MNLeach_jm4")</definedName>
    <definedName name="MMS_Dairy_ManureAppliedToSoils_Equations.VEERG_4_3_1_8__1_MassOfNitrogenAppliedToSoilsScope1">_xlfn.LAMBDA(_xlpm.MN_jm,_xlpm.EF_m,_xlpm.FracGASM_m,_xlpm.MNLeach_jm,_xlpm.PF_scope, (_xlpm.MN_jm * (1 - _xlpm.EF_m - _xlpm.FracGASM_m) - _xlpm.MNLeach_jm) * _xlpm.PF_scope)</definedName>
    <definedName name="MMS_Dairy_ManureAppliedToSoils_Equations.VEERG_4_3_1_8__1_MassOfNitrogenAppliedToSoilsScope1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(2)";"PF_scope","fraction of manure applied to soil within farm boundary","fraction","Input"}, _xlpm.r, _xlpm.c))))</definedName>
    <definedName name="MMS_Dairy_ManureAppliedToSoils_Equations.VEERG_4_3_1_8__1_MassOfNitrogenAppliedToSoilsScope1_LatexEquation">_xlfn.LAMBDA("MNSoil_{scope1}=\sum\nolimits_{j}\sum\nolimits_{m}(MN_{jm=1-13}\times (1-EF_{m=1-13}-FracGASM_{m=1-13})-MNLeach_{jm})\times PF")</definedName>
    <definedName name="MMS_Dairy_ManureAppliedToSoils_Equations.VEERG_4_3_1_8__1_MassOfNitrogenAppliedToSoilsScope1_NIRReference">_xlfn.LAMBDA("")</definedName>
    <definedName name="MMS_Dairy_ManureAppliedToSoils_Equations.VEERG_4_3_1_8__1_MassOfNitrogenAppliedToSoilsScope1_Source">_xlfn.LAMBDA("VEERG 2026: 4.3.1.8, Equation (1)")</definedName>
    <definedName name="MMS_Dairy_ManureAppliedToSoils_Equations.VEERG_4_3_1_8__1_MassOfNitrogenAppliedToSoilsScope1_Title">_xlfn.LAMBDA("Mass of nitrogen from manure applied to soils for scope 1 emissions")</definedName>
    <definedName name="MMS_Dairy_ManureAppliedToSoils_Equations.VEERG_4_3_1_8__1_MassOfNitrogenAppliedToSoilsScope1_Unit">_xlfn.LAMBDA("kg N")</definedName>
    <definedName name="MMS_Dairy_ManureAppliedToSoils_Equations.VEERG_4_3_1_8__1_MassOfNitrogenAppliedToSoilsScope1_Variable">_xlfn.LAMBDA("MNSoil_scope1")</definedName>
    <definedName name="MMS_Dairy_ManureAppliedToSoils_Equations.VEERG_4_3_1_8__2_MassOfNitrogenAppliedToSoilsScope3">_xlfn.LAMBDA(_xlpm.MN_jm,_xlpm.EF_m,_xlpm.FracGASM_m,_xlpm.MNLeach_jm,_xlpm.PF, (_xlpm.MN_jm * (1 - _xlpm.EF_m - _xlpm.FracGASM_m) - _xlpm.MNLeach_jm) * (1 - _xlpm.PF))</definedName>
    <definedName name="MMS_Dairy_ManureAppliedToSoils_Equations.VEERG_4_3_1_8__2_MassOfNitrogenAppliedToSoilsScope3_Arguments">_xlfn.LAMBDA(_xlfn.MAKEARRAY(5, 4, _xlfn.LAMBDA(_xlpm.r,_xlpm.c, INDEX({"MN_jm","total nitrogen in each MMS for dairy cattle classes","kg N","Calculated from 4.3.1.3 (2)";"EF_m","emission factor for nitrous oxide emissions per MMS","kg N2O-N/kg N","Constant";"FracGASM_m","fraction of N volatilised from MMS","fraction","Constant";"MNLeach_jm","mass of N lost through leaching and runoff from each MMS","kg N","Calculated from 4.3.1.6 (2)";"PF","fraction of manure applied to soil within farm boundary","fraction","Input"}, _xlpm.r, _xlpm.c))))</definedName>
    <definedName name="MMS_Dairy_ManureAppliedToSoils_Equations.VEERG_4_3_1_8__2_MassOfNitrogenAppliedToSoilsScope3_LatexEquation">_xlfn.LAMBDA("MNSoil_{scope3}=\sum\nolimits_{j}\sum\nolimits_{m}(MN_{jm=1-13}\times (1-EF_{m=1-13}-FracGASM_{m=1-13})-MNLeach_{jm})\times (1-PF)")</definedName>
    <definedName name="MMS_Dairy_ManureAppliedToSoils_Equations.VEERG_4_3_1_8__2_MassOfNitrogenAppliedToSoilsScope3_NIRReference">_xlfn.LAMBDA("")</definedName>
    <definedName name="MMS_Dairy_ManureAppliedToSoils_Equations.VEERG_4_3_1_8__2_MassOfNitrogenAppliedToSoilsScope3_Source">_xlfn.LAMBDA("VEERG 2026: 4.3.1.8, Equation (2)")</definedName>
    <definedName name="MMS_Dairy_ManureAppliedToSoils_Equations.VEERG_4_3_1_8__2_MassOfNitrogenAppliedToSoilsScope3_Title">_xlfn.LAMBDA("Mass of nitrogen from manure applied to soils for scope 3 emissions")</definedName>
    <definedName name="MMS_Dairy_ManureAppliedToSoils_Equations.VEERG_4_3_1_8__2_MassOfNitrogenAppliedToSoilsScope3_Unit">_xlfn.LAMBDA("kg N")</definedName>
    <definedName name="MMS_Dairy_ManureAppliedToSoils_Equations.VEERG_4_3_1_8__2_MassOfNitrogenAppliedToSoilsScope3_Variable">_xlfn.LAMBDA("MNSoil_scope3")</definedName>
    <definedName name="MMS_Dairy_Methane_Equations.VEERG_4_3_1_1__1_TotalAnnualMethaneFromManureManagement">_xlfn.LAMBDA(_xlpm.N_j124,_xlpm.M_j124m,_xlpm.D_j124,_xlpm.N_j35,_xlpm.M_j35m,_xlpm.D_j35,_xlpm.MPW_manure_j35, ((_xlpm.N_j124 * _xlpm.M_j124m * _xlpm.D_j124) + (_xlpm.N_j35 * _xlpm.M_j35m * _xlpm.D_j35) + (_xlpm.N_j35 * _xlpm.MPW_manure_j35 * _xlpm.D_j35)) * 10 ^ -3)</definedName>
    <definedName name="MMS_Dairy_Methane_Equations.VEERG_4_3_1_1__1_TotalAnnualMethaneFromManureManagement_Arguments">_xlfn.LAMBDA(_xlfn.MAKEARRAY(8, 4, _xlfn.LAMBDA(_xlpm.r,_xlpm.c, INDEX({"N_j124","number of dairy cattle in classes j=1,2,4","head","Input";"M_j124m","methane production from manure of weaned dairy cattle in classes j=1,2,4 in MMS m","kg CH4/head/day","Calculated from 4.3.1.1 (2)";"D_j124","duration of stay on farm for classes j=1,2,4","days","Input";"N_j35","number of dairy cattle in classes j=3,5","head","Input";"M_j35m","methane production from manure of weaned dairy cattle in classes j=3,5 in MMS m","kg CH4/head/day","Calculated from 4.3.1.1 (2)";"D_j35","duration of stay on farm for classes j=3,5","days","Input";"MPW_manure_j35","methane production from manure of pre-weaned heifer and bull calves","kg CH4/head/day","Constant";"DPW_j35","duration of stay on farm for pre-weaned heifer and bull calves","days","Input"}, _xlpm.r, _xlpm.c))))</definedName>
    <definedName name="MMS_Dairy_Methane_Equations.VEERG_4_3_1_1__1_TotalAnnualMethaneFromManureManagement_LatexEquation">_xlfn.LAMBDA("E_{CH4}=\sum\nolimits_{j}\sum\nolimits_{m}((N_{j=1,2,4}\times M_{j=1,2,4,m}\times D_{j=1,2,4})+(N_{j=3,5}\times M_{j=3,5,m}\times D_{j=3,5})+(N_{j=3,5}\times MPW_{manure,j=3,5}\times D_{j=3,5}))\times 10^{-3}")</definedName>
    <definedName name="MMS_Dairy_Methane_Equations.VEERG_4_3_1_1__1_TotalAnnualMethaneFromManureManagement_LatexEquationVariation">_xlfn.LAMBDA("E_{CH4}=\sum\nolimits_{j}\sum\nolimits_{m}((N_{j=1,2,4}\times M_{j=1,2,4,m}\times D_{j=1,2,4})+(N_{j=3,5}\times M_{j=3,5,m}\times D_{j=3,5})+(N_{j=3,5}\times MPW_{manure,j=3,5}\times DPW_{j=3,5}))\times 10^{-3}")</definedName>
    <definedName name="MMS_Dairy_Methane_Equations.VEERG_4_3_1_1__1_TotalAnnualMethaneFromManureManagement_NIRReference">_xlfn.LAMBDA("")</definedName>
    <definedName name="MMS_Dairy_Methane_Equations.VEERG_4_3_1_1__1_TotalAnnualMethaneFromManureManagement_Source">_xlfn.LAMBDA("VEERG 2026: 4.3.1.1, Equation (1)")</definedName>
    <definedName name="MMS_Dairy_Methane_Equations.VEERG_4_3_1_1__1_TotalAnnualMethaneFromManureManagement_Title">_xlfn.LAMBDA("Total annual methane production from manure management")</definedName>
    <definedName name="MMS_Dairy_Methane_Equations.VEERG_4_3_1_1__1_TotalAnnualMethaneFromManureManagement_Unit">_xlfn.LAMBDA("t CH4")</definedName>
    <definedName name="MMS_Dairy_Methane_Equations.VEERG_4_3_1_1__1_TotalAnnualMethaneFromManureManagement_Variable">_xlfn.LAMBDA("E_CH4")</definedName>
    <definedName name="MMS_Dairy_Methane_Equations.VEERG_4_3_1_1__1_TotalAnnualMethaneFromManureManagement_Variation">_xlfn.LAMBDA("VARIATION: Used separate variable for duration of stay on farm for pre-weaned heifer and bull calves.")</definedName>
    <definedName name="MMS_Dairy_Methane_Equations.VEERG_4_3_1_1__1_TotalAnnualMethaneFromManureManagementVariation">_xlfn.LAMBDA(_xlpm.N_j124,_xlpm.M_j124m,_xlpm.D_j124,_xlpm.N_j35,_xlpm.M_j35m,_xlpm.D_j35,_xlpm.MPW_manure_j35,_xlpm.DPW_j35, ((_xlpm.N_j124 * _xlpm.M_j124m * _xlpm.D_j124) + (_xlpm.N_j35 * _xlpm.M_j35m * _xlpm.D_j35) + (_xlpm.N_j35 * _xlpm.MPW_manure_j35 * _xlpm.DPW_j35)) * 10 ^ -3)</definedName>
    <definedName name="MMS_Dairy_Methane_Equations.VEERG_4_3_1_1__2_MethaneFromManureProduction">_xlfn.LAMBDA(_xlpm.VS_j,_xlpm.FVS_jmT1,_xlpm.MCF_im,_xlpm.B_o,_xlpm.rho, _xlpm.VS_j * _xlpm.FVS_jmT1 * _xlpm.MCF_im * _xlpm.B_o * _xlpm.rho)</definedName>
    <definedName name="MMS_Dairy_Methane_Equations.VEERG_4_3_1_1__2_MethaneFromManureProduction_Arguments">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(kg/m3)","kg/m3","Constant";"i","state","state","Input"}, _xlpm.r, _xlpm.c))))</definedName>
    <definedName name="MMS_Dairy_Methane_Equations.VEERG_4_3_1_1__2_MethaneFromManureProduction_Arguments_Method2">_xlfn.LAMBDA(_xlfn.MAKEARRAY(6, 4, _xlfn.LAMBDA(_xlpm.r,_xlpm.c, INDEX({"VS_j","daily volatile solids production per head for dairy cattle (kg/head/day)","kg/head/day","Calculated from 4.3.1.1 (3)";"FVS_jmT1","fraction of waste from each class in each management system","fraction","Calculated from 4.3.1.1 (4)(5)";"MCF_im","methane conversion factor for temperature zone and MMS","fraction","Constant";"B_o","emissions potential (m3 CH4/kgVS)","m3 CH4/kgVS","Constant";"rho","density of methane (kg/m3)","kg/m3","Constant";"MAT","Mean annual temperature","°C","Input"}, _xlpm.r, _xlpm.c))))</definedName>
    <definedName name="MMS_Dairy_Methane_Equations.VEERG_4_3_1_1__2_MethaneFromManureProduction_LatexEquation">_xlfn.LAMBDA("M_{jm}=VS_j\times FVS_{jm,T=1}\times MCF_{im}\times B_o\times \rho")</definedName>
    <definedName name="MMS_Dairy_Methane_Equations.VEERG_4_3_1_1__2_MethaneFromManureProduction_NIRReference">_xlfn.LAMBDA("")</definedName>
    <definedName name="MMS_Dairy_Methane_Equations.VEERG_4_3_1_1__2_MethaneFromManureProduction_Source">_xlfn.LAMBDA("VEERG 2026: 4.3.1.1, Equation (2)")</definedName>
    <definedName name="MMS_Dairy_Methane_Equations.VEERG_4_3_1_1__2_MethaneFromManureProduction_Title">_xlfn.LAMBDA("Methane from manure production from weaned dairy cattle")</definedName>
    <definedName name="MMS_Dairy_Methane_Equations.VEERG_4_3_1_1__2_MethaneFromManureProduction_Unit">_xlfn.LAMBDA("kg CH4/head/day")</definedName>
    <definedName name="MMS_Dairy_Methane_Equations.VEERG_4_3_1_1__2_MethaneFromManureProduction_Variable">_xlfn.LAMBDA("M_jm")</definedName>
    <definedName name="MMS_Dairy_Methane_Equations.VEERG_4_3_1_1__3_VolatileSolidsForWeanedDairyCattle">_xlfn.LAMBDA(_xlpm.I_j,_xlpm.DMD_j,_xlpm.A, (_xlpm.I_j * (1 - _xlpm.DMD_j) + (0.04 * _xlpm.I_j)) * (1 - _xlpm.A))</definedName>
    <definedName name="MMS_Dairy_Methane_Equations.VEERG_4_3_1_1__3_VolatileSolidsForWeanedDairyCattle_Arguments">_xlfn.LAMBDA(_xlfn.MAKEARRAY(3, 4, _xlfn.LAMBDA(_xlpm.r,_xlpm.c, INDEX({"I_j","dry matter feed intake (kgDM/head/day)","kgDM/head/day","Calculated from 3.3.1.1 (3)";"DMD_j","dry matter digestibility","fraction","Input";"A","ash content of feed intake","fraction","Constant"}, _xlpm.r, _xlpm.c))))</definedName>
    <definedName name="MMS_Dairy_Methane_Equations.VEERG_4_3_1_1__3_VolatileSolidsForWeanedDairyCattle_LatexEquation">_xlfn.LAMBDA("VS_j=(I_j\times (1-DMD_j)+(0.04\times I_j))\times (1-A)")</definedName>
    <definedName name="MMS_Dairy_Methane_Equations.VEERG_4_3_1_1__3_VolatileSolidsForWeanedDairyCattle_NIRReference">_xlfn.LAMBDA("")</definedName>
    <definedName name="MMS_Dairy_Methane_Equations.VEERG_4_3_1_1__3_VolatileSolidsForWeanedDairyCattle_Source">_xlfn.LAMBDA("VEERG 2026: 4.3.1.1, Equation (3)")</definedName>
    <definedName name="MMS_Dairy_Methane_Equations.VEERG_4_3_1_1__3_VolatileSolidsForWeanedDairyCattle_Title">_xlfn.LAMBDA("Volatile solids for weaned dairy cattle")</definedName>
    <definedName name="MMS_Dairy_Methane_Equations.VEERG_4_3_1_1__3_VolatileSolidsForWeanedDairyCattle_Unit">_xlfn.LAMBDA("kg/head/day")</definedName>
    <definedName name="MMS_Dairy_Methane_Equations.VEERG_4_3_1_1__3_VolatileSolidsForWeanedDairyCattle_Variable">_xlfn.LAMBDA("VS_j")</definedName>
    <definedName name="MMS_Dairy_Methane_Equations.VEERG_4_3_1_1__4_FractionVolatileSolidsNotSolidStorage">_xlfn.LAMBDA(_xlpm.MMS_jm,_xlpm.SS_m, _xlpm.MMS_jm * (1 - _xlpm.SS_m))</definedName>
    <definedName name="MMS_Dairy_Methane_Equations.VEERG_4_3_1_1__4_FractionVolatileSolidsNotSolidStorage_Arguments">_xlfn.LAMBDA(_xlfn.MAKEARRAY(2, 4, _xlfn.LAMBDA(_xlpm.r,_xlpm.c, INDEX({"MMS_jm","fraction of manure to each primary MMS for each class prior to solid separation","fraction","Input";"SS_m","fraction of volatile solids separated to solid storage for each MMS","fraction","Input"}, _xlpm.r, _xlpm.c))))</definedName>
    <definedName name="MMS_Dairy_Methane_Equations.VEERG_4_3_1_1__4_FractionVolatileSolidsNotSolidStorage_LatexEquation">_xlfn.LAMBDA("FVS_{jm}=MMS_{jm}\times (1-SS_m)")</definedName>
    <definedName name="MMS_Dairy_Methane_Equations.VEERG_4_3_1_1__4_FractionVolatileSolidsNotSolidStorage_NIRReference">_xlfn.LAMBDA("")</definedName>
    <definedName name="MMS_Dairy_Methane_Equations.VEERG_4_3_1_1__4_FractionVolatileSolidsNotSolidStorage_Source">_xlfn.LAMBDA("VEERG 2026: 4.3.1.1, Equation (4)")</definedName>
    <definedName name="MMS_Dairy_Methane_Equations.VEERG_4_3_1_1__4_FractionVolatileSolidsNotSolidStorage_Title">_xlfn.LAMBDA("Fraction of volatile solids in each system other than solid storage")</definedName>
    <definedName name="MMS_Dairy_Methane_Equations.VEERG_4_3_1_1__4_FractionVolatileSolidsNotSolidStorage_Unit">_xlfn.LAMBDA("fraction")</definedName>
    <definedName name="MMS_Dairy_Methane_Equations.VEERG_4_3_1_1__4_FractionVolatileSolidsNotSolidStorage_Variable">_xlfn.LAMBDA("FVS_jm")</definedName>
    <definedName name="MMS_Dairy_Methane_Equations.VEERG_4_3_1_1__5_FractionVolatileSolidsSolidStorage">_xlfn.LAMBDA(_xlpm.MMS_jm4,_xlpm.MMS_jm179,_xlpm.SS_m, _xlpm.MMS_jm4 + (_xlpm.MMS_jm179 * _xlpm.SS_m))</definedName>
    <definedName name="MMS_Dairy_Methane_Equations.VEERG_4_3_1_1__5_FractionVolatileSolidsSolidStorage_Arguments">_xlfn.LAMBDA(_xlfn.MAKEARRAY(3, 4, _xlfn.LAMBDA(_xlpm.r,_xlpm.c, INDEX({"MMS_jm4","fraction of volatile solids in solid storage before transfer","fraction","Input";"MMS_jm179","fraction of volatile solids in MMS m=1,7,9 before transfer","fraction","Input";"SS_m","fraction of volatile solids separated to solid storage for each MMS","fraction","Input"}, _xlpm.r, _xlpm.c))))</definedName>
    <definedName name="MMS_Dairy_Methane_Equations.VEERG_4_3_1_1__5_FractionVolatileSolidsSolidStorage_LatexEquation">_xlfn.LAMBDA("FVS_{jm=4}=MMS_{jm=4}+(MMS_{jm=1,7,9}\times SS_m)")</definedName>
    <definedName name="MMS_Dairy_Methane_Equations.VEERG_4_3_1_1__5_FractionVolatileSolidsSolidStorage_LatexEquationVariation">_xlfn.LAMBDA("FVS_{jm=4}=MMS_{jm=4}+(MMS_{jm=1}\times SS_{m=1})+(MMS_{jm=7}\times SS_{m=7})+(MMS_{jm=9}\times SS_{m=9})")</definedName>
    <definedName name="MMS_Dairy_Methane_Equations.VEERG_4_3_1_1__5_FractionVolatileSolidsSolidStorage_NIRReference">_xlfn.LAMBDA("")</definedName>
    <definedName name="MMS_Dairy_Methane_Equations.VEERG_4_3_1_1__5_FractionVolatileSolidsSolidStorage_Source">_xlfn.LAMBDA("VEERG 2026: 4.3.1.1, Equation (5)")</definedName>
    <definedName name="MMS_Dairy_Methane_Equations.VEERG_4_3_1_1__5_FractionVolatileSolidsSolidStorage_Title">_xlfn.LAMBDA("Fraction of volatile solids in solid storage")</definedName>
    <definedName name="MMS_Dairy_Methane_Equations.VEERG_4_3_1_1__5_FractionVolatileSolidsSolidStorage_Unit">_xlfn.LAMBDA("fraction")</definedName>
    <definedName name="MMS_Dairy_Methane_Equations.VEERG_4_3_1_1__5_FractionVolatileSolidsSolidStorage_Variable">_xlfn.LAMBDA("FVS_jm4")</definedName>
    <definedName name="MMS_Dairy_Methane_Equations.VEERG_4_3_1_1__5_FractionVolatileSolidsSolidStorage_Variation">_xlfn.LAMBDA("Used separate variables for MMS and SS m 1, 7 and 9.")</definedName>
    <definedName name="MMS_Dairy_Methane_Equations.VEERG_4_3_1_1__5_FractionVolatileSolidsSolidStorageVariation">_xlfn.LAMBDA(_xlpm.MMS_jm4,_xlpm.MMS_jm1,_xlpm.MMS_jm7,_xlpm.MMS_jm9,_xlpm.SS_m1,_xlpm.SS_m7,_xlpm.SS_m9, _xlpm.MMS_jm4 + (_xlpm.MMS_jm1 * _xlpm.SS_m1) + (_xlpm.MMS_jm7 * _xlpm.SS_m7) + (_xlpm.MMS_jm9 * _xlpm.SS_m9))</definedName>
    <definedName name="MMS_Dairy_N2ODirect_Equations.VEERG_4_3_1_3__1_TotalAnnualDirectNitrousOxideEmissionsFromMMS">_xlfn.LAMBDA(_xlpm.MN_jm,_xlpm.EF_m,_xlpm.C_N2O, _xlpm.MN_jm * _xlpm.EF_m * _xlpm.C_N2O * 10 ^ -3)</definedName>
    <definedName name="MMS_Dairy_N2ODirect_Equations.VEERG_4_3_1_3__1_TotalAnnualDirectNitrousOxideEmissionsFromMMS_Arguments">_xlfn.LAMBDA(_xlfn.MAKEARRAY(3, 4, _xlfn.LAMBDA(_xlpm.r,_xlpm.c, INDEX({"MN_jm","total nitrogen in each MMS for dairy cattle classes","kg N","Calculated from 4.3.1.3 (2)";"EF_m","nitrous oxide emission factor for each MMS (kg N2O-N/kg N deposited)","kg N2O-N/kg N","Constant";"C_N2O","factor to convert elemental mass of N2O to molecular mass","fraction","Constant"}, _xlpm.r, _xlpm.c))))</definedName>
    <definedName name="MMS_Dairy_N2ODirect_Equations.VEERG_4_3_1_3__1_TotalAnnualDirectNitrousOxideEmissionsFromMMS_LatexEquation">_xlfn.LAMBDA("E_{N2O,dir}=\sum\nolimits_{j}\sum\nolimits_{m}(MN_{jm}\times EF_m\times C_{N2O}\times 10^{-3})")</definedName>
    <definedName name="MMS_Dairy_N2ODirect_Equations.VEERG_4_3_1_3__1_TotalAnnualDirectNitrousOxideEmissionsFromMMS_NIRReference">_xlfn.LAMBDA("")</definedName>
    <definedName name="MMS_Dairy_N2ODirect_Equations.VEERG_4_3_1_3__1_TotalAnnualDirectNitrousOxideEmissionsFromMMS_Source">_xlfn.LAMBDA("VEERG 2026: 4.3.1.3, Equation (1)")</definedName>
    <definedName name="MMS_Dairy_N2ODirect_Equations.VEERG_4_3_1_3__1_TotalAnnualDirectNitrousOxideEmissionsFromMMS_Title">_xlfn.LAMBDA("Total annual direct nitrous oxide emissions from manure management systems")</definedName>
    <definedName name="MMS_Dairy_N2ODirect_Equations.VEERG_4_3_1_3__1_TotalAnnualDirectNitrousOxideEmissionsFromMMS_Unit">_xlfn.LAMBDA("t N2O")</definedName>
    <definedName name="MMS_Dairy_N2ODirect_Equations.VEERG_4_3_1_3__1_TotalAnnualDirectNitrousOxideEmissionsFromMMS_Variable">_xlfn.LAMBDA("E_N2Odir")</definedName>
    <definedName name="MMS_Dairy_N2ODirect_Equations.VEERG_4_3_1_3__2_TotalNitrogenInEachMMS">_xlfn.LAMBDA(_xlpm.AE_j,_xlpm.MMS_jm, _xlpm.AE_j * _xlpm.MMS_jm)</definedName>
    <definedName name="MMS_Dairy_N2ODirect_Equations.VEERG_4_3_1_3__2_TotalNitrogenInEachMMS_Arguments">_xlfn.LAMBDA(_xlfn.MAKEARRAY(2, 4, _xlfn.LAMBDA(_xlpm.r,_xlpm.c, INDEX({"AE_j","total nitrogen excreted by each dairy class","kg N","Calculated from 4.3.1.3 (3a) and (3b)";"MMS_jm","manure management system fraction for class j and system m","fraction","Input"}, _xlpm.r, _xlpm.c))))</definedName>
    <definedName name="MMS_Dairy_N2ODirect_Equations.VEERG_4_3_1_3__2_TotalNitrogenInEachMMS_LatexEquation">_xlfn.LAMBDA("MN_{jm}=AE_j\times MMS_{jm}")</definedName>
    <definedName name="MMS_Dairy_N2ODirect_Equations.VEERG_4_3_1_3__2_TotalNitrogenInEachMMS_NIRReference">_xlfn.LAMBDA("")</definedName>
    <definedName name="MMS_Dairy_N2ODirect_Equations.VEERG_4_3_1_3__2_TotalNitrogenInEachMMS_Source">_xlfn.LAMBDA("VEERG 2026: 4.3.1.3, Equation (2)")</definedName>
    <definedName name="MMS_Dairy_N2ODirect_Equations.VEERG_4_3_1_3__2_TotalNitrogenInEachMMS_Title">_xlfn.LAMBDA("Total nitrogen in each MMS")</definedName>
    <definedName name="MMS_Dairy_N2ODirect_Equations.VEERG_4_3_1_3__2_TotalNitrogenInEachMMS_Unit">_xlfn.LAMBDA("kg N")</definedName>
    <definedName name="MMS_Dairy_N2ODirect_Equations.VEERG_4_3_1_3__2_TotalNitrogenInEachMMS_Variable">_xlfn.LAMBDA("MN_jm")</definedName>
    <definedName name="MMS_Dairy_N2ODirect_Equations.VEERG_4_3_1_3__3a_TotalAnnualNitrogenExcretedGreaterThanOneYear">_xlfn.LAMBDA(_xlpm.N_j124,_xlpm.NE_j124, _xlpm.N_j124 * _xlpm.NE_j124 * 365)</definedName>
    <definedName name="MMS_Dairy_N2ODirect_Equations.VEERG_4_3_1_3__3a_TotalAnnualNitrogenExcretedGreaterThanOneYear_Arguments">_xlfn.LAMBDA(_xlfn.MAKEARRAY(3, 4, _xlfn.LAMBDA(_xlpm.r,_xlpm.c, INDEX({"N_j124","number of dairy cattle in classes j=1,2,4","head","Input";"NE_j124","nitrogen excreted by dairy cattle greater than one year old (kg N/head/day)","kg N/head/day","Calculated from 4.3.1.3 (4)";"D_j124","duration of stay on farm for classes j=1,2,4 (days)","days","Input"}, _xlpm.r, _xlpm.c))))</definedName>
    <definedName name="MMS_Dairy_N2ODirect_Equations.VEERG_4_3_1_3__3a_TotalAnnualNitrogenExcretedGreaterThanOneYear_LatexEquation">_xlfn.LAMBDA("AE_{j=1,2,4}=N_{j=1,2,4}\times NE_{j=1,2,4}\times 365")</definedName>
    <definedName name="MMS_Dairy_N2ODirect_Equations.VEERG_4_3_1_3__3a_TotalAnnualNitrogenExcretedGreaterThanOneYear_LatexEquationVariation">_xlfn.LAMBDA("AE_{j=1,2,4}=N_{j=1,2,4}\times NE_{j=1,2,4}\times D_{j=1,2,4}")</definedName>
    <definedName name="MMS_Dairy_N2ODirect_Equations.VEERG_4_3_1_3__3a_TotalAnnualNitrogenExcretedGreaterThanOneYear_NIRReference">_xlfn.LAMBDA("")</definedName>
    <definedName name="MMS_Dairy_N2ODirect_Equations.VEERG_4_3_1_3__3a_TotalAnnualNitrogenExcretedGreaterThanOneYear_Source">_xlfn.LAMBDA("VEERG 2026: 4.3.1.3, Equation (3a)")</definedName>
    <definedName name="MMS_Dairy_N2ODirect_Equations.VEERG_4_3_1_3__3a_TotalAnnualNitrogenExcretedGreaterThanOneYear_Title">_xlfn.LAMBDA("Total annual nitrogen excreted by dairy cattle greater than one year old")</definedName>
    <definedName name="MMS_Dairy_N2ODirect_Equations.VEERG_4_3_1_3__3a_TotalAnnualNitrogenExcretedGreaterThanOneYear_Unit">_xlfn.LAMBDA("kg N")</definedName>
    <definedName name="MMS_Dairy_N2ODirect_Equations.VEERG_4_3_1_3__3a_TotalAnnualNitrogenExcretedGreaterThanOneYear_Variable">_xlfn.LAMBDA("AE_j124")</definedName>
    <definedName name="MMS_Dairy_N2ODirect_Equations.VEERG_4_3_1_3__3a_TotalAnnualNitrogenExcretedGreaterThanOneYear_Variation">_xlfn.LAMBDA("VARIATION: Used Duration variables instead of hard-coded 365 value.")</definedName>
    <definedName name="MMS_Dairy_N2ODirect_Equations.VEERG_4_3_1_3__3a_TotalAnnualNitrogenExcretedGreaterThanOneYearVariation">_xlfn.LAMBDA(_xlpm.N_j124,_xlpm.NE_j124,_xlpm.D_j124, _xlpm.N_j124 * _xlpm.NE_j124 * _xlpm.D_j124)</definedName>
    <definedName name="MMS_Dairy_N2ODirect_Equations.VEERG_4_3_1_3__3b_TotalAnnualNitrogenExcretedLessThanOneYear">_xlfn.LAMBDA(_xlpm.N_j35,_xlpm.NE_j35,_xlpm.NPW_j35, (_xlpm.N_j35 * _xlpm.NE_j35 * 281) + (_xlpm.N_j35 * _xlpm.NPW_j35 * 84))</definedName>
    <definedName name="MMS_Dairy_N2ODirect_Equations.VEERG_4_3_1_3__3b_TotalAnnualNitrogenExcretedLessThanOneYear_Arguments">_xlfn.LAMBDA(_xlfn.MAKEARRAY(5, 4, _xlfn.LAMBDA(_xlpm.r,_xlpm.c, INDEX({"N_j35","number of dairy cattle in classes j=3,5","head","Input";"NE_j35","nitrogen excreted by weaned dairy cattle less than one year old (kg N/head/day)","kg N/head/day","Calculated from 4.3.1.3 (4)";"NPW_j35","nitrogen excreted by pre-weaned calves (kg N/head/day)","kg N/head/day","Constant";"D_j35","duration of stay on farm for weaned dairy cattle less than one year old (days)","days","Input";"DPW_j35","duration of stay on farm for pre-weaned calves (days)","days","Input"}, _xlpm.r, _xlpm.c))))</definedName>
    <definedName name="MMS_Dairy_N2ODirect_Equations.VEERG_4_3_1_3__3b_TotalAnnualNitrogenExcretedLessThanOneYear_LatexEquation">_xlfn.LAMBDA("AE_{j=3,5}=(N_{j=3,5}\times NE_{j=3,5}\times 281)+(N_{j=3,5}\times NPW_{j=3,5}\times 84)")</definedName>
    <definedName name="MMS_Dairy_N2ODirect_Equations.VEERG_4_3_1_3__3b_TotalAnnualNitrogenExcretedLessThanOneYear_LatexEquationVariation">_xlfn.LAMBDA("AE_{j=3,5}=(N_{j=3,5}\times NE_{j=3,5}\times D_{j=3,5})+(N_{j=3,5}\times NPW_{j=3,5}\times DPW_{j=3,5})")</definedName>
    <definedName name="MMS_Dairy_N2ODirect_Equations.VEERG_4_3_1_3__3b_TotalAnnualNitrogenExcretedLessThanOneYear_NIRReference">_xlfn.LAMBDA("")</definedName>
    <definedName name="MMS_Dairy_N2ODirect_Equations.VEERG_4_3_1_3__3b_TotalAnnualNitrogenExcretedLessThanOneYear_Source">_xlfn.LAMBDA("VEERG 2026: 4.3.1.3, Equation (3b)")</definedName>
    <definedName name="MMS_Dairy_N2ODirect_Equations.VEERG_4_3_1_3__3b_TotalAnnualNitrogenExcretedLessThanOneYear_Title">_xlfn.LAMBDA("Total annual nitrogen excreted by dairy cattle less than one year old")</definedName>
    <definedName name="MMS_Dairy_N2ODirect_Equations.VEERG_4_3_1_3__3b_TotalAnnualNitrogenExcretedLessThanOneYear_Unit">_xlfn.LAMBDA("kg N")</definedName>
    <definedName name="MMS_Dairy_N2ODirect_Equations.VEERG_4_3_1_3__3b_TotalAnnualNitrogenExcretedLessThanOneYear_Variable">_xlfn.LAMBDA("AE_j35")</definedName>
    <definedName name="MMS_Dairy_N2ODirect_Equations.VEERG_4_3_1_3__3b_TotalAnnualNitrogenExcretedLessThanOneYear_Variation">_xlfn.LAMBDA("VARIATION: Used Duration variables instead of hard-coded 281 and 84 values.")</definedName>
    <definedName name="MMS_Dairy_N2ODirect_Equations.VEERG_4_3_1_3__3b_TotalAnnualNitrogenExcretedLessThanOneYearVariation">_xlfn.LAMBDA(_xlpm.N_j35,_xlpm.NE_j35,_xlpm.NPW_j35,_xlpm.D_j35,_xlpm.DPW_j35, (_xlpm.N_j35 * _xlpm.NE_j35 * _xlpm.D_j35) + (_xlpm.N_j35 * _xlpm.NPW_j35 * _xlpm.DPW_j35))</definedName>
    <definedName name="MMS_Dairy_N2ODirect_Equations.VEERG_4_3_1_3__4_NitrogenExcretedByDairyCattleGreaterThanOneYear">_xlfn.LAMBDA(_xlpm.CPI_j,_xlpm.NR_j,_xlpm.W_j, (_xlpm.CPI_j / 6.25) - _xlpm.NR_j - ((1.1 * 10 ^ -4 * _xlpm.W_j ^ 0.75) / 6.25))</definedName>
    <definedName name="MMS_Dairy_N2ODirect_Equations.VEERG_4_3_1_3__4_NitrogenExcretedByDairyCattleGreaterThanOneYear_Arguments">_xlfn.LAMBDA(_xlfn.MAKEARRAY(3, 4, _xlfn.LAMBDA(_xlpm.r,_xlpm.c, INDEX({"CPI_j","crude protein intake (kg/head/day)","kg/head/day","Calculated from 4.3.1.3 (5)";"NR_j","amount of nitrogen retained by the body","kg N/head/day","Calculated from 4.3.1.3 (6)";"W_j","liveweight (kg)","kg","Input"}, _xlpm.r, _xlpm.c))))</definedName>
    <definedName name="MMS_Dairy_N2ODirect_Equations.VEERG_4_3_1_3__4_NitrogenExcretedByDairyCattleGreaterThanOneYear_LatexEquation">_xlfn.LAMBDA("NE_j=(\frac{CPI_j}{6.25})-NR_j-\left[\frac{1.1\times10^{-4} \times W_j^{0.75}}{6.25}\right]")</definedName>
    <definedName name="MMS_Dairy_N2ODirect_Equations.VEERG_4_3_1_3__4_NitrogenExcretedByDairyCattleGreaterThanOneYear_NIRReference">_xlfn.LAMBDA("")</definedName>
    <definedName name="MMS_Dairy_N2ODirect_Equations.VEERG_4_3_1_3__4_NitrogenExcretedByDairyCattleGreaterThanOneYear_Source">_xlfn.LAMBDA("VEERG 2026: 4.3.1.3, Equation (4)")</definedName>
    <definedName name="MMS_Dairy_N2ODirect_Equations.VEERG_4_3_1_3__4_NitrogenExcretedByDairyCattleGreaterThanOneYear_Title">_xlfn.LAMBDA("Nitrogen excreted by dairy cattle greater than one year old")</definedName>
    <definedName name="MMS_Dairy_N2ODirect_Equations.VEERG_4_3_1_3__4_NitrogenExcretedByDairyCattleGreaterThanOneYear_Unit">_xlfn.LAMBDA("kg N/head/day")</definedName>
    <definedName name="MMS_Dairy_N2ODirect_Equations.VEERG_4_3_1_3__4_NitrogenExcretedByDairyCattleGreaterThanOneYear_Variable">_xlfn.LAMBDA("NE_j")</definedName>
    <definedName name="MMS_Dairy_N2ODirect_Equations.VEERG_4_3_1_3__5_CrudeProteinIntakeOfDairyCattle">_xlfn.LAMBDA(_xlpm.I_j,_xlpm.CP_j, _xlpm.I_j * _xlpm.CP_j)</definedName>
    <definedName name="MMS_Dairy_N2ODirect_Equations.VEERG_4_3_1_3__5_CrudeProteinIntakeOfDairyCattle_Arguments">_xlfn.LAMBDA(_xlfn.MAKEARRAY(2, 4, _xlfn.LAMBDA(_xlpm.r,_xlpm.c, INDEX({"I_j","dry matter intake","kgDM/head/day","Calculated from 3.3.1.1 (3)";"CP_j","crude protein content of feed intake","fraction","Input"}, _xlpm.r, _xlpm.c))))</definedName>
    <definedName name="MMS_Dairy_N2ODirect_Equations.VEERG_4_3_1_3__5_CrudeProteinIntakeOfDairyCattle_LatexEquation">_xlfn.LAMBDA("CPI_j=I_j\times CP_j")</definedName>
    <definedName name="MMS_Dairy_N2ODirect_Equations.VEERG_4_3_1_3__5_CrudeProteinIntakeOfDairyCattle_NIRReference">_xlfn.LAMBDA("")</definedName>
    <definedName name="MMS_Dairy_N2ODirect_Equations.VEERG_4_3_1_3__5_CrudeProteinIntakeOfDairyCattle_Source">_xlfn.LAMBDA("VEERG 2026: 4.3.1.3, Equation (5)")</definedName>
    <definedName name="MMS_Dairy_N2ODirect_Equations.VEERG_4_3_1_3__5_CrudeProteinIntakeOfDairyCattle_Title">_xlfn.LAMBDA("Crude protein intake of dairy cattle")</definedName>
    <definedName name="MMS_Dairy_N2ODirect_Equations.VEERG_4_3_1_3__5_CrudeProteinIntakeOfDairyCattle_Unit">_xlfn.LAMBDA("kg/head/day")</definedName>
    <definedName name="MMS_Dairy_N2ODirect_Equations.VEERG_4_3_1_3__5_CrudeProteinIntakeOfDairyCattle_Variable">_xlfn.LAMBDA("CPI_j")</definedName>
    <definedName name="MMS_Dairy_N2ODirect_Equations.VEERG_4_3_1_3__6_NitrogenRetainedByBody">_xlfn.LAMBDA(_xlpm.MP_j,_xlpm.L_j,_xlpm.Z_j,_xlpm.LWG_j, ((0.032 * _xlpm.MP_j * 1.03) / 6.38) + ((0.212 - 0.008 * (_xlpm.L_j - 2) - ((0.14 - 0.008 * (_xlpm.L_j - 2)) / (1 + EXP(-6 * (_xlpm.Z_j - 0.4))))) * (_xlpm.LWG_j * 0.92)) * (1 / 6.25))</definedName>
    <definedName name="MMS_Dairy_N2ODirect_Equations.VEERG_4_3_1_3__6_NitrogenRetainedByBody_Arguments">_xlfn.LAMBDA(_xlfn.MAKEARRAY(6, 4, _xlfn.LAMBDA(_xlpm.r,_xlpm.c, INDEX({"MPU","input milk production unit","","Input";"MP_j","milk production (if input as litres of milk)","L/head/day","Input";"MP_j","milk production (if input as milk solids)","L/head/day","Calculated from 3.3.1.1 (5)";"L_j","intake relative to maintenance","","Calculated from 4.3.1.3 (7)";"Z_j","relative size","","Calculated from 4.3.1.3 (8)";"LWG_j","liveweight gain","kg/head/day","Input"}, _xlpm.r, _xlpm.c))))</definedName>
    <definedName name="MMS_Dairy_N2ODirect_Equations.VEERG_4_3_1_3__6_NitrogenRetainedByBody_LatexEquation">_xlfn.LAMBDA("NR_j=\left(\frac{0.032 \times MP_j \times 1.03}{6.38}\right) + \left\{\left(0.212-0.008 \times (L_j - 2) - \left[\frac{0.140-0.008\times(L_j-2)}{1+e^{-6\times(Z_j-0.4)}}\right]\right) \times (LWG_j \times 0.92)\right\} \times \frac{1}{6.25}")</definedName>
    <definedName name="MMS_Dairy_N2ODirect_Equations.VEERG_4_3_1_3__6_NitrogenRetainedByBody_NIRReference">_xlfn.LAMBDA("")</definedName>
    <definedName name="MMS_Dairy_N2ODirect_Equations.VEERG_4_3_1_3__6_NitrogenRetainedByBody_Source">_xlfn.LAMBDA("VEERG 2026: 4.3.1.3, Equation (6)")</definedName>
    <definedName name="MMS_Dairy_N2ODirect_Equations.VEERG_4_3_1_3__6_NitrogenRetainedByBody_Title">_xlfn.LAMBDA("Amount of nitrogen retained by the body")</definedName>
    <definedName name="MMS_Dairy_N2ODirect_Equations.VEERG_4_3_1_3__6_NitrogenRetainedByBody_Unit">_xlfn.LAMBDA("kg N/head/day")</definedName>
    <definedName name="MMS_Dairy_N2ODirect_Equations.VEERG_4_3_1_3__6_NitrogenRetainedByBody_Variable">_xlfn.LAMBDA("NR_j")</definedName>
    <definedName name="MMS_Dairy_N2ODirect_Equations.VEERG_4_3_1_3__6_NitrogenRetainedByBody_Variation">_xlfn.LAMBDA("VARIATION ON SOURCE: Added check for milk production input unit and choose corresponding MP_j value accordingly.")</definedName>
    <definedName name="MMS_Dairy_N2ODirect_Equations.VEERG_4_3_1_3__7_IntakeRelativeToMaintenance">_xlfn.LAMBDA(_xlpm.I_j,_xlpm.W_j,_xlpm.MR_j,_xlpm.MI_j, _xlpm.I_j / (((1.185 + 0.00454 * _xlpm.W_j - 0.0000026 * _xlpm.W_j ^ 2) ^ 2 * _xlpm.MR_j) + _xlpm.MI_j))</definedName>
    <definedName name="MMS_Dairy_N2ODirect_Equations.VEERG_4_3_1_3__7_IntakeRelativeToMaintenance_Arguments">_xlfn.LAMBDA(_xlfn.MAKEARRAY(4, 4, _xlfn.LAMBDA(_xlpm.r,_xlpm.c, INDEX({"I_j","dry matter intake","kgDM/head/day","Calculated from 3.3.1.1 (3)";"W_j","liveweight","kg/head","Input";"MR_j","increase in metabolic rate when producing milk","","Constant";"MI_j","additional intake required for milk production","kgDM/head/day","Calculated from 3.3.1.1 (4)"}, _xlpm.r, _xlpm.c))))</definedName>
    <definedName name="MMS_Dairy_N2ODirect_Equations.VEERG_4_3_1_3__7_IntakeRelativeToMaintenance_LatexEquation">_xlfn.LAMBDA("L_j=\frac{I_j}{(1.185+0.00454\times W_j-0.0000026\times W_j^2)^2\times MR_j+MI_j}")</definedName>
    <definedName name="MMS_Dairy_N2ODirect_Equations.VEERG_4_3_1_3__7_IntakeRelativeToMaintenance_NIRReference">_xlfn.LAMBDA("")</definedName>
    <definedName name="MMS_Dairy_N2ODirect_Equations.VEERG_4_3_1_3__7_IntakeRelativeToMaintenance_Source">_xlfn.LAMBDA("VEERG 2026: 4.3.1.3, Equation (7)")</definedName>
    <definedName name="MMS_Dairy_N2ODirect_Equations.VEERG_4_3_1_3__7_IntakeRelativeToMaintenance_Title">_xlfn.LAMBDA("Intake relative to maintenance")</definedName>
    <definedName name="MMS_Dairy_N2ODirect_Equations.VEERG_4_3_1_3__7_IntakeRelativeToMaintenance_Unit">_xlfn.LAMBDA("ratio")</definedName>
    <definedName name="MMS_Dairy_N2ODirect_Equations.VEERG_4_3_1_3__7_IntakeRelativeToMaintenance_Variable">_xlfn.LAMBDA("L_j")</definedName>
    <definedName name="MMS_Dairy_N2ODirect_Equations.VEERG_4_3_1_3__8_RelativeSize">_xlfn.LAMBDA(_xlpm.W_j,_xlpm.WR_j, _xlpm.W_j / _xlpm.WR_j)</definedName>
    <definedName name="MMS_Dairy_N2ODirect_Equations.VEERG_4_3_1_3__8_RelativeSize_Arguments">_xlfn.LAMBDA(_xlfn.MAKEARRAY(2, 4, _xlfn.LAMBDA(_xlpm.r,_xlpm.c, INDEX({"W_j","liveweight","kg/head","Input";"WR_j","reference weight","kg/head","Constant"}, _xlpm.r, _xlpm.c))))</definedName>
    <definedName name="MMS_Dairy_N2ODirect_Equations.VEERG_4_3_1_3__8_RelativeSize_LatexEquation">_xlfn.LAMBDA("Z_j=\frac{W_j}{WR_j}")</definedName>
    <definedName name="MMS_Dairy_N2ODirect_Equations.VEERG_4_3_1_3__8_RelativeSize_NIRReference">_xlfn.LAMBDA("")</definedName>
    <definedName name="MMS_Dairy_N2ODirect_Equations.VEERG_4_3_1_3__8_RelativeSize_Source">_xlfn.LAMBDA("VEERG 2026: 4.3.1.3, Equation (8)")</definedName>
    <definedName name="MMS_Dairy_N2ODirect_Equations.VEERG_4_3_1_3__8_RelativeSize_Title">_xlfn.LAMBDA("Relative size")</definedName>
    <definedName name="MMS_Dairy_N2ODirect_Equations.VEERG_4_3_1_3__8_RelativeSize_Unit">_xlfn.LAMBDA("ratio")</definedName>
    <definedName name="MMS_Dairy_N2ODirect_Equations.VEERG_4_3_1_3__8_RelativeSize_Variable">_xlfn.LAMBDA("Z_j")</definedName>
    <definedName name="MMS_Dairy_Soil_AtmosphericDeposition_Equations.VEERG_4_3_1_10__1_AtmosphericDepositionEmissionsFromUrineAndDungOnPasture">_xlfn.LAMBDA(_xlpm.M_vol_m14,_xlpm.EF_N2O,_xlpm.C_N2O, _xlpm.M_vol_m14 * _xlpm.EF_N2O * _xlpm.C_N2O * 10 ^ -3)</definedName>
    <definedName name="MMS_Dairy_Soil_AtmosphericDeposition_Equations.VEERG_4_3_1_10__1_AtmosphericDepositionEmissionsFromUrineAndDungOnPasture_Arguments">_xlfn.LAMBDA(_xlfn.MAKEARRAY(6, 4, _xlfn.LAMBDA(_xlpm.r,_xlpm.c, INDEX({"M_vol_m14","mass of nitrogen volatilised from urine and faeces deposited on pasture","kg N","Calculated from 4.3.1.10 (2)";"EF_N2O","nitrous oxide emission factor for atmospheric deposition","kg N2O-N/kg N","Constant";"C_N2O","factor to convert elemental mass of N2O to molecular mass","","Constant";"j","production system","","Input";"ir","irrigation method","","Input";"r","rainfall region","","Input"}, _xlpm.r, _xlpm.c))))</definedName>
    <definedName name="MMS_Dairy_Soil_AtmosphericDeposition_Equations.VEERG_4_3_1_10__1_AtmosphericDepositionEmissionsFromUrineAndDungOnPasture_LatexEquation">_xlfn.LAMBDA("E_{N2O,ad}=M_{vol,m=14}\times EF_{N2O}\times C_{N2O}\times 10^{-3}")</definedName>
    <definedName name="MMS_Dairy_Soil_AtmosphericDeposition_Equations.VEERG_4_3_1_10__1_AtmosphericDepositionEmissionsFromUrineAndDungOnPasture_NIRReference">_xlfn.LAMBDA("")</definedName>
    <definedName name="MMS_Dairy_Soil_AtmosphericDeposition_Equations.VEERG_4_3_1_10__1_AtmosphericDepositionEmissionsFromUrineAndDungOnPasture_Source">_xlfn.LAMBDA("VEERG 2026: 4.3.1.10, Equation (1)")</definedName>
    <definedName name="MMS_Dairy_Soil_AtmosphericDeposition_Equations.VEERG_4_3_1_10__1_AtmosphericDepositionEmissionsFromUrineAndDungOnPasture_Title">_xlfn.LAMBDA("Atmospheric deposition emissions from urine and dung deposited on pasture")</definedName>
    <definedName name="MMS_Dairy_Soil_AtmosphericDeposition_Equations.VEERG_4_3_1_10__1_AtmosphericDepositionEmissionsFromUrineAndDungOnPasture_Unit">_xlfn.LAMBDA("t N2O")</definedName>
    <definedName name="MMS_Dairy_Soil_AtmosphericDeposition_Equations.VEERG_4_3_1_10__1_AtmosphericDepositionEmissionsFromUrineAndDungOnPasture_Variable">_xlfn.LAMBDA("E_N2Oad")</definedName>
    <definedName name="MMS_Dairy_Soil_AtmosphericDeposition_Equations.VEERG_4_3_1_10__2_MassOfNitrogenVolatilisedOnPasture">_xlfn.LAMBDA(_xlpm.MN_jm14,_xlpm.FracGASMsoil, _xlpm.MN_jm14 * _xlpm.FracGASMsoil)</definedName>
    <definedName name="MMS_Dairy_Soil_AtmosphericDeposition_Equations.VEERG_4_3_1_10__2_MassOfNitrogenVolatilisedOnPasture_Arguments">_xlfn.LAMBDA(_xlfn.MAKEARRAY(2, 4, _xlfn.LAMBDA(_xlpm.r,_xlpm.c, INDEX({"MN_jm14","mass of nitrogen excreted on pasture, range and paddock for each dairy class","kg N","Calculated from 4.3.1.3 (2)";"FracGASMsoil","fraction of nitrogen volatilised from urine and faeces deposited on pasture","(kg NH3-N + NOx-N)/kg N)","Constant"}, _xlpm.r, _xlpm.c))))</definedName>
    <definedName name="MMS_Dairy_Soil_AtmosphericDeposition_Equations.VEERG_4_3_1_10__2_MassOfNitrogenVolatilisedOnPasture_LatexEquation">_xlfn.LAMBDA("M_{vol,m=14}=\sum\nolimits_{j}(MN_{jm=14}\times FracGASMsoil)")</definedName>
    <definedName name="MMS_Dairy_Soil_AtmosphericDeposition_Equations.VEERG_4_3_1_10__2_MassOfNitrogenVolatilisedOnPasture_NIRReference">_xlfn.LAMBDA("")</definedName>
    <definedName name="MMS_Dairy_Soil_AtmosphericDeposition_Equations.VEERG_4_3_1_10__2_MassOfNitrogenVolatilisedOnPasture_Source">_xlfn.LAMBDA("VEERG 2026: 4.3.1.10, Equation (2)")</definedName>
    <definedName name="MMS_Dairy_Soil_AtmosphericDeposition_Equations.VEERG_4_3_1_10__2_MassOfNitrogenVolatilisedOnPasture_Title">_xlfn.LAMBDA("Mass of nitrogen volatilised from urine and faeces deposited on pasture")</definedName>
    <definedName name="MMS_Dairy_Soil_AtmosphericDeposition_Equations.VEERG_4_3_1_10__2_MassOfNitrogenVolatilisedOnPasture_Unit">_xlfn.LAMBDA("kg N")</definedName>
    <definedName name="MMS_Dairy_Soil_AtmosphericDeposition_Equations.VEERG_4_3_1_10__2_MassOfNitrogenVolatilisedOnPasture_Variable">_xlfn.LAMBDA("M_vol_m14")</definedName>
    <definedName name="MMS_Dairy_Soil_LeachingAndRunoff.VEERG_4_3_1_12__1_LeachingAndRunoffEmissionsFromUrineAndDungOnPasture">_xlfn.LAMBDA(_xlpm.M_leach_m14,_xlpm.EF_leach,_xlpm.C_N2O, _xlpm.M_leach_m14 * _xlpm.EF_leach * _xlpm.C_N2O * 10 ^ -3)</definedName>
    <definedName name="MMS_Dairy_Soil_LeachingAndRunoff.VEERG_4_3_1_12__1_LeachingAndRunoffEmissionsFromUrineAndDungOnPasture_Arguments">_xlfn.LAMBDA(_xlfn.MAKEARRAY(3, 4, _xlfn.LAMBDA(_xlpm.r,_xlpm.c, INDEX({"M_leach_m14","mass of nitrogen lost to leaching and runoff from urine and faeces deposited on pasture","kg N","Calculated from 4.3.1.12 (2)";"EF_leach","nitrous oxide emission factor for leaching and runoff","kg N2O-N/kg N","Constant";"C_N2O","factor to convert elemental mass of N2O to molecular mass","","Constant"}, _xlpm.r, _xlpm.c))))</definedName>
    <definedName name="MMS_Dairy_Soil_LeachingAndRunoff.VEERG_4_3_1_12__1_LeachingAndRunoffEmissionsFromUrineAndDungOnPasture_LatexEquation">_xlfn.LAMBDA("E_{N2O,leach}=M_{leach,m=14}\times EF_{leach}\times C_{N2O}\times 10^{-3}")</definedName>
    <definedName name="MMS_Dairy_Soil_LeachingAndRunoff.VEERG_4_3_1_12__1_LeachingAndRunoffEmissionsFromUrineAndDungOnPasture_NIRReference">_xlfn.LAMBDA("")</definedName>
    <definedName name="MMS_Dairy_Soil_LeachingAndRunoff.VEERG_4_3_1_12__1_LeachingAndRunoffEmissionsFromUrineAndDungOnPasture_Source">_xlfn.LAMBDA("VEERG 2026: 4.3.1.12, Equation (1)")</definedName>
    <definedName name="MMS_Dairy_Soil_LeachingAndRunoff.VEERG_4_3_1_12__1_LeachingAndRunoffEmissionsFromUrineAndDungOnPasture_Title">_xlfn.LAMBDA("Leaching and runoff emissions from urine and dung deposited on pasture")</definedName>
    <definedName name="MMS_Dairy_Soil_LeachingAndRunoff.VEERG_4_3_1_12__1_LeachingAndRunoffEmissionsFromUrineAndDungOnPasture_Unit">_xlfn.LAMBDA("t N2O")</definedName>
    <definedName name="MMS_Dairy_Soil_LeachingAndRunoff.VEERG_4_3_1_12__1_LeachingAndRunoffEmissionsFromUrineAndDungOnPasture_Variable">_xlfn.LAMBDA("E_N2Oleach")</definedName>
    <definedName name="MMS_Dairy_Soil_LeachingAndRunoff.VEERG_4_3_1_12__2_MassOfNitrogenLostToLeachingAndRunoffOnPasture">_xlfn.LAMBDA(_xlpm.MN_jm14,_xlpm.FracWet,_xlpm.FracLEACH, _xlpm.MN_jm14 * _xlpm.FracWet * _xlpm.FracLEACH)</definedName>
    <definedName name="MMS_Dairy_Soil_LeachingAndRunoff.VEERG_4_3_1_12__2_MassOfNitrogenLostToLeachingAndRunoffOnPasture_Arguments">_xlfn.LAMBDA(_xlfn.MAKEARRAY(6, 4, _xlfn.LAMBDA(_xlpm.r,_xlpm.c, INDEX({"MN_jm14","mass of nitrogen excreted on pasture, range and paddock for each dairy class","kg N","Calculated from 4.3.1.3 (2)";"FracWet","fraction of N available for leaching and runoff","","Constant";"FracLEACH","fraction of N lost through leaching and runoff","","Constant";"z","location in leaching zone","","Input";"j","production system","","Input";"ir","irrigation method","","Input"}, _xlpm.r, _xlpm.c))))</definedName>
    <definedName name="MMS_Dairy_Soil_LeachingAndRunoff.VEERG_4_3_1_12__2_MassOfNitrogenLostToLeachingAndRunoffOnPasture_LatexEquation">_xlfn.LAMBDA("M_{leach,m=14}=\sum\nolimits_{j}(MN_{jm=14}\times FracWet\times FracLEACH)")</definedName>
    <definedName name="MMS_Dairy_Soil_LeachingAndRunoff.VEERG_4_3_1_12__2_MassOfNitrogenLostToLeachingAndRunoffOnPasture_NIRReference">_xlfn.LAMBDA("")</definedName>
    <definedName name="MMS_Dairy_Soil_LeachingAndRunoff.VEERG_4_3_1_12__2_MassOfNitrogenLostToLeachingAndRunoffOnPasture_Source">_xlfn.LAMBDA("VEERG 2026: 4.3.1.12, Equation (2)")</definedName>
    <definedName name="MMS_Dairy_Soil_LeachingAndRunoff.VEERG_4_3_1_12__2_MassOfNitrogenLostToLeachingAndRunoffOnPasture_Title">_xlfn.LAMBDA("Mass of nitrogen lost to leaching and runoff from urine and faeces on pasture")</definedName>
    <definedName name="MMS_Dairy_Soil_LeachingAndRunoff.VEERG_4_3_1_12__2_MassOfNitrogenLostToLeachingAndRunoffOnPasture_Unit">_xlfn.LAMBDA("kg N")</definedName>
    <definedName name="MMS_Dairy_Soil_LeachingAndRunoff.VEERG_4_3_1_12__2_MassOfNitrogenLostToLeachingAndRunoffOnPasture_Variable">_xlfn.LAMBDA("M_leach_m14")</definedName>
    <definedName name="MMS_Dairy_Soil_N2ODirect_Equations.VEERG_4_3_1_9__1_DirectNitrousOxideEmissionsOnPasture">_xlfn.LAMBDA(_xlpm.MN_jm14,_xlpm.EF_PRP,_xlpm.C_N2O, _xlpm.MN_jm14 * _xlpm.EF_PRP * _xlpm.C_N2O * 10 ^ -3)</definedName>
    <definedName name="MMS_Dairy_Soil_N2ODirect_Equations.VEERG_4_3_1_9__1_DirectNitrousOxideEmissionsOnPasture_Arguments">_xlfn.LAMBDA(_xlfn.MAKEARRAY(4, 4, _xlfn.LAMBDA(_xlpm.r,_xlpm.c, INDEX({"MN_jm14","mass of nitrogen excreted on pasture, range, and paddock for each dairy cattle class","kg N","Calculated from 4.3.1.3 (2)";"EF_PRP","emission factor for nitrous oxide emissions for urine and dung deposited on PRP","kg N2O-N/kg N deposited","Constant";"C_N2O","factor to convert elemental mass of N2O to molecular mass","","Constant";"z","Wet or dry climate zone","","Input"}, _xlpm.r, _xlpm.c))))</definedName>
    <definedName name="MMS_Dairy_Soil_N2ODirect_Equations.VEERG_4_3_1_9__1_DirectNitrousOxideEmissionsOnPasture_LatexEquation">_xlfn.LAMBDA("E_{N2O,dir}=\sum\nolimits_{j}(MN_{jm=14}\times EF_{PRP}\times C_{N2O}\times 10^{-3})")</definedName>
    <definedName name="MMS_Dairy_Soil_N2ODirect_Equations.VEERG_4_3_1_9__1_DirectNitrousOxideEmissionsOnPasture_NIRReference">_xlfn.LAMBDA("")</definedName>
    <definedName name="MMS_Dairy_Soil_N2ODirect_Equations.VEERG_4_3_1_9__1_DirectNitrousOxideEmissionsOnPasture_Source">_xlfn.LAMBDA("VEERG 2026: 4.3.1.9, Equation (1)")</definedName>
    <definedName name="MMS_Dairy_Soil_N2ODirect_Equations.VEERG_4_3_1_9__1_DirectNitrousOxideEmissionsOnPasture_Title">_xlfn.LAMBDA("Direct nitrous oxide emissions on pasture")</definedName>
    <definedName name="MMS_Dairy_Soil_N2ODirect_Equations.VEERG_4_3_1_9__1_DirectNitrousOxideEmissionsOnPasture_Unit">_xlfn.LAMBDA("t N2O")</definedName>
    <definedName name="MMS_Dairy_Soil_N2ODirect_Equations.VEERG_4_3_1_9__1_DirectNitrousOxideEmissionsOnPasture_Variable">_xlfn.LAMBDA("E_N2Odir")</definedName>
    <definedName name="MMS_PastureBeef_Methane_Equations.VEERG_4_2_1_1__1_TotalAnnualMethaneProductionFromManureManagement">_xlfn.LAMBDA(_xlpm.N_jkl,_xlpm.M_jklm,_xlpm.D_j, (_xlpm.N_jkl * _xlpm.M_jklm * _xlpm.D_j) * 10 ^ -3)</definedName>
    <definedName name="MMS_PastureBeef_Methane_Equations.VEERG_4_2_1_1__1_TotalAnnualMethaneProductionFromManureManagement_Arguments">_xlfn.LAMBDA(_xlfn.MAKEARRAY(3, 4, _xlfn.LAMBDA(_xlpm.r,_xlpm.c, INDEX({"N_jkl","number of beef cattle in each time-period, class and subclass","head","Input";"M_jklm","methane production from manure in each time-period, class, subclass and MMS","kg/head/day","Calculated from 4.2.1.1 (2)";"D_j","number of days in each time-period for each input class","days","Input"}, _xlpm.r, _xlpm.c))))</definedName>
    <definedName name="MMS_PastureBeef_Methane_Equations.VEERG_4_2_1_1__1_TotalAnnualMethaneProductionFromManureManagement_LatexEquation">_xlfn.LAMBDA("E_{CH4}=\sum_{j}\sum_{k}\sum_{l}\sum_{m}(N_{jkl}\times M_{jklm}\times D_j)\times 10^{-3}")</definedName>
    <definedName name="MMS_PastureBeef_Methane_Equations.VEERG_4_2_1_1__1_TotalAnnualMethaneProductionFromManureManagement_NIRReference">_xlfn.LAMBDA("")</definedName>
    <definedName name="MMS_PastureBeef_Methane_Equations.VEERG_4_2_1_1__1_TotalAnnualMethaneProductionFromManureManagement_Source">_xlfn.LAMBDA("VEERG 2026: 4.2.1.1, Equation (1)")</definedName>
    <definedName name="MMS_PastureBeef_Methane_Equations.VEERG_4_2_1_1__1_TotalAnnualMethaneProductionFromManureManagement_Title">_xlfn.LAMBDA("Total annual methane production from manure management for grazing beef cattle")</definedName>
    <definedName name="MMS_PastureBeef_Methane_Equations.VEERG_4_2_1_1__1_TotalAnnualMethaneProductionFromManureManagement_Unit">_xlfn.LAMBDA("t CH4")</definedName>
    <definedName name="MMS_PastureBeef_Methane_Equations.VEERG_4_2_1_1__1_TotalAnnualMethaneProductionFromManureManagement_Variable">_xlfn.LAMBDA("E_CH4")</definedName>
    <definedName name="MMS_PastureBeef_Methane_Equations.VEERG_4_2_1_1__2_MethaneProductionFromManure">_xlfn.LAMBDA(_xlpm.VS_jkl,_xlpm.B_o,_xlpm.MMS_m,_xlpm.MCF_im,_xlpm.rho, _xlpm.VS_jkl * _xlpm.B_o * _xlpm.MMS_m * _xlpm.MCF_im * _xlpm.rho)</definedName>
    <definedName name="MMS_PastureBeef_Methane_Equations.VEERG_4_2_1_1__2_MethaneProductionFromManure_Arguments">_xlfn.LAMBDA(_xlfn.MAKEARRAY(7,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methane","kg/m3","Constant";"i","state","","Input";"i","region","","Input"}, _xlpm.r, _xlpm.c))))</definedName>
    <definedName name="MMS_PastureBeef_Methane_Equations.VEERG_4_2_1_1__2_MethaneProductionFromManure_Arguments_Method2">_xlfn.LAMBDA(_xlfn.MAKEARRAY(6, 4, _xlfn.LAMBDA(_xlpm.r,_xlpm.c, INDEX({"VS_jkl","volatile solid production","kg/day","Calculated from 4.2.1.1 (3)";"B_o","emissions potential","m3 CH4/kg VS","Constant";"MMS_m","fraction of waste in each manure management system","fraction","Input";"MCF_im","methane conversion factor for temperature zone and MMS","fraction","Constant";"rho","density of methane","kg/m3","Constant";"MAT","Mean annual temperature","°C","Input"}, _xlpm.r, _xlpm.c))))</definedName>
    <definedName name="MMS_PastureBeef_Methane_Equations.VEERG_4_2_1_1__2_MethaneProductionFromManure_LatexEquation">_xlfn.LAMBDA("M_{jklm}=VS_{jkl}\times B_o\times MMS_m\times MCF_{im}\times \rho")</definedName>
    <definedName name="MMS_PastureBeef_Methane_Equations.VEERG_4_2_1_1__2_MethaneProductionFromManure_NIRReference">_xlfn.LAMBDA("")</definedName>
    <definedName name="MMS_PastureBeef_Methane_Equations.VEERG_4_2_1_1__2_MethaneProductionFromManure_Source">_xlfn.LAMBDA("VEERG 2026: 4.2.1.1, Equation (2)")</definedName>
    <definedName name="MMS_PastureBeef_Methane_Equations.VEERG_4_2_1_1__2_MethaneProductionFromManure_Title">_xlfn.LAMBDA("Methane production from the manure of grazing beef cattle")</definedName>
    <definedName name="MMS_PastureBeef_Methane_Equations.VEERG_4_2_1_1__2_MethaneProductionFromManure_Unit">_xlfn.LAMBDA("kg CH4/head/day")</definedName>
    <definedName name="MMS_PastureBeef_Methane_Equations.VEERG_4_2_1_1__2_MethaneProductionFromManure_Variable">_xlfn.LAMBDA("M_jklm")</definedName>
    <definedName name="MMS_PastureBeef_Methane_Equations.VEERG_4_2_1_1__3_VolatileSolidProductionFromGrazingBeef">_xlfn.LAMBDA(_xlpm.I_jkl,_xlpm.DMD_jkl,_xlpm.A, (_xlpm.I_jkl * (1 - _xlpm.DMD_jkl) + (0.04 * _xlpm.I_jkl)) * (1 - _xlpm.A))</definedName>
    <definedName name="MMS_PastureBeef_Methane_Equations.VEERG_4_2_1_1__3_VolatileSolidProductionFromGrazingBeef_Arguments">_xlfn.LAMBDA(_xlfn.MAKEARRAY(3, 4, _xlfn.LAMBDA(_xlpm.r,_xlpm.c, INDEX({"I_jkl","dry matter intake as calculated in Chapter 3 Section 3.2.1","kg/head/day","Calculated from 3.2.1.1, (3)";"DMD_jkl","dry matter digestibility expressed as a fraction","fraction","Input";"A","ash content of feed intake expressed as a fraction","fraction","Constant"}, _xlpm.r, _xlpm.c))))</definedName>
    <definedName name="MMS_PastureBeef_Methane_Equations.VEERG_4_2_1_1__3_VolatileSolidProductionFromGrazingBeef_LatexEquation">_xlfn.LAMBDA("VS_{jkl}=(I_{jkl}\times (1-DMD_{jkl})+(0.04\times I_{jkl}))\times (1-A)")</definedName>
    <definedName name="MMS_PastureBeef_Methane_Equations.VEERG_4_2_1_1__3_VolatileSolidProductionFromGrazingBeef_NIRReference">_xlfn.LAMBDA("")</definedName>
    <definedName name="MMS_PastureBeef_Methane_Equations.VEERG_4_2_1_1__3_VolatileSolidProductionFromGrazingBeef_Source">_xlfn.LAMBDA("VEERG 2026: 4.2.1.1, Equation (3)")</definedName>
    <definedName name="MMS_PastureBeef_Methane_Equations.VEERG_4_2_1_1__3_VolatileSolidProductionFromGrazingBeef_Title">_xlfn.LAMBDA("Volatile solid production from grazing beef")</definedName>
    <definedName name="MMS_PastureBeef_Methane_Equations.VEERG_4_2_1_1__3_VolatileSolidProductionFromGrazingBeef_Unit">_xlfn.LAMBDA("kg/head/day")</definedName>
    <definedName name="MMS_PastureBeef_Methane_Equations.VEERG_4_2_1_1__3_VolatileSolidProductionFromGrazingBeef_Variable">_xlfn.LAMBDA("VS_jkl")</definedName>
    <definedName name="MMS_PastureBeef_Soil_AtmosphericDeposition_Equations.VEERG_4_2_1_5__1_AtmosphericDepositionEmissionsFromUrineAndDungOnPasture">_xlfn.LAMBDA(_xlpm.M_vol,_xlpm.EF_N2O,_xlpm.C_N2O, _xlpm.M_vol * _xlpm.EF_N2O * _xlpm.C_N2O * 10 ^ -3)</definedName>
    <definedName name="MMS_PastureBeef_Soil_AtmosphericDeposition_Equations.VEERG_4_2_1_5__1_AtmosphericDepositionEmissionsFromUrineAndDungOnPasture_Arguments">_xlfn.LAMBDA(_xlfn.MAKEARRAY(6, 4, _xlfn.LAMBDA(_xlpm.r,_xlpm.c, INDEX({"M_vol","mass of nitrogen volatilised from urine and faeces deposited on pasture","kg N","Calculated from 4.2.1.5 (2)";"EF_N2O","nitrous oxide emission factor for atmospheric deposition","kg N2O-N/kg N","Constant";"C_N2O","factor to convert elemental mass of N2O to molecular mass","","Constant";"j","production system","","Input";"i","irrigation method","","Input";"r","rainfall zone","","Input"}, _xlpm.r, _xlpm.c))))</definedName>
    <definedName name="MMS_PastureBeef_Soil_AtmosphericDeposition_Equations.VEERG_4_2_1_5__1_AtmosphericDepositionEmissionsFromUrineAndDungOnPasture_LatexEquation">_xlfn.LAMBDA("E_{N2O,ad}=M_{vol}\times EF_{N2O}\times C_{N2O}\times 10^{-3}")</definedName>
    <definedName name="MMS_PastureBeef_Soil_AtmosphericDeposition_Equations.VEERG_4_2_1_5__1_AtmosphericDepositionEmissionsFromUrineAndDungOnPasture_NIRReference">_xlfn.LAMBDA("")</definedName>
    <definedName name="MMS_PastureBeef_Soil_AtmosphericDeposition_Equations.VEERG_4_2_1_5__1_AtmosphericDepositionEmissionsFromUrineAndDungOnPasture_Source">_xlfn.LAMBDA("VEERG 2026: 4.2.1.5, Equation (1)")</definedName>
    <definedName name="MMS_PastureBeef_Soil_AtmosphericDeposition_Equations.VEERG_4_2_1_5__1_AtmosphericDepositionEmissionsFromUrineAndDungOnPasture_Title">_xlfn.LAMBDA("Atmospheric deposition emissions from urine and dung deposited on pasture")</definedName>
    <definedName name="MMS_PastureBeef_Soil_AtmosphericDeposition_Equations.VEERG_4_2_1_5__1_AtmosphericDepositionEmissionsFromUrineAndDungOnPasture_Unit">_xlfn.LAMBDA("t N2O")</definedName>
    <definedName name="MMS_PastureBeef_Soil_AtmosphericDeposition_Equations.VEERG_4_2_1_5__1_AtmosphericDepositionEmissionsFromUrineAndDungOnPasture_Variable">_xlfn.LAMBDA("E_N2Oad")</definedName>
    <definedName name="MMS_PastureBeef_Soil_AtmosphericDeposition_Equations.VEERG_4_2_1_5__2_MassOfNitrogenVolatilisedOnPasture">_xlfn.LAMBDA(_xlpm.AE,_xlpm.FracGASMsoil, _xlpm.AE * _xlpm.FracGASMsoil)</definedName>
    <definedName name="MMS_PastureBeef_Soil_AtmosphericDeposition_Equations.VEERG_4_2_1_5__2_MassOfNitrogenVolatilisedOnPasture_Arguments">_xlfn.LAMBDA(_xlfn.MAKEARRAY(2, 4, _xlfn.LAMBDA(_xlpm.r,_xlpm.c, INDEX({"AE","total mass of nitrogen excreted on PRP for beef cattle","kg N","Calculated from 4.2.1.3 (2)";"FracGASMsoil","fraction of nitrogen volatilised from urine and faeces deposited on pasture ((kg NH3-N + NOx-N)/kg N)","fraction","Constant"}, _xlpm.r, _xlpm.c))))</definedName>
    <definedName name="MMS_PastureBeef_Soil_AtmosphericDeposition_Equations.VEERG_4_2_1_5__2_MassOfNitrogenVolatilisedOnPasture_LatexEquation">_xlfn.LAMBDA("M_{vol}=AE\times FracGASMsoil")</definedName>
    <definedName name="MMS_PastureBeef_Soil_AtmosphericDeposition_Equations.VEERG_4_2_1_5__2_MassOfNitrogenVolatilisedOnPasture_NIRReference">_xlfn.LAMBDA("")</definedName>
    <definedName name="MMS_PastureBeef_Soil_AtmosphericDeposition_Equations.VEERG_4_2_1_5__2_MassOfNitrogenVolatilisedOnPasture_Source">_xlfn.LAMBDA("VEERG 2026: 4.2.1.5, Equation (2)")</definedName>
    <definedName name="MMS_PastureBeef_Soil_AtmosphericDeposition_Equations.VEERG_4_2_1_5__2_MassOfNitrogenVolatilisedOnPasture_Title">_xlfn.LAMBDA("Mass of nitrogen volatilised")</definedName>
    <definedName name="MMS_PastureBeef_Soil_AtmosphericDeposition_Equations.VEERG_4_2_1_5__2_MassOfNitrogenVolatilisedOnPasture_Unit">_xlfn.LAMBDA("kg N")</definedName>
    <definedName name="MMS_PastureBeef_Soil_AtmosphericDeposition_Equations.VEERG_4_2_1_5__2_MassOfNitrogenVolatilisedOnPasture_Variable">_xlfn.LAMBDA("M_vol")</definedName>
    <definedName name="MMS_PastureBeef_Soil_LeachingAndRunoff.VEERG_4_2_1_7__1_LeachingAndRunoffEmissionsFromUrineAndDungOnPasture">_xlfn.LAMBDA(_xlpm.M_leach,_xlpm.EF_leach,_xlpm.C_N2O, _xlpm.M_leach * _xlpm.EF_leach * _xlpm.C_N2O * 10 ^ -3)</definedName>
    <definedName name="MMS_PastureBeef_Soil_LeachingAndRunoff.VEERG_4_2_1_7__1_LeachingAndRunoffEmissionsFromUrineAndDungOnPasture_Arguments">_xlfn.LAMBDA(_xlfn.MAKEARRAY(3, 4, _xlfn.LAMBDA(_xlpm.r,_xlpm.c, INDEX({"M_leach","mass of nitrogen lost to leaching and runoff","kg N","Calculated from 4.2.1.7 (2)";"EF_leach","emission factor for leaching and runoff","kg N2O-N/kg N","Constant";"C_N2O","factor to convert elemental mass of N2O to molecular mass","","Constant"}, _xlpm.r, _xlpm.c))))</definedName>
    <definedName name="MMS_PastureBeef_Soil_LeachingAndRunoff.VEERG_4_2_1_7__1_LeachingAndRunoffEmissionsFromUrineAndDungOnPasture_LatexEquation">_xlfn.LAMBDA("E_{N2O,leach}=M_{leach}\times EF_{leach}\times C_{N2O}\times 10^{-3}")</definedName>
    <definedName name="MMS_PastureBeef_Soil_LeachingAndRunoff.VEERG_4_2_1_7__1_LeachingAndRunoffEmissionsFromUrineAndDungOnPasture_NIRReference">_xlfn.LAMBDA("")</definedName>
    <definedName name="MMS_PastureBeef_Soil_LeachingAndRunoff.VEERG_4_2_1_7__1_LeachingAndRunoffEmissionsFromUrineAndDungOnPasture_Source">_xlfn.LAMBDA("VEERG 2026: 4.2.1.7, Equation (1)")</definedName>
    <definedName name="MMS_PastureBeef_Soil_LeachingAndRunoff.VEERG_4_2_1_7__1_LeachingAndRunoffEmissionsFromUrineAndDungOnPasture_Title">_xlfn.LAMBDA("Leaching and runoff emissions from urine and dung deposited on pasture")</definedName>
    <definedName name="MMS_PastureBeef_Soil_LeachingAndRunoff.VEERG_4_2_1_7__1_LeachingAndRunoffEmissionsFromUrineAndDungOnPasture_Unit">_xlfn.LAMBDA("t N2O")</definedName>
    <definedName name="MMS_PastureBeef_Soil_LeachingAndRunoff.VEERG_4_2_1_7__1_LeachingAndRunoffEmissionsFromUrineAndDungOnPasture_Variable">_xlfn.LAMBDA("E_N2Oleach")</definedName>
    <definedName name="MMS_PastureBeef_Soil_LeachingAndRunoff.VEERG_4_2_1_7__2_MassOfNitrogenLostToLeachingAndRunoffOnPasture">_xlfn.LAMBDA(_xlpm.AE,_xlpm.FracWet,_xlpm.FracLEACH, _xlpm.AE * _xlpm.FracWet * _xlpm.FracLEACH)</definedName>
    <definedName name="MMS_PastureBeef_Soil_LeachingAndRunoff.VEERG_4_2_1_7__2_MassOfNitrogenLostToLeachingAndRunoffOnPasture_Arguments">_xlfn.LAMBDA(_xlfn.MAKEARRAY(6, 4, _xlfn.LAMBDA(_xlpm.r,_xlpm.c, INDEX({"AE","total mass of nitrogen excreted on PRP for beef cattle","kg N","Calculated from 4.2.1.3 (2)";"FracWet","fraction of N available for leaching and runoff","fraction","Constant";"FracLEACH","fraction of all N that is lost through leaching and runoff","fraction","Constant";"z","location in leaching zone","","Input";"j","production system","","Input";"ir","irrigation method","","Input"}, _xlpm.r, _xlpm.c))))</definedName>
    <definedName name="MMS_PastureBeef_Soil_LeachingAndRunoff.VEERG_4_2_1_7__2_MassOfNitrogenLostToLeachingAndRunoffOnPasture_LatexEquation">_xlfn.LAMBDA("M_{leach}=AE\times FracWet\times FracLEACH")</definedName>
    <definedName name="MMS_PastureBeef_Soil_LeachingAndRunoff.VEERG_4_2_1_7__2_MassOfNitrogenLostToLeachingAndRunoffOnPasture_NIRReference">_xlfn.LAMBDA("")</definedName>
    <definedName name="MMS_PastureBeef_Soil_LeachingAndRunoff.VEERG_4_2_1_7__2_MassOfNitrogenLostToLeachingAndRunoffOnPasture_Source">_xlfn.LAMBDA("VEERG 2026: 4.2.1.7, Equation (2)")</definedName>
    <definedName name="MMS_PastureBeef_Soil_LeachingAndRunoff.VEERG_4_2_1_7__2_MassOfNitrogenLostToLeachingAndRunoffOnPasture_Title">_xlfn.LAMBDA("Mass of nitrogen lost to leaching and runoff")</definedName>
    <definedName name="MMS_PastureBeef_Soil_LeachingAndRunoff.VEERG_4_2_1_7__2_MassOfNitrogenLostToLeachingAndRunoffOnPasture_Unit">_xlfn.LAMBDA("kg N")</definedName>
    <definedName name="MMS_PastureBeef_Soil_LeachingAndRunoff.VEERG_4_2_1_7__2_MassOfNitrogenLostToLeachingAndRunoffOnPasture_Variable">_xlfn.LAMBDA("M_leach")</definedName>
    <definedName name="MMS_PastureBeef_Soil_N2ODirect_Equations.VEERG_4_2_1_3__1_DirectNitrousOxideEmissionsOnPasture">_xlfn.LAMBDA(_xlpm.AE,_xlpm.EF_PRP,_xlpm.C_N2O, _xlpm.AE * _xlpm.EF_PRP * _xlpm.C_N2O * 10 ^ -3)</definedName>
    <definedName name="MMS_PastureBeef_Soil_N2ODirect_Equations.VEERG_4_2_1_3__1_DirectNitrousOxideEmissionsOnPasture_Arguments">_xlfn.LAMBDA(_xlfn.MAKEARRAY(4, 4, _xlfn.LAMBDA(_xlpm.r,_xlpm.c, INDEX({"AE","total mass of nitrogen excreted on PRP for beef cattle","kg N","Calculated from 4.2.1.3 (2)";"EF_PRP","emission factor for nitrous oxide from urine and dung deposited to soil","kg N2O-N/kg N deposited","Constant";"C_N2O","factor to convert elemental mass of nitrous oxide to molecular mass","","Constant";"z","wet or dry climate zone","","Input"}, _xlpm.r, _xlpm.c))))</definedName>
    <definedName name="MMS_PastureBeef_Soil_N2ODirect_Equations.VEERG_4_2_1_3__1_DirectNitrousOxideEmissionsOnPasture_LatexEquation">_xlfn.LAMBDA("E_{N2O,dir}=AE\times EF_{PRP}\times C_{N2O}\times 10^{-3}")</definedName>
    <definedName name="MMS_PastureBeef_Soil_N2ODirect_Equations.VEERG_4_2_1_3__1_DirectNitrousOxideEmissionsOnPasture_NIRReference">_xlfn.LAMBDA("")</definedName>
    <definedName name="MMS_PastureBeef_Soil_N2ODirect_Equations.VEERG_4_2_1_3__1_DirectNitrousOxideEmissionsOnPasture_Source">_xlfn.LAMBDA("VEERG 2026: 4.2.1.3, Equation (1)")</definedName>
    <definedName name="MMS_PastureBeef_Soil_N2ODirect_Equations.VEERG_4_2_1_3__1_DirectNitrousOxideEmissionsOnPasture_Title">_xlfn.LAMBDA("Total annual direct nitrous oxide emissions from agricultural soils from deposition of urine and dung")</definedName>
    <definedName name="MMS_PastureBeef_Soil_N2ODirect_Equations.VEERG_4_2_1_3__1_DirectNitrousOxideEmissionsOnPasture_Unit">_xlfn.LAMBDA("t N2O")</definedName>
    <definedName name="MMS_PastureBeef_Soil_N2ODirect_Equations.VEERG_4_2_1_3__1_DirectNitrousOxideEmissionsOnPasture_Variable">_xlfn.LAMBDA("E_N2Odir")</definedName>
    <definedName name="MMS_PastureBeef_Soil_N2ODirect_Equations.VEERG_4_2_1_3__2_TotalNitrogenExcretedToPastureRangeAndPaddock">_xlfn.LAMBDA(_xlpm.N_jkl,_xlpm.NE_jkl,_xlpm.D_j, SUM((_xlpm.N_jkl * _xlpm.NE_jkl) * _xlpm.D_j))</definedName>
    <definedName name="MMS_PastureBeef_Soil_N2ODirect_Equations.VEERG_4_2_1_3__2_TotalNitrogenExcretedToPastureRangeAndPaddock_Arguments">_xlfn.LAMBDA(_xlfn.MAKEARRAY(3, 4, _xlfn.LAMBDA(_xlpm.r,_xlpm.c, INDEX({"N_jkl","number of beef cattle by time-period, class and subclass","head","Input";"NE_jkl","nitrogen excreted in each time-period, by each class and subclass","kg N/head/day","Calculated from 4.2.1.3 (3)";"D_j","number of days in each time-period (days)","days","Input"}, _xlpm.r, _xlpm.c))))</definedName>
    <definedName name="MMS_PastureBeef_Soil_N2ODirect_Equations.VEERG_4_2_1_3__2_TotalNitrogenExcretedToPastureRangeAndPaddock_LatexEquation">_xlfn.LAMBDA("AE=\sum_{j}\sum_{k}\sum_{l}(N_{jkl}\times NE_{jkl}\times D_j)")</definedName>
    <definedName name="MMS_PastureBeef_Soil_N2ODirect_Equations.VEERG_4_2_1_3__2_TotalNitrogenExcretedToPastureRangeAndPaddock_NIRReference">_xlfn.LAMBDA("")</definedName>
    <definedName name="MMS_PastureBeef_Soil_N2ODirect_Equations.VEERG_4_2_1_3__2_TotalNitrogenExcretedToPastureRangeAndPaddock_Source">_xlfn.LAMBDA("VEERG 2026: 4.2.1.3, Equation (2)")</definedName>
    <definedName name="MMS_PastureBeef_Soil_N2ODirect_Equations.VEERG_4_2_1_3__2_TotalNitrogenExcretedToPastureRangeAndPaddock_Title">_xlfn.LAMBDA("Total nitrogen excreted to pasture, range and paddock")</definedName>
    <definedName name="MMS_PastureBeef_Soil_N2ODirect_Equations.VEERG_4_2_1_3__2_TotalNitrogenExcretedToPastureRangeAndPaddock_Unit">_xlfn.LAMBDA("kg N")</definedName>
    <definedName name="MMS_PastureBeef_Soil_N2ODirect_Equations.VEERG_4_2_1_3__2_TotalNitrogenExcretedToPastureRangeAndPaddock_Variable">_xlfn.LAMBDA("AE")</definedName>
    <definedName name="MMS_PastureBeef_Soil_N2ODirect_Equations.VEERG_4_2_1_3__3_NitrogenExcreted">_xlfn.LAMBDA(_xlpm.I_jkl,_xlpm.CP_j,_xlpm.MC_jk136,_xlpm.NR_jkl,_xlpm.W_jkl, ((_xlpm.I_jkl * _xlpm.CP_j) / 6.25) + ((0.032 * _xlpm.MC_jk136) / 6.38) - _xlpm.NR_jkl - ((1.1 * 10 ^ -4 * _xlpm.W_jkl ^ 0.75) / 6.25))</definedName>
    <definedName name="MMS_PastureBeef_Soil_N2ODirect_Equations.VEERG_4_2_1_3__3_NitrogenExcreted_Arguments">_xlfn.LAMBDA(_xlfn.MAKEARRAY(7, 4, _xlfn.LAMBDA(_xlpm.r,_xlpm.c, INDEX({"I_jkl","dry matter intake as calculated in Chapter 3 Section 3.2.1 (kg DM/head/day)","kg DM/head/day","Calculated from 3.2.1.1 (3)";"CP_j","crude protein content of dry matter intake","fraction","Input";"MC_jk136","milk intake (kg/head/day)","kg/head/day","Constant";"NR_jkl","the amount of nitrogen retained by the body (kg N/head/day)","kg N/head/day","Calculated from 4.2.1.3 (4)";"W_jkl","liveweight (kg/head)","kg/head","Input";"b","breed of cattle","","Input";"s","Calving season","","Input"}, _xlpm.r, _xlpm.c))))</definedName>
    <definedName name="MMS_PastureBeef_Soil_N2ODirect_Equations.VEERG_4_2_1_3__3_NitrogenExcreted_LatexEquation">_xlfn.LAMBDA("NE_{jkl}= (I_{jkl}\times CP_j \div 6.25)  + (0.032\times MC_{jk=1,3,6} \div 6.38)  - NR_{jkl} - \left[ (1.1\times 10^{-4}\times W_{jkl}^{0.75}) \div  6.25 \right]")</definedName>
    <definedName name="MMS_PastureBeef_Soil_N2ODirect_Equations.VEERG_4_2_1_3__3_NitrogenExcreted_NIRReference">_xlfn.LAMBDA("")</definedName>
    <definedName name="MMS_PastureBeef_Soil_N2ODirect_Equations.VEERG_4_2_1_3__3_NitrogenExcreted_Source">_xlfn.LAMBDA("VEERG 2026: 4.2.1.3, Equation (3)")</definedName>
    <definedName name="MMS_PastureBeef_Soil_N2ODirect_Equations.VEERG_4_2_1_3__3_NitrogenExcreted_Title">_xlfn.LAMBDA("Nitrogen excreted")</definedName>
    <definedName name="MMS_PastureBeef_Soil_N2ODirect_Equations.VEERG_4_2_1_3__3_NitrogenExcreted_Unit">_xlfn.LAMBDA("kg N/head/day")</definedName>
    <definedName name="MMS_PastureBeef_Soil_N2ODirect_Equations.VEERG_4_2_1_3__3_NitrogenExcreted_Variable">_xlfn.LAMBDA("NE_jkl")</definedName>
    <definedName name="MMS_PastureBeef_Soil_N2ODirect_Equations.VEERG_4_2_1_3__4_NitrogenRetainedByBody">_xlfn.LAMBDA(_xlpm.MP_jk5,_xlpm.L_jkl,_xlpm.Z_jkl,_xlpm.LWG_jkl,
    ((0.032 * _xlpm.MP_jk5) / 6.38) + (((0.212 - 0.008 * (_xlpm.L_jkl - 2) - ((0.14 - 0.008 * (_xlpm.L_jkl - 2)) / (1 + EXP(-6 * (_xlpm.Z_jkl - 0.4))))) * (_xlpm.LWG_jkl * 0.92)) / 6.25)
  )</definedName>
    <definedName name="MMS_PastureBeef_Soil_N2ODirect_Equations.VEERG_4_2_1_3__4_NitrogenRetainedByBody_Arguments">_xlfn.LAMBDA(_xlfn.MAKEARRAY(4, 4, _xlfn.LAMBDA(_xlpm.r,_xlpm.c, INDEX({"MP_jk5","milk production (kg/head/day)","kg/head/day","Calculated from 4.2.1.3 (5)";"L_jkl","intake relative to that needed for maintenance","","Calculated from 4.2.1.3 (6)";"Z_jkl","relative size","","Calculated from 4.2.1.3 (7)";"LWG_jkl","liveweight gain (kg/head/day)","kg/head/day","Input"}, _xlpm.r, _xlpm.c))))</definedName>
    <definedName name="MMS_PastureBeef_Soil_N2ODirect_Equations.VEERG_4_2_1_3__4_NitrogenRetainedByBody_LatexEquation">_xlfn.LAMBDA("NR_{jkl}=(0.032 \times MP_{jk=5} \div 6.38) + \left { \left { 0.212 - 0.008 \times (L_{jkl} -2) - \left[ \frac{0.140-0.008 \times (L_{jkl} - 2)}{1+e^{(-6 \times (Z_{jkl}-0.4))}} \right] \right} \times (LWG_{jkl} \times 0.92) \right} \div 6.25")</definedName>
    <definedName name="MMS_PastureBeef_Soil_N2ODirect_Equations.VEERG_4_2_1_3__4_NitrogenRetainedByBody_NIRReference">_xlfn.LAMBDA("")</definedName>
    <definedName name="MMS_PastureBeef_Soil_N2ODirect_Equations.VEERG_4_2_1_3__4_NitrogenRetainedByBody_Source">_xlfn.LAMBDA("VEERG 2026: 4.2.1.3, Equation (4)")</definedName>
    <definedName name="MMS_PastureBeef_Soil_N2ODirect_Equations.VEERG_4_2_1_3__4_NitrogenRetainedByBody_Title">_xlfn.LAMBDA("Amount of nitrogen retained by the body")</definedName>
    <definedName name="MMS_PastureBeef_Soil_N2ODirect_Equations.VEERG_4_2_1_3__4_NitrogenRetainedByBody_Unit">_xlfn.LAMBDA("kg N/head/day")</definedName>
    <definedName name="MMS_PastureBeef_Soil_N2ODirect_Equations.VEERG_4_2_1_3__4_NitrogenRetainedByBody_Variable">_xlfn.LAMBDA("NR_jkl")</definedName>
    <definedName name="MMS_PastureBeef_Soil_N2ODirect_Equations.VEERG_4_2_1_3__5_MilkProductionForCalvingSeason">_xlfn.LAMBDA(_xlpm.LC_jk5,_xlpm.DMP_jk5, _xlpm.LC_jk5 * _xlpm.DMP_jk5)</definedName>
    <definedName name="MMS_PastureBeef_Soil_N2ODirect_Equations.VEERG_4_2_1_3__5_MilkProductionForCalvingSeason_Arguments">_xlfn.LAMBDA(_xlfn.MAKEARRAY(3, 4, _xlfn.LAMBDA(_xlpm.r,_xlpm.c, INDEX({"LC_jk5","proportion of cows greater than 2 years lactating for the season of calving and season after calving expressed as a fraction","fraction","Input";"DMP_jk5","daily milk production (kg/head/day)","kg/head/day","Constant";"b","breed of cattle","","Input"}, _xlpm.r, _xlpm.c))))</definedName>
    <definedName name="MMS_PastureBeef_Soil_N2ODirect_Equations.VEERG_4_2_1_3__5_MilkProductionForCalvingSeason_ArgumentsVariation">_xlfn.LAMBDA(_xlfn.MAKEARRAY(5, 4, _xlfn.LAMBDA(_xlpm.r,_xlpm.c, INDEX({"LC_jk5curr","proportion of cows greater than 2 years lactating for the season of calving","fraction","Input";"LC_jk5prev","proportion of cows greater than 2 years lactating for the season after calving","fraction","Input";"DMP_jk5calv","daily milk production for the season of calving (kg/head/day)","kg/head/day","Constant";"DMP_jk5after","daily milk production for the season after calving (kg/head/day)","kg/head/day","Constant";"b","breed of cattle","","Input"}, _xlpm.r, _xlpm.c))))</definedName>
    <definedName name="MMS_PastureBeef_Soil_N2ODirect_Equations.VEERG_4_2_1_3__5_MilkProductionForCalvingSeason_LatexEquation">_xlfn.LAMBDA("MP_{jk=5}=LC_{jk=5}\times DMP_{jk=5}")</definedName>
    <definedName name="MMS_PastureBeef_Soil_N2ODirect_Equations.VEERG_4_2_1_3__5_MilkProductionForCalvingSeason_LatexEquationVariation">_xlfn.LAMBDA("MP_{jk=5}=(LC_{jk=5,current}\times DMP_{jk=5,calv})+(LC_{jk=5,prev}\times DMP_{jk=5,after})")</definedName>
    <definedName name="MMS_PastureBeef_Soil_N2ODirect_Equations.VEERG_4_2_1_3__5_MilkProductionForCalvingSeason_NIRReference">_xlfn.LAMBDA("")</definedName>
    <definedName name="MMS_PastureBeef_Soil_N2ODirect_Equations.VEERG_4_2_1_3__5_MilkProductionForCalvingSeason_Source">_xlfn.LAMBDA("VEERG 2026: 4.2.1.3, Equation (5)")</definedName>
    <definedName name="MMS_PastureBeef_Soil_N2ODirect_Equations.VEERG_4_2_1_3__5_MilkProductionForCalvingSeason_Title">_xlfn.LAMBDA("Milk production for the season of calving and season after calving")</definedName>
    <definedName name="MMS_PastureBeef_Soil_N2ODirect_Equations.VEERG_4_2_1_3__5_MilkProductionForCalvingSeason_Unit">_xlfn.LAMBDA("kg/head/day")</definedName>
    <definedName name="MMS_PastureBeef_Soil_N2ODirect_Equations.VEERG_4_2_1_3__5_MilkProductionForCalvingSeason_Variable">_xlfn.LAMBDA("MP_jk5")</definedName>
    <definedName name="MMS_PastureBeef_Soil_N2ODirect_Equations.VEERG_4_2_1_3__5_MilkProductionForCalvingSeason_Variation">_xlfn.LAMBDA("VARIATION ON SOURCE: Split LC and DMP into calving season and after calving season values.")</definedName>
    <definedName name="MMS_PastureBeef_Soil_N2ODirect_Equations.VEERG_4_2_1_3__5_MilkProductionForCalvingSeasonVariation">_xlfn.LAMBDA(_xlpm.LC_jk5curr,_xlpm.LC_jk5prev,_xlpm.DMP_jk5calv,_xlpm.DMP_jk5after, (_xlpm.LC_jk5curr * _xlpm.DMP_jk5calv) + (_xlpm.LC_jk5prev * _xlpm.DMP_jk5after))</definedName>
    <definedName name="MMS_PastureBeef_Soil_N2ODirect_Equations.VEERG_4_2_1_3__6_IntakeRelativeToMaintenance">_xlfn.LAMBDA(_xlpm.I_jkl,_xlpm.W_jkl, _xlpm.I_jkl / ((1.185 + 0.00454 * _xlpm.W_jkl - 0.0000026 * _xlpm.W_jkl ^ 2) ^ 2))</definedName>
    <definedName name="MMS_PastureBeef_Soil_N2ODirect_Equations.VEERG_4_2_1_3__6_IntakeRelativeToMaintenance_Arguments">_xlfn.LAMBDA(_xlfn.MAKEARRAY(2, 4, _xlfn.LAMBDA(_xlpm.r,_xlpm.c, INDEX({"I_jkl","dry matter intake as calculated in Chapter 3 Section 3.2.1 (kg DM/head/day)","kg DM/head/day","Calculated from 3.2.1.1 (3)";"W_jkl","liveweight (kg/head)","kg/head","Input"}, _xlpm.r, _xlpm.c))))</definedName>
    <definedName name="MMS_PastureBeef_Soil_N2ODirect_Equations.VEERG_4_2_1_3__6_IntakeRelativeToMaintenance_LatexEquation">_xlfn.LAMBDA("L_{jkl}=\frac{I_{jkl}}{(1.185+0.00454\times W_{jkl}-0.0000026\times W_{jkl}^{2})^{2}}")</definedName>
    <definedName name="MMS_PastureBeef_Soil_N2ODirect_Equations.VEERG_4_2_1_3__6_IntakeRelativeToMaintenance_NIRReference">_xlfn.LAMBDA("")</definedName>
    <definedName name="MMS_PastureBeef_Soil_N2ODirect_Equations.VEERG_4_2_1_3__6_IntakeRelativeToMaintenance_Source">_xlfn.LAMBDA("VEERG 2026: 4.2.1.3, Equation (6)")</definedName>
    <definedName name="MMS_PastureBeef_Soil_N2ODirect_Equations.VEERG_4_2_1_3__6_IntakeRelativeToMaintenance_Title">_xlfn.LAMBDA("Intake relative to that needed for maintenance")</definedName>
    <definedName name="MMS_PastureBeef_Soil_N2ODirect_Equations.VEERG_4_2_1_3__6_IntakeRelativeToMaintenance_Unit">_xlfn.LAMBDA("ratio")</definedName>
    <definedName name="MMS_PastureBeef_Soil_N2ODirect_Equations.VEERG_4_2_1_3__6_IntakeRelativeToMaintenance_Variable">_xlfn.LAMBDA("L_jkl")</definedName>
    <definedName name="MMS_PastureBeef_Soil_N2ODirect_Equations.VEERG_4_2_1_3__7_RelativeSize">_xlfn.LAMBDA(_xlpm.W_jkl,_xlpm.SRW_k, _xlpm.W_jkl / _xlpm.SRW_k)</definedName>
    <definedName name="MMS_PastureBeef_Soil_N2ODirect_Equations.VEERG_4_2_1_3__7_RelativeSize_Arguments">_xlfn.LAMBDA(_xlfn.MAKEARRAY(3, 4, _xlfn.LAMBDA(_xlpm.r,_xlpm.c, INDEX({"W_jkl","liveweight (kg)","kg","Input";"SRW_k","standard reference weight (kg)","kg","Constant";"i","state","","Input"}, _xlpm.r, _xlpm.c))))</definedName>
    <definedName name="MMS_PastureBeef_Soil_N2ODirect_Equations.VEERG_4_2_1_3__7_RelativeSize_LatexEquation">_xlfn.LAMBDA("Z_{jkl}=\frac{W_{jkl}}{SRW_k}")</definedName>
    <definedName name="MMS_PastureBeef_Soil_N2ODirect_Equations.VEERG_4_2_1_3__7_RelativeSize_NIRReference">_xlfn.LAMBDA("")</definedName>
    <definedName name="MMS_PastureBeef_Soil_N2ODirect_Equations.VEERG_4_2_1_3__7_RelativeSize_Source">_xlfn.LAMBDA("VEERG 2026: 4.2.1.3, Equation (7)")</definedName>
    <definedName name="MMS_PastureBeef_Soil_N2ODirect_Equations.VEERG_4_2_1_3__7_RelativeSize_Title">_xlfn.LAMBDA("Relative size of the cattle")</definedName>
    <definedName name="MMS_PastureBeef_Soil_N2ODirect_Equations.VEERG_4_2_1_3__7_RelativeSize_Unit">_xlfn.LAMBDA("ratio")</definedName>
    <definedName name="MMS_PastureBeef_Soil_N2ODirect_Equations.VEERG_4_2_1_3__7_RelativeSize_Variable">_xlfn.LAMBDA("Z_jkl")</definedName>
    <definedName name="MMS_Poultry_AtmosphericDeposition_Equations.VEERG_4_6_1_5__1_TotalAnnualAtmosphericDepositionEmissionsFromMMS">_xlfn.LAMBDA(_xlpm.MMS_ATMOS,_xlpm.EF_N2O,_xlpm.C_N2O, (_xlpm.MMS_ATMOS * _xlpm.EF_N2O * _xlpm.C_N2O) * 10 ^ -3)</definedName>
    <definedName name="MMS_Poultry_AtmosphericDeposition_Equations.VEERG_4_6_1_5__1_TotalAnnualAtmosphericDepositionEmissionsFromMMS_Arguments">_xlfn.LAMBDA(_xlfn.MAKEARRAY(6, 4, _xlfn.LAMBDA(_xlpm.r,_xlpm.c, INDEX({"MMS_ATMOS","mass of N volatilised from MMS","kg N","Calculated from 4.6.1.5 (2)";"EF_N2O","nitrous oxide emission factor for atmospheric deposition","kg N2O-N/kg N","Constant";"C_N2O","factor to convert elemental mass of nitrous oxide to molecular mass","ratio","Constant";"j","production system","","Input";"ir","irrigation method","","Input";"r","rainfall region","","Input"}, _xlpm.r, _xlpm.c))))</definedName>
    <definedName name="MMS_Poultry_AtmosphericDeposition_Equations.VEERG_4_6_1_5__1_TotalAnnualAtmosphericDepositionEmissionsFromMMS_LatexEquation">_xlfn.LAMBDA("E_{N2O,ad}=(MMS_{ATMOS}\times EF_{N2O}\times C_{N2O})\times10^{-3}")</definedName>
    <definedName name="MMS_Poultry_AtmosphericDeposition_Equations.VEERG_4_6_1_5__1_TotalAnnualAtmosphericDepositionEmissionsFromMMS_NIRReference">_xlfn.LAMBDA("")</definedName>
    <definedName name="MMS_Poultry_AtmosphericDeposition_Equations.VEERG_4_6_1_5__1_TotalAnnualAtmosphericDepositionEmissionsFromMMS_Source">_xlfn.LAMBDA("VEERG 2026: 4.6.1.5, Equation (1)")</definedName>
    <definedName name="MMS_Poultry_AtmosphericDeposition_Equations.VEERG_4_6_1_5__1_TotalAnnualAtmosphericDepositionEmissionsFromMMS_Title">_xlfn.LAMBDA("Total annual atmospheric deposition emissions from manure management")</definedName>
    <definedName name="MMS_Poultry_AtmosphericDeposition_Equations.VEERG_4_6_1_5__1_TotalAnnualAtmosphericDepositionEmissionsFromMMS_Unit">_xlfn.LAMBDA("t N2O")</definedName>
    <definedName name="MMS_Poultry_AtmosphericDeposition_Equations.VEERG_4_6_1_5__1_TotalAnnualAtmosphericDepositionEmissionsFromMMS_Variable">_xlfn.LAMBDA("E_N2Oad")</definedName>
    <definedName name="MMS_Poultry_AtmosphericDeposition_Equations.VEERG_4_6_1_5__2_TotalNitrogenVolatilisedFromMMS">_xlfn.LAMBDA(_xlpm.MN_jkmT,_xlpm.FracGASM_mT, _xlpm.MN_jkmT * _xlpm.FracGASM_mT)</definedName>
    <definedName name="MMS_Poultry_AtmosphericDeposition_Equations.VEERG_4_6_1_5__2_TotalNitrogenVolatilisedFromMMS_Arguments">_xlfn.LAMBDA(_xlfn.MAKEARRAY(2, 4, _xlfn.LAMBDA(_xlpm.r,_xlpm.c, INDEX({"MN_jkmT","nitrogen in each treatment stage MMS (excluding MN_jkm13T2)","kg N","Calculated from 4.6.1.3 (2)(6)";"FracGASM_mT","fraction of N volatilised in each MMS","(kg NH3-N + NOx-N)/kg N","Constant"}, _xlpm.r, _xlpm.c))))</definedName>
    <definedName name="MMS_Poultry_AtmosphericDeposition_Equations.VEERG_4_6_1_5__2_TotalNitrogenVolatilisedFromMMS_LatexEquation">_xlfn.LAMBDA("MMS_{ATMOS}=\sum_{j}\sum_{k}\sum_{m}\sum_{T}(MN_{jkmT}\times FracGASM_{mT})")</definedName>
    <definedName name="MMS_Poultry_AtmosphericDeposition_Equations.VEERG_4_6_1_5__2_TotalNitrogenVolatilisedFromMMS_NIRReference">_xlfn.LAMBDA("")</definedName>
    <definedName name="MMS_Poultry_AtmosphericDeposition_Equations.VEERG_4_6_1_5__2_TotalNitrogenVolatilisedFromMMS_Source">_xlfn.LAMBDA("VEERG 2026: 4.6.1.5, Equation (2)")</definedName>
    <definedName name="MMS_Poultry_AtmosphericDeposition_Equations.VEERG_4_6_1_5__2_TotalNitrogenVolatilisedFromMMS_Title">_xlfn.LAMBDA("Total nitrogen volatilised from manure management systems")</definedName>
    <definedName name="MMS_Poultry_AtmosphericDeposition_Equations.VEERG_4_6_1_5__2_TotalNitrogenVolatilisedFromMMS_Unit">_xlfn.LAMBDA("kg N")</definedName>
    <definedName name="MMS_Poultry_AtmosphericDeposition_Equations.VEERG_4_6_1_5__2_TotalNitrogenVolatilisedFromMMS_Variable">_xlfn.LAMBDA("MMS_ATMOS")</definedName>
    <definedName name="MMS_Poultry_LeachingAndRunoff_Equations.VEERG_4_6_1_7__1_AnnualEmissionsFromLeachingAndRunoffFromMMS">_xlfn.LAMBDA(_xlpm.MNLeach_jkm4,_xlpm.EF_leach,_xlpm.C_N2O, (_xlpm.MNLeach_jkm4 * _xlpm.EF_leach * _xlpm.C_N2O) * 10 ^ -3)</definedName>
    <definedName name="MMS_Poultry_LeachingAndRunoff_Equations.VEERG_4_6_1_7__1_AnnualEmissionsFromLeachingAndRunoffFromMMS_Arguments">_xlfn.LAMBDA(_xlfn.MAKEARRAY(3, 4, _xlfn.LAMBDA(_xlpm.r,_xlpm.c, INDEX({"MNLeach_jkm4","mass of N lost through leaching and runoff from each MMS","kg N","Calculated from 4.6.1.7 (2)";"EF_leach","emission factor for leaching and runoff","kg N2O-N/kg N","Constant";"C_N2O","factor to convert elemental mass of N2O to molecular mass","ratio","Constant"}, _xlpm.r, _xlpm.c))))</definedName>
    <definedName name="MMS_Poultry_LeachingAndRunoff_Equations.VEERG_4_6_1_7__1_AnnualEmissionsFromLeachingAndRunoffFromMMS_LatexEquation">_xlfn.LAMBDA("E_{N2O,leach}=MNLeach_{jkm=4}\times EF_{leach}\times C_{N2O}\times10^{-3}")</definedName>
    <definedName name="MMS_Poultry_LeachingAndRunoff_Equations.VEERG_4_6_1_7__1_AnnualEmissionsFromLeachingAndRunoffFromMMS_NIRReference">_xlfn.LAMBDA("")</definedName>
    <definedName name="MMS_Poultry_LeachingAndRunoff_Equations.VEERG_4_6_1_7__1_AnnualEmissionsFromLeachingAndRunoffFromMMS_Source">_xlfn.LAMBDA("VEERG 2026: 4.6.1.7, Equation (1)")</definedName>
    <definedName name="MMS_Poultry_LeachingAndRunoff_Equations.VEERG_4_6_1_7__1_AnnualEmissionsFromLeachingAndRunoffFromMMS_Title">_xlfn.LAMBDA("Annual emissions from leaching and runoff from each MMS")</definedName>
    <definedName name="MMS_Poultry_LeachingAndRunoff_Equations.VEERG_4_6_1_7__1_AnnualEmissionsFromLeachingAndRunoffFromMMS_Unit">_xlfn.LAMBDA("t N2O")</definedName>
    <definedName name="MMS_Poultry_LeachingAndRunoff_Equations.VEERG_4_6_1_7__1_AnnualEmissionsFromLeachingAndRunoffFromMMS_Variable">_xlfn.LAMBDA("E_N2Oleach")</definedName>
    <definedName name="MMS_Poultry_LeachingAndRunoff_Equations.VEERG_4_6_1_7__2_MassOfNitrogenLostToLeachingAndRunoffFromSolidStorage">_xlfn.LAMBDA(_xlpm.MN_jkm4T2,_xlpm.FracWET,_xlpm.FracLEACH_MS, _xlpm.MN_jkm4T2 * _xlpm.FracWET * _xlpm.FracLEACH_MS)</definedName>
    <definedName name="MMS_Poultry_LeachingAndRunoff_Equations.VEERG_4_6_1_7__2_MassOfNitrogenLostToLeachingAndRunoffFromSolidStorage_Arguments">_xlfn.LAMBDA(_xlfn.MAKEARRAY(6, 4, _xlfn.LAMBDA(_xlpm.r,_xlpm.c, INDEX({"MN_jkm4T2","nitrogen in solid storage MMS treatment stage 2","kg N","Calculated from 4.6.1.3 (6)";"FracWET","fraction of N available for leaching and runoff","fraction","Constant";"FracLEACH_MS","fraction of N lost through leaching and runoff","fraction","Constant";"z","location in leaching zone","","Input";"j","production system","","Input";"ir","irrigation method","","Input"}, _xlpm.r, _xlpm.c))))</definedName>
    <definedName name="MMS_Poultry_LeachingAndRunoff_Equations.VEERG_4_6_1_7__2_MassOfNitrogenLostToLeachingAndRunoffFromSolidStorage_LatexEquation">_xlfn.LAMBDA("MNLeach_{jkm=4}=MN_{jkm=4,T=2}\times FracWET\times FracLEACH_{MS}")</definedName>
    <definedName name="MMS_Poultry_LeachingAndRunoff_Equations.VEERG_4_6_1_7__2_MassOfNitrogenLostToLeachingAndRunoffFromSolidStorage_NIRReference">_xlfn.LAMBDA("")</definedName>
    <definedName name="MMS_Poultry_LeachingAndRunoff_Equations.VEERG_4_6_1_7__2_MassOfNitrogenLostToLeachingAndRunoffFromSolidStorage_Source">_xlfn.LAMBDA("VEERG 2026: 4.6.1.7, Equation (2)")</definedName>
    <definedName name="MMS_Poultry_LeachingAndRunoff_Equations.VEERG_4_6_1_7__2_MassOfNitrogenLostToLeachingAndRunoffFromSolidStorage_Title">_xlfn.LAMBDA("Mass of nitrogen lost to leaching and runoff from solid storage systems")</definedName>
    <definedName name="MMS_Poultry_LeachingAndRunoff_Equations.VEERG_4_6_1_7__2_MassOfNitrogenLostToLeachingAndRunoffFromSolidStorage_Unit">_xlfn.LAMBDA("kg N")</definedName>
    <definedName name="MMS_Poultry_LeachingAndRunoff_Equations.VEERG_4_6_1_7__2_MassOfNitrogenLostToLeachingAndRunoffFromSolidStorage_Variable">_xlfn.LAMBDA("MNLeach_jkm4")</definedName>
    <definedName name="MMS_Poultry_ManureAppliedToSoils_Equations.VEERG_4_6_1_9__1_MassOfNitrogenAppliedToSoilsScope1">_xlfn.LAMBDA(_xlpm.MN_jmT2,_xlpm.EF_mT2,_xlpm.FracGASM_mT2,_xlpm.MNLeach_MMS,_xlpm.PF, (_xlpm.MN_jmT2 * (1 - _xlpm.EF_mT2 - _xlpm.FracGASM_mT2) - _xlpm.MNLeach_MMS) * _xlpm.PF)</definedName>
    <definedName name="MMS_Poultry_ManureAppliedToSoils_Equations.VEERG_4_6_1_9__1_MassOfNitrogenAppliedToSoilsScope1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1_MassOfNitrogenAppliedToSoilsScope1_LatexEquation">_xlfn.LAMBDA("MNSoil_{scope1}=\sum_{j}\sum_{m}(MN_{jm,T=2}\times(1-EF_{mT=2}-FracGASM_{mT=2})-MNLeach_{MMS})\times PF")</definedName>
    <definedName name="MMS_Poultry_ManureAppliedToSoils_Equations.VEERG_4_6_1_9__1_MassOfNitrogenAppliedToSoilsScope1_NIRReference">_xlfn.LAMBDA("")</definedName>
    <definedName name="MMS_Poultry_ManureAppliedToSoils_Equations.VEERG_4_6_1_9__1_MassOfNitrogenAppliedToSoilsScope1_Source">_xlfn.LAMBDA("VEERG 2026: 4.6.1.9, Equation (1)")</definedName>
    <definedName name="MMS_Poultry_ManureAppliedToSoils_Equations.VEERG_4_6_1_9__1_MassOfNitrogenAppliedToSoilsScope1_Title">_xlfn.LAMBDA("Mass of nitrogen applied to soils for scope 1 emissions")</definedName>
    <definedName name="MMS_Poultry_ManureAppliedToSoils_Equations.VEERG_4_6_1_9__1_MassOfNitrogenAppliedToSoilsScope1_Unit">_xlfn.LAMBDA("kg N")</definedName>
    <definedName name="MMS_Poultry_ManureAppliedToSoils_Equations.VEERG_4_6_1_9__1_MassOfNitrogenAppliedToSoilsScope1_Variable">_xlfn.LAMBDA("MNSoil_scope1")</definedName>
    <definedName name="MMS_Poultry_ManureAppliedToSoils_Equations.VEERG_4_6_1_9__2_MassOfNitrogenAppliedToSoilsScope3">_xlfn.LAMBDA(_xlpm.MN_jmT2,_xlpm.EF_mT2,_xlpm.FracGASM_mT2,_xlpm.MNLeach_MMS,_xlpm.PF, (_xlpm.MN_jmT2 * (1 - _xlpm.EF_mT2 - _xlpm.FracGASM_mT2) - _xlpm.MNLeach_MMS) * (1 - _xlpm.PF))</definedName>
    <definedName name="MMS_Poultry_ManureAppliedToSoils_Equations.VEERG_4_6_1_9__2_MassOfNitrogenAppliedToSoilsScope3_Arguments">_xlfn.LAMBDA(_xlfn.MAKEARRAY(5, 4, _xlfn.LAMBDA(_xlpm.r,_xlpm.c, INDEX({"MN_jmT2","mass of N in secondary treatment stage as calculated for manure management","kg N","Calculated from 4.6.1.3 (6)";"EF_mT2","nitrous oxide emission factor for each MMS","kg N2O-N/kg N","Constant";"FracGASM_mT2","fraction of animal waste N volatilised in each MMS","(kg NH3-N + NOx-N)/kg N","Constant";"MNLeach_MMS","mass of N lost through leaching and runoff from MMS","kg N","Calculated from 4.6.1.7 (2)";"PF","fraction of manure applied to soil within the farm boundary","fraction","Input"}, _xlpm.r, _xlpm.c))))</definedName>
    <definedName name="MMS_Poultry_ManureAppliedToSoils_Equations.VEERG_4_6_1_9__2_MassOfNitrogenAppliedToSoilsScope3_LatexEquation">_xlfn.LAMBDA("MNSoil_{scope3}=\sum_{j}\sum_{m}(MN_{jm,T=2}\times(1-EF_{mT=2}-FracGASM_{mT=2})-MNLeach_{MMS})\times(1-PF)")</definedName>
    <definedName name="MMS_Poultry_ManureAppliedToSoils_Equations.VEERG_4_6_1_9__2_MassOfNitrogenAppliedToSoilsScope3_NIRReference">_xlfn.LAMBDA("")</definedName>
    <definedName name="MMS_Poultry_ManureAppliedToSoils_Equations.VEERG_4_6_1_9__2_MassOfNitrogenAppliedToSoilsScope3_Source">_xlfn.LAMBDA("VEERG 2026: 4.6.1.9, Equation (2)")</definedName>
    <definedName name="MMS_Poultry_ManureAppliedToSoils_Equations.VEERG_4_6_1_9__2_MassOfNitrogenAppliedToSoilsScope3_Title">_xlfn.LAMBDA("Mass of nitrogen applied to soils for scope 3 emissions")</definedName>
    <definedName name="MMS_Poultry_ManureAppliedToSoils_Equations.VEERG_4_6_1_9__2_MassOfNitrogenAppliedToSoilsScope3_Unit">_xlfn.LAMBDA("kg N")</definedName>
    <definedName name="MMS_Poultry_ManureAppliedToSoils_Equations.VEERG_4_6_1_9__2_MassOfNitrogenAppliedToSoilsScope3_Variable">_xlfn.LAMBDA("MNSoil_scope3")</definedName>
    <definedName name="MMS_Poultry_Methane_Equations.VEERG_4_6_1_1__1_TotalAnnualMethaneEmissions">_xlfn.LAMBDA(_xlpm.D_jk,_xlpm.M_jkmT,_xlpm.N_jk, (_xlpm.D_jk * _xlpm.M_jkmT * _xlpm.N_jk) * 10 ^ -3)</definedName>
    <definedName name="MMS_Poultry_Methane_Equations.VEERG_4_6_1_1__1_TotalAnnualMethaneEmissions_Arguments">_xlfn.LAMBDA(_xlfn.MAKEARRAY(3, 4, _xlfn.LAMBDA(_xlpm.r,_xlpm.c, INDEX({"D_jk","duration of stay of each class and subclass of poultry","days","Input";"M_jkmT","methane production from manure per class, subclass, MMS, and treatment stage","kg CH4/bird/day","Calculated from 4.6.1.1 (2)(3)";"N_jk","numbers of poultry in each class and subclass","birds","Input"}, _xlpm.r, _xlpm.c))))</definedName>
    <definedName name="MMS_Poultry_Methane_Equations.VEERG_4_6_1_1__1_TotalAnnualMethaneEmissions_LatexEquation">_xlfn.LAMBDA("E_{CH4}=\sum_{j}\sum_{k}\sum_{m}\sum_{T}(D_{jk}\times M_{jkmT}\times N_{jk})\times10^{-3}")</definedName>
    <definedName name="MMS_Poultry_Methane_Equations.VEERG_4_6_1_1__1_TotalAnnualMethaneEmissions_NIRReference">_xlfn.LAMBDA("")</definedName>
    <definedName name="MMS_Poultry_Methane_Equations.VEERG_4_6_1_1__1_TotalAnnualMethaneEmissions_Source">_xlfn.LAMBDA("VEERG 2026: 4.4.1.1, Equation (1)")</definedName>
    <definedName name="MMS_Poultry_Methane_Equations.VEERG_4_6_1_1__1_TotalAnnualMethaneEmissions_Title">_xlfn.LAMBDA("Total annual methane emissions from manure management")</definedName>
    <definedName name="MMS_Poultry_Methane_Equations.VEERG_4_6_1_1__1_TotalAnnualMethaneEmissions_Unit">_xlfn.LAMBDA("t CH4")</definedName>
    <definedName name="MMS_Poultry_Methane_Equations.VEERG_4_6_1_1__1_TotalAnnualMethaneEmissions_Variable">_xlfn.LAMBDA("E_CH4")</definedName>
    <definedName name="MMS_Poultry_Methane_Equations.VEERG_4_6_1_1__2_Stage1MethaneProduction">_xlfn.LAMBDA(_xlpm.VS_jk,_xlpm.BO_j,_xlpm.MMS_jmT1,_xlpm.MCF_im,_xlpm.rho, _xlpm.VS_jk * _xlpm.BO_j * _xlpm.MMS_jmT1 * _xlpm.MCF_im * _xlpm.rho)</definedName>
    <definedName name="MMS_Poultry_Methane_Equations.VEERG_4_6_1_1__2_Stage1MethaneProduction_Arguments">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methane","kg/m3","Constant";"i","state","","Input"}, _xlpm.r, _xlpm.c))))</definedName>
    <definedName name="MMS_Poultry_Methane_Equations.VEERG_4_6_1_1__2_Stage1MethaneProduction_Arguments_Method2">_xlfn.LAMBDA(_xlfn.MAKEARRAY(6, 4, _xlfn.LAMBDA(_xlpm.r,_xlpm.c, INDEX({"VS_jk","volatile solid production poultry classes","kg VS/bird/day","Calculated from 4.6.1.1 (5)";"BO_j","emissions potential per class","m3 CH4/kg VS","Constant";"MMS_jmT1","fraction of manure in each primary system","fraction","Input";"MCF_im","methane conversion factor for temperature zone and MMS","fraction","Constant";"rho","density of methane","kg/m3","Constant";"i","mean annual temperature","°C","Input"}, _xlpm.r, _xlpm.c))))</definedName>
    <definedName name="MMS_Poultry_Methane_Equations.VEERG_4_6_1_1__2_Stage1MethaneProduction_LatexEquation">_xlfn.LAMBDA("M_{jkmT=1}=VS_{jk}\times BO_{j}\times MMS_{jmT=1}\times MCF_{im}\times \rho")</definedName>
    <definedName name="MMS_Poultry_Methane_Equations.VEERG_4_6_1_1__2_Stage1MethaneProduction_NIRReference">_xlfn.LAMBDA("")</definedName>
    <definedName name="MMS_Poultry_Methane_Equations.VEERG_4_6_1_1__2_Stage1MethaneProduction_Source">_xlfn.LAMBDA("VEERG 2026: 4.4.1.1, Equation (2)")</definedName>
    <definedName name="MMS_Poultry_Methane_Equations.VEERG_4_6_1_1__2_Stage1MethaneProduction_Title">_xlfn.LAMBDA("Production of methane in treatment stage 1 MMS")</definedName>
    <definedName name="MMS_Poultry_Methane_Equations.VEERG_4_6_1_1__2_Stage1MethaneProduction_Unit">_xlfn.LAMBDA("kg CH4/bird/day")</definedName>
    <definedName name="MMS_Poultry_Methane_Equations.VEERG_4_6_1_1__2_Stage1MethaneProduction_Variable">_xlfn.LAMBDA("M_jkmT1")</definedName>
    <definedName name="MMS_Poultry_Methane_Equations.VEERG_4_6_1_1__2_Stage1MethaneProduction_Variation">_xlfn.LAMBDA(_xlfn.MAKEARRAY(3, 1, _xlfn.LAMBDA(_xlpm.r,_xlpm.c, INDEX({"VARIATION ON SOURCE:";"Used mean annual temperature instead of temperature zone to determine MCF as MCF values are specific to temperature";"Method 2: Used state based MCF values for 'Belt manure removal' and 'Manure stored in house' MMS as no temperature values exist in Table A.1.8.1"}, _xlpm.r, _xlpm.c))))</definedName>
    <definedName name="MMS_Poultry_Methane_Equations.VEERG_4_6_1_1__3_Stage2MethaneProduction">_xlfn.LAMBDA(_xlpm.VST_jk,_xlpm.BO,_xlpm.MMS_jmT2,_xlpm.MCF_im,_xlpm.rho, _xlpm.VST_jk * _xlpm.BO * _xlpm.MMS_jmT2 * _xlpm.MCF_im * _xlpm.rho)</definedName>
    <definedName name="MMS_Poultry_Methane_Equations.VEERG_4_6_1_1__3_Stage2MethaneProduction_Arguments">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methane","kg/m3","Constant";"i","state","","Input"}, _xlpm.r, _xlpm.c))))</definedName>
    <definedName name="MMS_Poultry_Methane_Equations.VEERG_4_6_1_1__3_Stage2MethaneProduction_Arguments_Method2">_xlfn.LAMBDA(_xlfn.MAKEARRAY(6, 4, _xlfn.LAMBDA(_xlpm.r,_xlpm.c, INDEX({"VST_jk","volatile solids transferred to treatment stage 2 MMS","kg VS/bird/day","Calculated from 4.6.1.1 (4)";"BO","emissions potential","m3 CH4/kg VS","Constant";"MMS_jmT2","fraction of manure in each secondary system","fraction","Input";"MCF_im","methane conversion factor for temperature zone and MMS","fraction","Constant";"rho","density of methane","kg/m3","Constant";"i","mean annual temperature","°C","Input"}, _xlpm.r, _xlpm.c))))</definedName>
    <definedName name="MMS_Poultry_Methane_Equations.VEERG_4_6_1_1__3_Stage2MethaneProduction_LatexEquation">_xlfn.LAMBDA("M_{jkmT=2}=VST_{jk}\times BO\times MMS_{jmT=2}\times MCF_{im}\times \rho")</definedName>
    <definedName name="MMS_Poultry_Methane_Equations.VEERG_4_6_1_1__3_Stage2MethaneProduction_NIRReference">_xlfn.LAMBDA("")</definedName>
    <definedName name="MMS_Poultry_Methane_Equations.VEERG_4_6_1_1__3_Stage2MethaneProduction_Source">_xlfn.LAMBDA("VEERG 2026: 4.4.1.1, Equation (3)")</definedName>
    <definedName name="MMS_Poultry_Methane_Equations.VEERG_4_6_1_1__3_Stage2MethaneProduction_Title">_xlfn.LAMBDA("Production of methane in treatment stage 2 MMS")</definedName>
    <definedName name="MMS_Poultry_Methane_Equations.VEERG_4_6_1_1__3_Stage2MethaneProduction_Unit">_xlfn.LAMBDA("kg CH4/bird/day")</definedName>
    <definedName name="MMS_Poultry_Methane_Equations.VEERG_4_6_1_1__3_Stage2MethaneProduction_Variable">_xlfn.LAMBDA("M_jkmT2")</definedName>
    <definedName name="MMS_Poultry_Methane_Equations.VEERG_4_6_1_1__3_Stage2MethaneProduction_Variation">_xlfn.LAMBDA("VARIATION ON SOURCE: Used mean annual temperature instead of temperature zone to determine MCF as MCF values are specific to temperature")</definedName>
    <definedName name="MMS_Poultry_Methane_Equations.VEERG_4_6_1_1__4_VolatileSolidsTransferred">_xlfn.LAMBDA(_xlpm.VS_jk,_xlpm.MMS_jmT1,_xlpm.VSL_mT1, _xlpm.VS_jk * _xlpm.MMS_jmT1 * (1 - _xlpm.VSL_mT1))</definedName>
    <definedName name="MMS_Poultry_Methane_Equations.VEERG_4_6_1_1__4_VolatileSolidsTransferred_Arguments">_xlfn.LAMBDA(_xlfn.MAKEARRAY(3, 4, _xlfn.LAMBDA(_xlpm.r,_xlpm.c, INDEX({"VS_jk","volatile solid production poultry classes","kg VS/bird/day","Calculated from 4.6.1.1 (5)";"MMS_jmT1","fraction of manure in each primary system","fraction","Input";"VSL_mT1","fraction of volatile solids lost during storage in the primary system","fraction","Constant"}, _xlpm.r, _xlpm.c))))</definedName>
    <definedName name="MMS_Poultry_Methane_Equations.VEERG_4_6_1_1__4_VolatileSolidsTransferred_LatexEquation">_xlfn.LAMBDA("VST_{jk}=VS_{jk}\times MMS_{jmT=1}\times (1-VSL_{mT=1})")</definedName>
    <definedName name="MMS_Poultry_Methane_Equations.VEERG_4_6_1_1__4_VolatileSolidsTransferred_NIRReference">_xlfn.LAMBDA("")</definedName>
    <definedName name="MMS_Poultry_Methane_Equations.VEERG_4_6_1_1__4_VolatileSolidsTransferred_Source">_xlfn.LAMBDA("VEERG 2026: 4.4.1.1, Equation (4)")</definedName>
    <definedName name="MMS_Poultry_Methane_Equations.VEERG_4_6_1_1__4_VolatileSolidsTransferred_Title">_xlfn.LAMBDA("Volatile solids transferred to treatment stage 2 MMS")</definedName>
    <definedName name="MMS_Poultry_Methane_Equations.VEERG_4_6_1_1__4_VolatileSolidsTransferred_Unit">_xlfn.LAMBDA("kg VS/bird/day")</definedName>
    <definedName name="MMS_Poultry_Methane_Equations.VEERG_4_6_1_1__4_VolatileSolidsTransferred_Variable">_xlfn.LAMBDA("VST_jk")</definedName>
    <definedName name="MMS_Poultry_Methane_Equations.VEERG_4_6_1_1__5_VolatileSolidProduction">_xlfn.LAMBDA(_xlpm.I_jk,_xlpm.DMD_jk,_xlpm.A_j, _xlpm.I_jk * (1 - _xlpm.DMD_jk) * (1 - _xlpm.A_j))</definedName>
    <definedName name="MMS_Poultry_Methane_Equations.VEERG_4_6_1_1__5_VolatileSolidProduction_Arguments">_xlfn.LAMBDA(_xlfn.MAKEARRAY(3, 4, _xlfn.LAMBDA(_xlpm.r,_xlpm.c, INDEX({"I_jk","dry matter intake for each class and subclass","kg DM/bird/day","Input";"DMD_jk","dry matter digestibility for each class and subclass","fraction","Input";"A_j","ash content of manure for each class and subclass","fraction","Constant"}, _xlpm.r, _xlpm.c))))</definedName>
    <definedName name="MMS_Poultry_Methane_Equations.VEERG_4_6_1_1__5_VolatileSolidProduction_LatexEquation">_xlfn.LAMBDA("VS_{jk}=I_{jk}\times (1-DMD_{jk})\times (1-A_{j})")</definedName>
    <definedName name="MMS_Poultry_Methane_Equations.VEERG_4_6_1_1__5_VolatileSolidProduction_NIRReference">_xlfn.LAMBDA("")</definedName>
    <definedName name="MMS_Poultry_Methane_Equations.VEERG_4_6_1_1__5_VolatileSolidProduction_Source">_xlfn.LAMBDA("VEERG 2026: 4.4.1.1, Equation (5)")</definedName>
    <definedName name="MMS_Poultry_Methane_Equations.VEERG_4_6_1_1__5_VolatileSolidProduction_Title">_xlfn.LAMBDA("Volatile solid production poultry classes")</definedName>
    <definedName name="MMS_Poultry_Methane_Equations.VEERG_4_6_1_1__5_VolatileSolidProduction_Unit">_xlfn.LAMBDA("kg VS/bird/day")</definedName>
    <definedName name="MMS_Poultry_Methane_Equations.VEERG_4_6_1_1__5_VolatileSolidProduction_Variable">_xlfn.LAMBDA("VS_jk")</definedName>
    <definedName name="MMS_Poultry_N2ODirect_Equations.VEERG_4_6_1_3__1_TotalAnnualDirectNitrousOxideEmissionsFromMMS">_xlfn.LAMBDA(_xlpm.MN_jkmT,_xlpm.EF_jm,_xlpm.C_N2O, _xlpm.MN_jkmT * _xlpm.EF_jm * _xlpm.C_N2O * 10 ^ -3)</definedName>
    <definedName name="MMS_Poultry_N2ODirect_Equations.VEERG_4_6_1_3__1_TotalAnnualDirectNitrousOxideEmissionsFromMMS_Arguments">_xlfn.LAMBDA(_xlfn.MAKEARRAY(3, 4, _xlfn.LAMBDA(_xlpm.r,_xlpm.c, INDEX({"MN_jkmT","nitrogen per poultry class, subclass, MMS and treatment stage","kg N","Calculated from 4.6.1.3 (2)(6)";"EF_jm","nitrous oxide emission factor for MMS","kg N2O-N/kg N","Constant";"C_N2O","factor to convert elemental mass of nitrous oxide to molecular mass","ratio","Constant"}, _xlpm.r, _xlpm.c))))</definedName>
    <definedName name="MMS_Poultry_N2ODirect_Equations.VEERG_4_6_1_3__1_TotalAnnualDirectNitrousOxideEmissionsFromMMS_LatexEquation">_xlfn.LAMBDA("E_{N2O,dir}=\sum_{j}\sum_{k}\sum_{m}\sum_{T}(MN_{jkmT}\times EF_{jm}\times C_{N2O})\times10^{-3}")</definedName>
    <definedName name="MMS_Poultry_N2ODirect_Equations.VEERG_4_6_1_3__1_TotalAnnualDirectNitrousOxideEmissionsFromMMS_NIRReference">_xlfn.LAMBDA("")</definedName>
    <definedName name="MMS_Poultry_N2ODirect_Equations.VEERG_4_6_1_3__1_TotalAnnualDirectNitrousOxideEmissionsFromMMS_Source">_xlfn.LAMBDA("VEERG 2026: 4.6.1.3, Equation (1)")</definedName>
    <definedName name="MMS_Poultry_N2ODirect_Equations.VEERG_4_6_1_3__1_TotalAnnualDirectNitrousOxideEmissionsFromMMS_Title">_xlfn.LAMBDA("Total annual direct nitrous oxide emissions from manure management systems")</definedName>
    <definedName name="MMS_Poultry_N2ODirect_Equations.VEERG_4_6_1_3__1_TotalAnnualDirectNitrousOxideEmissionsFromMMS_Unit">_xlfn.LAMBDA("t N2O")</definedName>
    <definedName name="MMS_Poultry_N2ODirect_Equations.VEERG_4_6_1_3__1_TotalAnnualDirectNitrousOxideEmissionsFromMMS_Variable">_xlfn.LAMBDA("E_N2Odir")</definedName>
    <definedName name="MMS_Poultry_N2ODirect_Equations.VEERG_4_6_1_3__2_Stage1NitrogenInMMS">_xlfn.LAMBDA(_xlpm.AE_jk,_xlpm.MMS_jmT1, _xlpm.AE_jk * _xlpm.MMS_jmT1)</definedName>
    <definedName name="MMS_Poultry_N2ODirect_Equations.VEERG_4_6_1_3__2_Stage1NitrogenInMMS_Arguments">_xlfn.LAMBDA(_xlfn.MAKEARRAY(2, 4, _xlfn.LAMBDA(_xlpm.r,_xlpm.c, INDEX({"AE_jk","total nitrogen excreted by each poultry class and subclass","kg N","Calculated from 4.6.1.3 (3)";"MMS_jmT1","fraction of manure in each primary system","fraction","Input"}, _xlpm.r, _xlpm.c))))</definedName>
    <definedName name="MMS_Poultry_N2ODirect_Equations.VEERG_4_6_1_3__2_Stage1NitrogenInMMS_LatexEquation">_xlfn.LAMBDA("MN_{jkm,T=1}=AE_{jk}\times MMS_{jm,T=1}")</definedName>
    <definedName name="MMS_Poultry_N2ODirect_Equations.VEERG_4_6_1_3__2_Stage1NitrogenInMMS_NIRReference">_xlfn.LAMBDA("")</definedName>
    <definedName name="MMS_Poultry_N2ODirect_Equations.VEERG_4_6_1_3__2_Stage1NitrogenInMMS_Source">_xlfn.LAMBDA("VEERG 2026: 4.6.1.3, Equation (2)")</definedName>
    <definedName name="MMS_Poultry_N2ODirect_Equations.VEERG_4_6_1_3__2_Stage1NitrogenInMMS_Title">_xlfn.LAMBDA("Nitrogen in treatment stage 1 MMS")</definedName>
    <definedName name="MMS_Poultry_N2ODirect_Equations.VEERG_4_6_1_3__2_Stage1NitrogenInMMS_Unit">_xlfn.LAMBDA("kg N")</definedName>
    <definedName name="MMS_Poultry_N2ODirect_Equations.VEERG_4_6_1_3__2_Stage1NitrogenInMMS_Variable">_xlfn.LAMBDA("MN_jkmT1")</definedName>
    <definedName name="MMS_Poultry_N2ODirect_Equations.VEERG_4_6_1_3__3_AnnualNitrogenExcretion">_xlfn.LAMBDA(_xlpm.N_jk,_xlpm.NE_jk,_xlpm.D_jk, _xlpm.N_jk * _xlpm.NE_jk * _xlpm.D_jk)</definedName>
    <definedName name="MMS_Poultry_N2ODirect_Equations.VEERG_4_6_1_3__3_AnnualNitrogenExcretion_Arguments">_xlfn.LAMBDA(_xlfn.MAKEARRAY(3, 4, _xlfn.LAMBDA(_xlpm.r,_xlpm.c, INDEX({"N_jk","number of poultry in each class and subclass","bird","Input";"NE_jk","nitrogen excretion","kg N/bird/day","Calculated from 4.6.1.3 (4)";"D_jk","duration of stay of each class and subclass","days","Input"}, _xlpm.r, _xlpm.c))))</definedName>
    <definedName name="MMS_Poultry_N2ODirect_Equations.VEERG_4_6_1_3__3_AnnualNitrogenExcretion_LatexEquation">_xlfn.LAMBDA("AE_{jk}=N_{jk}\times NE_{jk}\times D_{jk}")</definedName>
    <definedName name="MMS_Poultry_N2ODirect_Equations.VEERG_4_6_1_3__3_AnnualNitrogenExcretion_NIRReference">_xlfn.LAMBDA("")</definedName>
    <definedName name="MMS_Poultry_N2ODirect_Equations.VEERG_4_6_1_3__3_AnnualNitrogenExcretion_Source">_xlfn.LAMBDA("VEERG 2026: 4.6.1.3, Equation (3)")</definedName>
    <definedName name="MMS_Poultry_N2ODirect_Equations.VEERG_4_6_1_3__3_AnnualNitrogenExcretion_Title">_xlfn.LAMBDA("Annual nitrogen excretion for each poultry class and subclass")</definedName>
    <definedName name="MMS_Poultry_N2ODirect_Equations.VEERG_4_6_1_3__3_AnnualNitrogenExcretion_Unit">_xlfn.LAMBDA("kg N")</definedName>
    <definedName name="MMS_Poultry_N2ODirect_Equations.VEERG_4_6_1_3__3_AnnualNitrogenExcretion_Variable">_xlfn.LAMBDA("AE_jk")</definedName>
    <definedName name="MMS_Poultry_N2ODirect_Equations.VEERG_4_6_1_3__4_NitrogenExcretionPerBird">_xlfn.LAMBDA(_xlpm.NI_jk,_xlpm.NR_jk, _xlpm.NI_jk * (1 - _xlpm.NR_jk))</definedName>
    <definedName name="MMS_Poultry_N2ODirect_Equations.VEERG_4_6_1_3__4_NitrogenExcretionPerBird_Arguments">_xlfn.LAMBDA(_xlfn.MAKEARRAY(2, 4, _xlfn.LAMBDA(_xlpm.r,_xlpm.c, INDEX({"NI_jk","nitrogen intake","kg N/bird/day","Calculated from 4.6.1.3 (5)";"NR_jk","nitrogen retention expressed as a fraction of intake","fraction","Constant"}, _xlpm.r, _xlpm.c))))</definedName>
    <definedName name="MMS_Poultry_N2ODirect_Equations.VEERG_4_6_1_3__4_NitrogenExcretionPerBird_LatexEquation">_xlfn.LAMBDA("NE_{jk}=NI_{jk}\times(1-NR_{jk})")</definedName>
    <definedName name="MMS_Poultry_N2ODirect_Equations.VEERG_4_6_1_3__4_NitrogenExcretionPerBird_NIRReference">_xlfn.LAMBDA("")</definedName>
    <definedName name="MMS_Poultry_N2ODirect_Equations.VEERG_4_6_1_3__4_NitrogenExcretionPerBird_Source">_xlfn.LAMBDA("VEERG 2026: 4.6.1.3, Equation (4)")</definedName>
    <definedName name="MMS_Poultry_N2ODirect_Equations.VEERG_4_6_1_3__4_NitrogenExcretionPerBird_Title">_xlfn.LAMBDA("Nitrogen excretion per bird per day")</definedName>
    <definedName name="MMS_Poultry_N2ODirect_Equations.VEERG_4_6_1_3__4_NitrogenExcretionPerBird_Unit">_xlfn.LAMBDA("kg N/bird/day")</definedName>
    <definedName name="MMS_Poultry_N2ODirect_Equations.VEERG_4_6_1_3__4_NitrogenExcretionPerBird_Variable">_xlfn.LAMBDA("NE_jk")</definedName>
    <definedName name="MMS_Poultry_N2ODirect_Equations.VEERG_4_6_1_3__5_NitrogenIntake">_xlfn.LAMBDA(_xlpm.I_jk,_xlpm.CP_jk, _xlpm.I_jk * _xlpm.CP_jk / 6.25)</definedName>
    <definedName name="MMS_Poultry_N2ODirect_Equations.VEERG_4_6_1_3__5_NitrogenIntake_Arguments">_xlfn.LAMBDA(_xlfn.MAKEARRAY(3, 4, _xlfn.LAMBDA(_xlpm.r,_xlpm.c, INDEX({"I_jk","dry matter intake for each class and subclass","kg DM/bird/day","Input";"CP_jk","crude protein content of feed","fraction","Input";"6.25","factor for converting crude protein into nitrogen","ratio","Constant"}, _xlpm.r, _xlpm.c))))</definedName>
    <definedName name="MMS_Poultry_N2ODirect_Equations.VEERG_4_6_1_3__5_NitrogenIntake_LatexEquation">_xlfn.LAMBDA("NI_{jk}=I_{jk}\times CP_{jk}\div 6.25")</definedName>
    <definedName name="MMS_Poultry_N2ODirect_Equations.VEERG_4_6_1_3__5_NitrogenIntake_NIRReference">_xlfn.LAMBDA("")</definedName>
    <definedName name="MMS_Poultry_N2ODirect_Equations.VEERG_4_6_1_3__5_NitrogenIntake_Source">_xlfn.LAMBDA("VEERG 2026: 4.6.1.3, Equation (5)")</definedName>
    <definedName name="MMS_Poultry_N2ODirect_Equations.VEERG_4_6_1_3__5_NitrogenIntake_Title">_xlfn.LAMBDA("Nitrogen intake of poultry")</definedName>
    <definedName name="MMS_Poultry_N2ODirect_Equations.VEERG_4_6_1_3__5_NitrogenIntake_Unit">_xlfn.LAMBDA("kg N/bird/day")</definedName>
    <definedName name="MMS_Poultry_N2ODirect_Equations.VEERG_4_6_1_3__5_NitrogenIntake_Variable">_xlfn.LAMBDA("NI_jk")</definedName>
    <definedName name="MMS_Poultry_N2ODirect_Equations.VEERG_4_6_1_3__6_Stage2NitrogenInMMS">_xlfn.LAMBDA(_xlpm.NT_jkmT2,_xlpm.MMS_mT2, _xlpm.NT_jkmT2 * _xlpm.MMS_mT2)</definedName>
    <definedName name="MMS_Poultry_N2ODirect_Equations.VEERG_4_6_1_3__6_Stage2NitrogenInMMS_Arguments">_xlfn.LAMBDA(_xlfn.MAKEARRAY(2, 4, _xlfn.LAMBDA(_xlpm.r,_xlpm.c, INDEX({"NT_jkmT2","nitrogen transferred to secondary treatment MMS","kg N","Calculated from 4.6.1.3 (7)";"MMS_mT2","fraction of manure in each secondary system","fraction","Input"}, _xlpm.r, _xlpm.c))))</definedName>
    <definedName name="MMS_Poultry_N2ODirect_Equations.VEERG_4_6_1_3__6_Stage2NitrogenInMMS_LatexEquation">_xlfn.LAMBDA("MN_{jkm,T=2}=NT_{jkm,T=2}\times MMS_{m,T=2}")</definedName>
    <definedName name="MMS_Poultry_N2ODirect_Equations.VEERG_4_6_1_3__6_Stage2NitrogenInMMS_NIRReference">_xlfn.LAMBDA("")</definedName>
    <definedName name="MMS_Poultry_N2ODirect_Equations.VEERG_4_6_1_3__6_Stage2NitrogenInMMS_Source">_xlfn.LAMBDA("VEERG 2026: 4.6.1.3, Equation (6)")</definedName>
    <definedName name="MMS_Poultry_N2ODirect_Equations.VEERG_4_6_1_3__6_Stage2NitrogenInMMS_Title">_xlfn.LAMBDA("Nitrogen in treatment stage 2 MMS")</definedName>
    <definedName name="MMS_Poultry_N2ODirect_Equations.VEERG_4_6_1_3__6_Stage2NitrogenInMMS_Unit">_xlfn.LAMBDA("kg N")</definedName>
    <definedName name="MMS_Poultry_N2ODirect_Equations.VEERG_4_6_1_3__6_Stage2NitrogenInMMS_Variable">_xlfn.LAMBDA("MN_jkmT2")</definedName>
    <definedName name="MMS_Poultry_N2ODirect_Equations.VEERG_4_6_1_3__7_NitrogenTransferredToStage2MMS">_xlfn.LAMBDA(_xlpm.MN_jkmT1,_xlpm.FracGASM_mT1,_xlpm.EF_mT1, _xlpm.MN_jkmT1 * (1 - _xlpm.FracGASM_mT1 - _xlpm.EF_mT1))</definedName>
    <definedName name="MMS_Poultry_N2ODirect_Equations.VEERG_4_6_1_3__7_NitrogenTransferredToStage2MMS_Arguments">_xlfn.LAMBDA(_xlfn.MAKEARRAY(3, 4, _xlfn.LAMBDA(_xlpm.r,_xlpm.c, INDEX({"MN_jkmT1","nitrogen in MMS treatment stage 1","kg N","Calculated from 4.6.1.3 (6)";"FracGASM_mT1","fraction of N volatilised from MMS treatment at stage 1","fraction","Constant";"EF_mT1","nitrous oxide emission factor for MMS treatment at stage 1","kg N2O-N/kg N","Constant"}, _xlpm.r, _xlpm.c))))</definedName>
    <definedName name="MMS_Poultry_N2ODirect_Equations.VEERG_4_6_1_3__7_NitrogenTransferredToStage2MMS_LatexEquation">_xlfn.LAMBDA("NT_{jkm,T=2}=MN_{jkm,T=1}\times(1-FracGASM_{m,T=1}-EF_{m,T=1})")</definedName>
    <definedName name="MMS_Poultry_N2ODirect_Equations.VEERG_4_6_1_3__7_NitrogenTransferredToStage2MMS_NIRReference">_xlfn.LAMBDA("")</definedName>
    <definedName name="MMS_Poultry_N2ODirect_Equations.VEERG_4_6_1_3__7_NitrogenTransferredToStage2MMS_Source">_xlfn.LAMBDA("VEERG 2026: 4.6.1.3, Equation (7)")</definedName>
    <definedName name="MMS_Poultry_N2ODirect_Equations.VEERG_4_6_1_3__7_NitrogenTransferredToStage2MMS_Title">_xlfn.LAMBDA("Nitrogen transferred to treatment stage 2 MMS")</definedName>
    <definedName name="MMS_Poultry_N2ODirect_Equations.VEERG_4_6_1_3__7_NitrogenTransferredToStage2MMS_Unit">_xlfn.LAMBDA("kg N")</definedName>
    <definedName name="MMS_Poultry_N2ODirect_Equations.VEERG_4_6_1_3__7_NitrogenTransferredToStage2MMS_Variable">_xlfn.LAMBDA("NT_jkmT2")</definedName>
    <definedName name="MMS_Poultry_Soil_AtmosphericDeposition_Equations.VEERG_4_6_1_12__1_AtmosphericDepositionEmissionsFromPoultryManureOnPasture">_xlfn.LAMBDA(_xlpm.M_vol_m14,_xlpm.EF_N2O,_xlpm.C_N2O, _xlpm.M_vol_m14 * _xlpm.EF_N2O * _xlpm.C_N2O * 10 ^ -3)</definedName>
    <definedName name="MMS_Poultry_Soil_AtmosphericDeposition_Equations.VEERG_4_6_1_12__1_AtmosphericDepositionEmissionsFromPoultryManureOnPasture_Arguments">_xlfn.LAMBDA(_xlfn.MAKEARRAY(6, 4, _xlfn.LAMBDA(_xlpm.r,_xlpm.c, INDEX({"M_vol_m14","mass of nitrogen volatilised from manure deposited on pasture","kg N","Calculated from 4.6.1.12 (2)";"EF_N2O","emission factor for atmospheric deposition (kg N2O-N/kg N)","kg N2O-N/kg N","Constant";"C_N2O","factor to convert elemental mass of N2O to molecular mass","ratio","Constant";"j","production system","","Input";"ir","irrigation method","","Input";"r","rainfall region","","Input"}, _xlpm.r, _xlpm.c))))</definedName>
    <definedName name="MMS_Poultry_Soil_AtmosphericDeposition_Equations.VEERG_4_6_1_12__1_AtmosphericDepositionEmissionsFromPoultryManureOnPasture_LatexEquation">_xlfn.LAMBDA("E_{N2O,ad}=M_{vol,m=14}\times EF_{N2O}\times C_{N2O}\times 10^{-3}")</definedName>
    <definedName name="MMS_Poultry_Soil_AtmosphericDeposition_Equations.VEERG_4_6_1_12__1_AtmosphericDepositionEmissionsFromPoultryManureOnPasture_NIRReference">_xlfn.LAMBDA("")</definedName>
    <definedName name="MMS_Poultry_Soil_AtmosphericDeposition_Equations.VEERG_4_6_1_12__1_AtmosphericDepositionEmissionsFromPoultryManureOnPasture_Source">_xlfn.LAMBDA("VEERG 2026: 4.6.1.12, Equation (1)")</definedName>
    <definedName name="MMS_Poultry_Soil_AtmosphericDeposition_Equations.VEERG_4_6_1_12__1_AtmosphericDepositionEmissionsFromPoultryManureOnPasture_Title">_xlfn.LAMBDA("Atmospheric deposition emissions from poultry manure deposited on pasture")</definedName>
    <definedName name="MMS_Poultry_Soil_AtmosphericDeposition_Equations.VEERG_4_6_1_12__1_AtmosphericDepositionEmissionsFromPoultryManureOnPasture_Unit">_xlfn.LAMBDA("t N2O")</definedName>
    <definedName name="MMS_Poultry_Soil_AtmosphericDeposition_Equations.VEERG_4_6_1_12__1_AtmosphericDepositionEmissionsFromPoultryManureOnPasture_Variable">_xlfn.LAMBDA("E_N2Oad")</definedName>
    <definedName name="MMS_Poultry_Soil_AtmosphericDeposition_Equations.VEERG_4_6_1_12__2_MassOfNitrogenVolatilisedFromPoultryManureOnPasture">_xlfn.LAMBDA(_xlpm.MN_jkm14T1,_xlpm.FracGASMsoil, _xlpm.MN_jkm14T1 * _xlpm.FracGASMsoil)</definedName>
    <definedName name="MMS_Poultry_Soil_AtmosphericDeposition_Equations.VEERG_4_6_1_12__2_MassOfNitrogenVolatilisedFromPoultryManureOnPasture_Arguments">_xlfn.LAMBDA(_xlfn.MAKEARRAY(2, 4, _xlfn.LAMBDA(_xlpm.r,_xlpm.c, INDEX({"MN_jkm14T1","mass of nitrogen excreted directly on pasture by poultry class and subclass","kg N","Calculated from 4.6.1.3 (2)";"FracGASMsoil","fraction of nitrogen volatilised from manure deposited on pasture","(kg NH3-N + NOx-N)/kg N","Constant"}, _xlpm.r, _xlpm.c))))</definedName>
    <definedName name="MMS_Poultry_Soil_AtmosphericDeposition_Equations.VEERG_4_6_1_12__2_MassOfNitrogenVolatilisedFromPoultryManureOnPasture_LatexEquation">_xlfn.LAMBDA("M_{vol,m=14}=\sum_{j}\sum_{k}(MN_{jkm=14,T=1}\times FracGASMsoil)")</definedName>
    <definedName name="MMS_Poultry_Soil_AtmosphericDeposition_Equations.VEERG_4_6_1_12__2_MassOfNitrogenVolatilisedFromPoultryManureOnPasture_NIRReference">_xlfn.LAMBDA("")</definedName>
    <definedName name="MMS_Poultry_Soil_AtmosphericDeposition_Equations.VEERG_4_6_1_12__2_MassOfNitrogenVolatilisedFromPoultryManureOnPasture_Source">_xlfn.LAMBDA("VEERG 2026: 4.6.1.12, Equation (2)")</definedName>
    <definedName name="MMS_Poultry_Soil_AtmosphericDeposition_Equations.VEERG_4_6_1_12__2_MassOfNitrogenVolatilisedFromPoultryManureOnPasture_Title">_xlfn.LAMBDA("Mass of nitrogen volatilised from poultry manure deposited on pasture")</definedName>
    <definedName name="MMS_Poultry_Soil_AtmosphericDeposition_Equations.VEERG_4_6_1_12__2_MassOfNitrogenVolatilisedFromPoultryManureOnPasture_Unit">_xlfn.LAMBDA("kg N")</definedName>
    <definedName name="MMS_Poultry_Soil_AtmosphericDeposition_Equations.VEERG_4_6_1_12__2_MassOfNitrogenVolatilisedFromPoultryManureOnPasture_Variable">_xlfn.LAMBDA("M_vol_m14")</definedName>
    <definedName name="MMS_Poultry_Soil_LeachingAndRunoff_Equations.VEERG_4_6_1_14__1_LeachingAndRunoffEmissionsFromPoultryManureOnPasture">_xlfn.LAMBDA(_xlpm.M_leach_m14,_xlpm.EF_leach,_xlpm.C_N2O, _xlpm.M_leach_m14 * _xlpm.EF_leach * _xlpm.C_N2O * 10 ^ -3)</definedName>
    <definedName name="MMS_Poultry_Soil_LeachingAndRunoff_Equations.VEERG_4_6_1_14__1_LeachingAndRunoffEmissionsFromPoultryManureOnPasture_Arguments">_xlfn.LAMBDA(_xlfn.MAKEARRAY(3, 4, _xlfn.LAMBDA(_xlpm.r,_xlpm.c, INDEX({"M_leach_m14","mass of nitrogen lost to leaching and runoff from poultry manure deposited on pasture","kg N","Calculated from 4.6.1.14 (2)";"EF_leach","emission factor for leaching and runoff (kg N2O-N/kg N)","kg N2O-N/kg N","Constant";"C_N2O","factor to convert elemental mass of N2O to molecular mass","ratio","Constant"}, _xlpm.r, _xlpm.c))))</definedName>
    <definedName name="MMS_Poultry_Soil_LeachingAndRunoff_Equations.VEERG_4_6_1_14__1_LeachingAndRunoffEmissionsFromPoultryManureOnPasture_LatexEquation">_xlfn.LAMBDA("E_{N2O,leach}=M_{leach,m=14}\times EF_{leach}\times C_{N2O}\times 10^{-3}")</definedName>
    <definedName name="MMS_Poultry_Soil_LeachingAndRunoff_Equations.VEERG_4_6_1_14__1_LeachingAndRunoffEmissionsFromPoultryManureOnPasture_NIRReference">_xlfn.LAMBDA("")</definedName>
    <definedName name="MMS_Poultry_Soil_LeachingAndRunoff_Equations.VEERG_4_6_1_14__1_LeachingAndRunoffEmissionsFromPoultryManureOnPasture_Source">_xlfn.LAMBDA("VEERG 2026: 4.6.1.14, Equation (1)")</definedName>
    <definedName name="MMS_Poultry_Soil_LeachingAndRunoff_Equations.VEERG_4_6_1_14__1_LeachingAndRunoffEmissionsFromPoultryManureOnPasture_Title">_xlfn.LAMBDA("Leaching and runoff emissions from poultry manure deposited on pasture")</definedName>
    <definedName name="MMS_Poultry_Soil_LeachingAndRunoff_Equations.VEERG_4_6_1_14__1_LeachingAndRunoffEmissionsFromPoultryManureOnPasture_Unit">_xlfn.LAMBDA("t N2O")</definedName>
    <definedName name="MMS_Poultry_Soil_LeachingAndRunoff_Equations.VEERG_4_6_1_14__1_LeachingAndRunoffEmissionsFromPoultryManureOnPasture_Variable">_xlfn.LAMBDA("E_N2Oleach")</definedName>
    <definedName name="MMS_Poultry_Soil_LeachingAndRunoff_Equations.VEERG_4_6_1_14__2_MassOfNitrogenLostToLeachingAndRunoffFromPoultryManureOnPasture">_xlfn.LAMBDA(_xlpm.MN_jkm14T1,_xlpm.FracWet,_xlpm.FracLEACH_MS, _xlpm.MN_jkm14T1 * _xlpm.FracWet * _xlpm.FracLEACH_MS)</definedName>
    <definedName name="MMS_Poultry_Soil_LeachingAndRunoff_Equations.VEERG_4_6_1_14__2_MassOfNitrogenLostToLeachingAndRunoffFromPoultryManureOnPasture_Arguments">_xlfn.LAMBDA(_xlfn.MAKEARRAY(6, 4, _xlfn.LAMBDA(_xlpm.r,_xlpm.c, INDEX({"MN_jkm14T1","mass of nitrogen excreted directly on pasture by poultry class and subclass","kg N","Calculated from 4.6.1.3 (2)";"FracWet","fraction of N available for leaching and runoff","fraction","Constant";"FracLEACH_MS","fraction of N that is lost through leaching and runoff","fraction","Constant";"z","location in leaching zone","","Input";"j","production system","","Input";"ir","irrigation method","","Input"}, _xlpm.r, _xlpm.c))))</definedName>
    <definedName name="MMS_Poultry_Soil_LeachingAndRunoff_Equations.VEERG_4_6_1_14__2_MassOfNitrogenLostToLeachingAndRunoffFromPoultryManureOnPasture_LatexEquation">_xlfn.LAMBDA("M_{leach,m=14}=\sum_{j}\sum_{k}(MN_{jkm=14,T=1}\times FracWet\times FracLEACH_MS)")</definedName>
    <definedName name="MMS_Poultry_Soil_LeachingAndRunoff_Equations.VEERG_4_6_1_14__2_MassOfNitrogenLostToLeachingAndRunoffFromPoultryManureOnPasture_NIRReference">_xlfn.LAMBDA("")</definedName>
    <definedName name="MMS_Poultry_Soil_LeachingAndRunoff_Equations.VEERG_4_6_1_14__2_MassOfNitrogenLostToLeachingAndRunoffFromPoultryManureOnPasture_Source">_xlfn.LAMBDA("VEERG 2026: 4.6.1.14, Equation (2)")</definedName>
    <definedName name="MMS_Poultry_Soil_LeachingAndRunoff_Equations.VEERG_4_6_1_14__2_MassOfNitrogenLostToLeachingAndRunoffFromPoultryManureOnPasture_Title">_xlfn.LAMBDA("Mass of nitrogen lost to leaching and runoff from poultry manure deposited on pasture")</definedName>
    <definedName name="MMS_Poultry_Soil_LeachingAndRunoff_Equations.VEERG_4_6_1_14__2_MassOfNitrogenLostToLeachingAndRunoffFromPoultryManureOnPasture_Unit">_xlfn.LAMBDA("kg N")</definedName>
    <definedName name="MMS_Poultry_Soil_LeachingAndRunoff_Equations.VEERG_4_6_1_14__2_MassOfNitrogenLostToLeachingAndRunoffFromPoultryManureOnPasture_Variable">_xlfn.LAMBDA("M_leach_m14")</definedName>
    <definedName name="MMS_Poultry_Soil_N2ODirect_Equations.VEERG_4_6_1_10__1_DirectNitrousOxideEmissionsFromPoultryManure">_xlfn.LAMBDA(_xlpm.MN_jkm14T1,_xlpm.EF_PRP,_xlpm.C_N2O, _xlpm.MN_jkm14T1 * _xlpm.EF_PRP * _xlpm.C_N2O * 10 ^ -3)</definedName>
    <definedName name="MMS_Poultry_Soil_N2ODirect_Equations.VEERG_4_6_1_10__1_DirectNitrousOxideEmissionsFromPoultryManure_Arguments">_xlfn.LAMBDA(_xlfn.MAKEARRAY(3, 4, _xlfn.LAMBDA(_xlpm.r,_xlpm.c, INDEX({"MN_jkm14T1","mass of nitrogen excreted directly on pasture by poultry class and subclass","kg N","Calculated from 4.6.1.3 (2)";"EF_PRP","nitrous oxide emission factor for manure deposited on pasture","kg N2O-N/kg N deposited","Constant";"C_N2O","factor to convert elemental mass of N2O to molecular mass","ratio","Constant"}, _xlpm.r, _xlpm.c))))</definedName>
    <definedName name="MMS_Poultry_Soil_N2ODirect_Equations.VEERG_4_6_1_10__1_DirectNitrousOxideEmissionsFromPoultryManure_LatexEquation">_xlfn.LAMBDA("EM_{N2O,PRP,dir}=\sum_{j}\sum_{k}(MN_{jkm=14,T=1}\times EF_{PRP}\times C_{N2O})\times 10^{-3}")</definedName>
    <definedName name="MMS_Poultry_Soil_N2ODirect_Equations.VEERG_4_6_1_10__1_DirectNitrousOxideEmissionsFromPoultryManure_NIRReference">_xlfn.LAMBDA("")</definedName>
    <definedName name="MMS_Poultry_Soil_N2ODirect_Equations.VEERG_4_6_1_10__1_DirectNitrousOxideEmissionsFromPoultryManure_Source">_xlfn.LAMBDA("VEERG 2026: 4.6.1.10, Equation (1)")</definedName>
    <definedName name="MMS_Poultry_Soil_N2ODirect_Equations.VEERG_4_6_1_10__1_DirectNitrousOxideEmissionsFromPoultryManure_Title">_xlfn.LAMBDA("Direct nitrous oxide emissions from poultry manure on pasture")</definedName>
    <definedName name="MMS_Poultry_Soil_N2ODirect_Equations.VEERG_4_6_1_10__1_DirectNitrousOxideEmissionsFromPoultryManure_Unit">_xlfn.LAMBDA("t N2O")</definedName>
    <definedName name="MMS_Poultry_Soil_N2ODirect_Equations.VEERG_4_6_1_10__1_DirectNitrousOxideEmissionsFromPoultryManure_Variable">_xlfn.LAMBDA("EM_N2OPRPdir")</definedName>
    <definedName name="MMS_Swine_AtmosphericDeposition_Equations.VEERG_4_5_1_5__1_AnnualAtmosphericDepositionEmissionsFromMMS">_xlfn.LAMBDA(_xlpm.MMS_ATMOS,_xlpm.EF_N2O,_xlpm.C_N2O, _xlpm.MMS_ATMOS * _xlpm.EF_N2O * _xlpm.C_N2O * 10 ^ -3)</definedName>
    <definedName name="MMS_Swine_AtmosphericDeposition_Equations.VEERG_4_5_1_5__1_AnnualAtmosphericDepositionEmissionsFromMMS_Arguments">_xlfn.LAMBDA(_xlfn.MAKEARRAY(6, 4, _xlfn.LAMBDA(_xlpm.r,_xlpm.c, INDEX({"MMS_ATMOS","mass of N volatilised from MMS","kg N","Calculated from 4.5.1.5 (2)";"EF_N2O","nitrous oxide emission factor for atmospheric deposition","kg N2O-N/kg N","Constant";"C_N2O","factor to convert elemental mass of N2O to molecular mass","","Constant";"j","production system","","Input";"ir","irrigation method","","Input";"r","rainfall region","","Input"}, _xlpm.r, _xlpm.c))))</definedName>
    <definedName name="MMS_Swine_AtmosphericDeposition_Equations.VEERG_4_5_1_5__1_AnnualAtmosphericDepositionEmissionsFromMMS_LatexEquation">_xlfn.LAMBDA("E_{N2O,ad}=MMS_{ATMOS}\times EF_{N2O}\times C_{N2O}\times 10^{-3}")</definedName>
    <definedName name="MMS_Swine_AtmosphericDeposition_Equations.VEERG_4_5_1_5__1_AnnualAtmosphericDepositionEmissionsFromMMS_NIRReference">_xlfn.LAMBDA("")</definedName>
    <definedName name="MMS_Swine_AtmosphericDeposition_Equations.VEERG_4_5_1_5__1_AnnualAtmosphericDepositionEmissionsFromMMS_Source">_xlfn.LAMBDA("VEERG 2026: 4.5.1.1, Equation (1)")</definedName>
    <definedName name="MMS_Swine_AtmosphericDeposition_Equations.VEERG_4_5_1_5__1_AnnualAtmosphericDepositionEmissionsFromMMS_Title">_xlfn.LAMBDA("Annual atmospheric deposition emissions from MMS")</definedName>
    <definedName name="MMS_Swine_AtmosphericDeposition_Equations.VEERG_4_5_1_5__1_AnnualAtmosphericDepositionEmissionsFromMMS_Unit">_xlfn.LAMBDA("t N2O")</definedName>
    <definedName name="MMS_Swine_AtmosphericDeposition_Equations.VEERG_4_5_1_5__1_AnnualAtmosphericDepositionEmissionsFromMMS_Variable">_xlfn.LAMBDA("E_N2OMMSad")</definedName>
    <definedName name="MMS_Swine_AtmosphericDeposition_Equations.VEERG_4_5_1_5__2_TotalNitrogenVolatilisedFromMMS">_xlfn.LAMBDA(_xlpm.MN_jmT,_xlpm.FracGASMmT, _xlpm.MN_jmT * _xlpm.FracGASMmT)</definedName>
    <definedName name="MMS_Swine_AtmosphericDeposition_Equations.VEERG_4_5_1_5__2_TotalNitrogenVolatilisedFromMMS_Arguments">_xlfn.LAMBDA(_xlfn.MAKEARRAY(2, 4, _xlfn.LAMBDA(_xlpm.r,_xlpm.c, INDEX({"MN_jmT","nitrogen per swine class, MMS and treatment stage","kg N","Calculated from 4.5.1.3 (2)(6)";"FracGASMmT","fraction of N volatilised in each MMS","(kg NH3-N + NOx-N)/kg N","Constant"}, _xlpm.r, _xlpm.c))))</definedName>
    <definedName name="MMS_Swine_AtmosphericDeposition_Equations.VEERG_4_5_1_5__2_TotalNitrogenVolatilisedFromMMS_LatexEquation">_xlfn.LAMBDA("MMS_{ATMOS}=\sum_{j}\sum_{m}\sum_{T}(MN_{jmT}\times FracGASM_{mT})")</definedName>
    <definedName name="MMS_Swine_AtmosphericDeposition_Equations.VEERG_4_5_1_5__2_TotalNitrogenVolatilisedFromMMS_NIRReference">_xlfn.LAMBDA("")</definedName>
    <definedName name="MMS_Swine_AtmosphericDeposition_Equations.VEERG_4_5_1_5__2_TotalNitrogenVolatilisedFromMMS_Source">_xlfn.LAMBDA("VEERG 2026: 4.5.1.1, Equation (2)")</definedName>
    <definedName name="MMS_Swine_AtmosphericDeposition_Equations.VEERG_4_5_1_5__2_TotalNitrogenVolatilisedFromMMS_Title">_xlfn.LAMBDA("Total nitrogen volatilised from MMS")</definedName>
    <definedName name="MMS_Swine_AtmosphericDeposition_Equations.VEERG_4_5_1_5__2_TotalNitrogenVolatilisedFromMMS_Unit">_xlfn.LAMBDA("kg N")</definedName>
    <definedName name="MMS_Swine_AtmosphericDeposition_Equations.VEERG_4_5_1_5__2_TotalNitrogenVolatilisedFromMMS_Variable">_xlfn.LAMBDA("MMS_ATMOS")</definedName>
    <definedName name="MMS_Swine_LeachingAndRunoff_Equations.VEERG_4_5_1_7__1_AnnualEmissionsFromLeachingAndRunoffFromMMS">_xlfn.LAMBDA(_xlpm.MNLeach_jm5,_xlpm.EF_leach,_xlpm.C_N2O, _xlpm.MNLeach_jm5 * _xlpm.EF_leach * _xlpm.C_N2O * 10 ^ -3)</definedName>
    <definedName name="MMS_Swine_LeachingAndRunoff_Equations.VEERG_4_5_1_7__1_AnnualEmissionsFromLeachingAndRunoffFromMMS_Arguments">_xlfn.LAMBDA(_xlfn.MAKEARRAY(3, 4, _xlfn.LAMBDA(_xlpm.r,_xlpm.c, INDEX({"MNLeach_jm5","mass of N lost through leaching and runoff from drylot MMS","kg N","Calculated from 4.5.1.7 (2)";"EF_leach","emission factor for leaching and runoff","kg N2O-N/kg N","Constant";"C_N2O","factor to convert elemental mass of N2O to molecular mass","","Constant"}, _xlpm.r, _xlpm.c))))</definedName>
    <definedName name="MMS_Swine_LeachingAndRunoff_Equations.VEERG_4_5_1_7__1_AnnualEmissionsFromLeachingAndRunoffFromMMS_LatexEquation">_xlfn.LAMBDA("E_{N2O,leach}=MNLeach_{jm=5}\times EF_{leach}\times C_{N2O}\times 10^{-3}")</definedName>
    <definedName name="MMS_Swine_LeachingAndRunoff_Equations.VEERG_4_5_1_7__1_AnnualEmissionsFromLeachingAndRunoffFromMMS_NIRReference">_xlfn.LAMBDA("")</definedName>
    <definedName name="MMS_Swine_LeachingAndRunoff_Equations.VEERG_4_5_1_7__1_AnnualEmissionsFromLeachingAndRunoffFromMMS_Source">_xlfn.LAMBDA("VEERG 2026: 4.5.1.7, Equation (1)")</definedName>
    <definedName name="MMS_Swine_LeachingAndRunoff_Equations.VEERG_4_5_1_7__1_AnnualEmissionsFromLeachingAndRunoffFromMMS_Title">_xlfn.LAMBDA("Annual emissions from leaching and runoff from each MMS")</definedName>
    <definedName name="MMS_Swine_LeachingAndRunoff_Equations.VEERG_4_5_1_7__1_AnnualEmissionsFromLeachingAndRunoffFromMMS_Unit">_xlfn.LAMBDA("t N2O")</definedName>
    <definedName name="MMS_Swine_LeachingAndRunoff_Equations.VEERG_4_5_1_7__1_AnnualEmissionsFromLeachingAndRunoffFromMMS_Variable">_xlfn.LAMBDA("E_N2Oleach")</definedName>
    <definedName name="MMS_Swine_LeachingAndRunoff_Equations.VEERG_4_5_1_7__2_MassOfNitrogenLostToLeachingAndRunoffFromDrylotMMS">_xlfn.LAMBDA(_xlpm.MN_jm5T1,_xlpm.FracWET,_xlpm.FracLEACH_MS, _xlpm.MN_jm5T1 * _xlpm.FracWET * _xlpm.FracLEACH_MS)</definedName>
    <definedName name="MMS_Swine_LeachingAndRunoff_Equations.VEERG_4_5_1_7__2_MassOfNitrogenLostToLeachingAndRunoffFromDrylotMMS_Arguments">_xlfn.LAMBDA(_xlfn.MAKEARRAY(6, 4, _xlfn.LAMBDA(_xlpm.r,_xlpm.c, INDEX({"MN_jm5T1","nitrogen in treatment stage 1 drylot MMS","kg N","Calculated from 4.5.1.3 (2)";"FracWET","fraction of N available for leaching and runoff","fraction","Constant";"FracLEACH_MS","fraction of N lost through leaching and runoff","fraction","Constant";"z","location in leaching zone","","Input";"j","production system","","Input";"ir","irrigation method","","Input"}, _xlpm.r, _xlpm.c))))</definedName>
    <definedName name="MMS_Swine_LeachingAndRunoff_Equations.VEERG_4_5_1_7__2_MassOfNitrogenLostToLeachingAndRunoffFromDrylotMMS_LatexEquation">_xlfn.LAMBDA("MNLeach_{jm=5}=MN_{jm=5,T=1}\times FracWET\times FracLEACH_{MS}")</definedName>
    <definedName name="MMS_Swine_LeachingAndRunoff_Equations.VEERG_4_5_1_7__2_MassOfNitrogenLostToLeachingAndRunoffFromDrylotMMS_NIRReference">_xlfn.LAMBDA("")</definedName>
    <definedName name="MMS_Swine_LeachingAndRunoff_Equations.VEERG_4_5_1_7__2_MassOfNitrogenLostToLeachingAndRunoffFromDrylotMMS_Source">_xlfn.LAMBDA("VEERG 2026: 4.5.1.7, Equation (2)")</definedName>
    <definedName name="MMS_Swine_LeachingAndRunoff_Equations.VEERG_4_5_1_7__2_MassOfNitrogenLostToLeachingAndRunoffFromDrylotMMS_Title">_xlfn.LAMBDA("Mass of nitrogen lost to leaching and runoff from drylot MMS")</definedName>
    <definedName name="MMS_Swine_LeachingAndRunoff_Equations.VEERG_4_5_1_7__2_MassOfNitrogenLostToLeachingAndRunoffFromDrylotMMS_Unit">_xlfn.LAMBDA("kg N")</definedName>
    <definedName name="MMS_Swine_LeachingAndRunoff_Equations.VEERG_4_5_1_7__2_MassOfNitrogenLostToLeachingAndRunoffFromDrylotMMS_Variable">_xlfn.LAMBDA("MNLeach_jm5")</definedName>
    <definedName name="MMS_Swine_ManureAppliedToSoils_Equations.VEERG_4_5_1_9__1_MassOfNitrogenAppliedToSoilsScope1">_xlfn.LAMBDA(_xlpm.MN_jmT2,_xlpm.EF_mT2,_xlpm.FracGASM_mT2,_xlpm.MNLeach_jm5,_xlpm.PF, (_xlpm.MN_jmT2 * (1 - _xlpm.EF_mT2 - _xlpm.FracGASM_mT2) - _xlpm.MNLeach_jm5) * _xlpm.PF)</definedName>
    <definedName name="MMS_Swine_ManureAppliedToSoils_Equations.VEERG_4_5_1_9__1_MassOfNitrogenAppliedToSoilsScope1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1_MassOfNitrogenAppliedToSoilsScope1_LatexEquation">_xlfn.LAMBDA("MNSoil_{scope1}=\sum_{j}\sum_{m}(MN_{jmT=2}\times(1-EF_{mT=2}-FracGASM_{mT=2})-MNLeach_{jm=5})\times PF")</definedName>
    <definedName name="MMS_Swine_ManureAppliedToSoils_Equations.VEERG_4_5_1_9__1_MassOfNitrogenAppliedToSoilsScope1_NIRReference">_xlfn.LAMBDA("")</definedName>
    <definedName name="MMS_Swine_ManureAppliedToSoils_Equations.VEERG_4_5_1_9__1_MassOfNitrogenAppliedToSoilsScope1_Source">_xlfn.LAMBDA("VEERG 2026: 4.5.1.9, Equation (1)")</definedName>
    <definedName name="MMS_Swine_ManureAppliedToSoils_Equations.VEERG_4_5_1_9__1_MassOfNitrogenAppliedToSoilsScope1_Title">_xlfn.LAMBDA("Mass of nitrogen applied to soils for scope 1 emissions")</definedName>
    <definedName name="MMS_Swine_ManureAppliedToSoils_Equations.VEERG_4_5_1_9__1_MassOfNitrogenAppliedToSoilsScope1_Unit">_xlfn.LAMBDA("kg N")</definedName>
    <definedName name="MMS_Swine_ManureAppliedToSoils_Equations.VEERG_4_5_1_9__1_MassOfNitrogenAppliedToSoilsScope1_Variable">_xlfn.LAMBDA("MNSoil_scope1")</definedName>
    <definedName name="MMS_Swine_ManureAppliedToSoils_Equations.VEERG_4_5_1_9__2_MassOfNitrogenAppliedToSoilsScope3">_xlfn.LAMBDA(_xlpm.MN_jmT2,_xlpm.EF_mT2,_xlpm.FracGASM_mT2,_xlpm.MNLeach_jm5,_xlpm.PF, (_xlpm.MN_jmT2 * (1 - _xlpm.EF_mT2 - _xlpm.FracGASM_mT2) - _xlpm.MNLeach_jm5) * (1 - _xlpm.PF))</definedName>
    <definedName name="MMS_Swine_ManureAppliedToSoils_Equations.VEERG_4_5_1_9__2_MassOfNitrogenAppliedToSoilsScope3_Arguments">_xlfn.LAMBDA(_xlfn.MAKEARRAY(5, 4, _xlfn.LAMBDA(_xlpm.r,_xlpm.c, INDEX({"MN_jmT2","mass of N in MMS at treatment stage 2","kg N","Calculated from 4.5.1.3 (6)";"EF_mT2","nitrous oxide emission factor for each MMS at treatment stage 2","kg N2O-N/kg N","Constant";"FracGASM_mT2","fraction of animal waste N volatilised in each MMS at treatment stage 2","(kg NH3-N + NOx-N)/kg N","Constant";"MNLeach_jm5","mass of N lost to leaching and runoff from drylot MMS","kg N","Calculated from 4.5.1.7 (2)";"PF","fraction of manure applied to soil within the piggery boundary","fraction","Input"}, _xlpm.r, _xlpm.c))))</definedName>
    <definedName name="MMS_Swine_ManureAppliedToSoils_Equations.VEERG_4_5_1_9__2_MassOfNitrogenAppliedToSoilsScope3_LatexEquation">_xlfn.LAMBDA("MNSoil_{scope3}=\sum_{j}\sum_{m}(MN_{jmT=2}\times(1-EF_{mT=2}-FracGASM_{mT=2})-MNLeach_{jm=5})\times(1-PF)")</definedName>
    <definedName name="MMS_Swine_ManureAppliedToSoils_Equations.VEERG_4_5_1_9__2_MassOfNitrogenAppliedToSoilsScope3_NIRReference">_xlfn.LAMBDA("")</definedName>
    <definedName name="MMS_Swine_ManureAppliedToSoils_Equations.VEERG_4_5_1_9__2_MassOfNitrogenAppliedToSoilsScope3_Source">_xlfn.LAMBDA("VEERG 2026: 4.5.1.9, Equation (2)")</definedName>
    <definedName name="MMS_Swine_ManureAppliedToSoils_Equations.VEERG_4_5_1_9__2_MassOfNitrogenAppliedToSoilsScope3_Title">_xlfn.LAMBDA("Mass of nitrogen applied to soils for scope 3 emissions")</definedName>
    <definedName name="MMS_Swine_ManureAppliedToSoils_Equations.VEERG_4_5_1_9__2_MassOfNitrogenAppliedToSoilsScope3_Unit">_xlfn.LAMBDA("kg N")</definedName>
    <definedName name="MMS_Swine_ManureAppliedToSoils_Equations.VEERG_4_5_1_9__2_MassOfNitrogenAppliedToSoilsScope3_Variable">_xlfn.LAMBDA("MNSoil_scope3")</definedName>
    <definedName name="MMS_Swine_Methane_Equations.VEERG_4_5_1_1__1_TotalAnnualMethaneEmissions">_xlfn.LAMBDA(_xlpm.Dj,_xlpm.Mmj,_xlpm.Nj, _xlpm.Dj * _xlpm.Mmj * _xlpm.Nj * 10 ^ -3)</definedName>
    <definedName name="MMS_Swine_Methane_Equations.VEERG_4_5_1_1__1_TotalAnnualMethaneEmissions_Arguments">_xlfn.LAMBDA(_xlfn.MAKEARRAY(3, 4, _xlfn.LAMBDA(_xlpm.r,_xlpm.c, INDEX({"Dj","length of stay of each class of swine","days","Input";"Mmj","methane production from manure in each swine class","kg CH4/head/day","Calculated from 4.5.1.1 (2)";"Nj","numbers of swine in each class","head","Input"}, _xlpm.r, _xlpm.c))))</definedName>
    <definedName name="MMS_Swine_Methane_Equations.VEERG_4_5_1_1__1_TotalAnnualMethaneEmissions_LatexEquation">_xlfn.LAMBDA("{E}_{CH4}=\sum_{j}(D_{j}\times M_{mj}\times N_{j})\times10^{-3}")</definedName>
    <definedName name="MMS_Swine_Methane_Equations.VEERG_4_5_1_1__1_TotalAnnualMethaneEmissions_NIRReference">_xlfn.LAMBDA("")</definedName>
    <definedName name="MMS_Swine_Methane_Equations.VEERG_4_5_1_1__1_TotalAnnualMethaneEmissions_Source">_xlfn.LAMBDA("VEERG 2026: 4.5.1.1, Equation (1)")</definedName>
    <definedName name="MMS_Swine_Methane_Equations.VEERG_4_5_1_1__1_TotalAnnualMethaneEmissions_Title">_xlfn.LAMBDA("Total annual methane emissions from manure management")</definedName>
    <definedName name="MMS_Swine_Methane_Equations.VEERG_4_5_1_1__1_TotalAnnualMethaneEmissions_Unit">_xlfn.LAMBDA("t CH4")</definedName>
    <definedName name="MMS_Swine_Methane_Equations.VEERG_4_5_1_1__1_TotalAnnualMethaneEmissions_Variable">_xlfn.LAMBDA("ECH4")</definedName>
    <definedName name="MMS_Swine_Methane_Equations.VEERG_4_5_1_1__2_MethaneProductionPerClass">_xlfn.LAMBDA(_xlpm.MjmT, SUM(_xlpm.MjmT))</definedName>
    <definedName name="MMS_Swine_Methane_Equations.VEERG_4_5_1_1__2_MethaneProductionPerClass_Arguments">_xlfn.LAMBDA(_xlfn.MAKEARRAY(1, 4, _xlfn.LAMBDA(_xlpm.r,_xlpm.c, INDEX({"MjmT","methane production from manure per class, MMS, and treatment stage","kg CH4/head/day","Calculated from 4.5.1.1 (3) and (6)"}, _xlpm.r, _xlpm.c))))</definedName>
    <definedName name="MMS_Swine_Methane_Equations.VEERG_4_5_1_1__2_MethaneProductionPerClass_LatexEquation">_xlfn.LAMBDA("M_{mj}=\sum_{m}\sum_{T}M_{jmT}")</definedName>
    <definedName name="MMS_Swine_Methane_Equations.VEERG_4_5_1_1__2_MethaneProductionPerClass_NIRReference">_xlfn.LAMBDA("")</definedName>
    <definedName name="MMS_Swine_Methane_Equations.VEERG_4_5_1_1__2_MethaneProductionPerClass_Source">_xlfn.LAMBDA("VEERG 2026: 4.5.1.1, Equation (2)")</definedName>
    <definedName name="MMS_Swine_Methane_Equations.VEERG_4_5_1_1__2_MethaneProductionPerClass_Title">_xlfn.LAMBDA("Methane production from the manure of each class of swine")</definedName>
    <definedName name="MMS_Swine_Methane_Equations.VEERG_4_5_1_1__2_MethaneProductionPerClass_Unit">_xlfn.LAMBDA("kg CH4/head/day")</definedName>
    <definedName name="MMS_Swine_Methane_Equations.VEERG_4_5_1_1__2_MethaneProductionPerClass_Variable">_xlfn.LAMBDA("Mmj")</definedName>
    <definedName name="MMS_Swine_Methane_Equations.VEERG_4_5_1_1__2_MethaneProductionPerClass_Variation">_xlfn.LAMBDA("VARIATION ON SOURCE: Split variable Mjm into MjmT1 and MjmT2 for stage 1 and 2 MMS.")</definedName>
    <definedName name="MMS_Swine_Methane_Equations.VEERG_4_5_1_1__2_MethaneProductionPerClassVariation">_xlfn.LAMBDA(_xlpm.MjmT1,_xlpm.MjmT2, SUM(_xlpm.MjmT1, _xlpm.MjmT2))</definedName>
    <definedName name="MMS_Swine_Methane_Equations.VEERG_4_5_1_1__3_Stage1MethaneProduction">_xlfn.LAMBDA(_xlpm.VSj,_xlpm.FVSjmT1,_xlpm.MCFim,_xlpm.BO,_xlpm.rho, _xlpm.VSj * _xlpm.FVSjmT1 * _xlpm.MCFim * _xlpm.BO * _xlpm.rho)</definedName>
    <definedName name="MMS_Swine_Methane_Equations.VEERG_4_5_1_1__3_Stage1MethaneProduction_Arguments">_xlfn.LAMBDA(_xlfn.MAKEARRAY(5, 4, _xlfn.LAMBDA(_xlpm.r,_xlpm.c, INDEX({"VSj","volatile solid production from swine in each class","kg/head/day","Input";"FVSjmT1","fraction of volatile solids in each primary system","fraction","Calculated from 4.5.1.1 (4)(5)";"MCFim","methane conversion factor for temperate zone and system","fraction","Constant";"BO","emissions potential","m3 CH4/kg VS","Constant";"rho","density of methane","kg/m3","Constant"}, _xlpm.r, _xlpm.c))))</definedName>
    <definedName name="MMS_Swine_Methane_Equations.VEERG_4_5_1_1__3_Stage1MethaneProduction_LatexEquation">_xlfn.LAMBDA("M_{ijm,T=1}=VS_{j}\times FVS_{jm,T=1}\times MCF_{im}\times BO\times \rho")</definedName>
    <definedName name="MMS_Swine_Methane_Equations.VEERG_4_5_1_1__3_Stage1MethaneProduction_NIRReference">_xlfn.LAMBDA("")</definedName>
    <definedName name="MMS_Swine_Methane_Equations.VEERG_4_5_1_1__3_Stage1MethaneProduction_Source">_xlfn.LAMBDA("VEERG 2026: 4.5.1.1, Equation (3)")</definedName>
    <definedName name="MMS_Swine_Methane_Equations.VEERG_4_5_1_1__3_Stage1MethaneProduction_Title">_xlfn.LAMBDA("Production of methane in treatment stage 1 MMS")</definedName>
    <definedName name="MMS_Swine_Methane_Equations.VEERG_4_5_1_1__3_Stage1MethaneProduction_Unit">_xlfn.LAMBDA("kg CH4/head/day")</definedName>
    <definedName name="MMS_Swine_Methane_Equations.VEERG_4_5_1_1__3_Stage1MethaneProduction_Variable">_xlfn.LAMBDA("MijmT1")</definedName>
    <definedName name="MMS_Swine_Methane_Equations.VEERG_4_5_1_1__4_FractionVolatileSolidsPrimarySystem">_xlfn.LAMBDA(_xlpm.MMSjmT1,_xlpm.SSm, _xlpm.MMSjmT1 * (1 - _xlpm.SSm))</definedName>
    <definedName name="MMS_Swine_Methane_Equations.VEERG_4_5_1_1__4_FractionVolatileSolidsPrimarySystem_Arguments">_xlfn.LAMBDA(_xlfn.MAKEARRAY(2, 4, _xlfn.LAMBDA(_xlpm.r,_xlpm.c, INDEX({"MMSjmT1","fraction of manure to each primary MMS for each class prior to solid separation","fraction","Input";"SSm","fraction of volatile solids separated to solid storage for each MMS","fraction","Input"}, _xlpm.r, _xlpm.c))))</definedName>
    <definedName name="MMS_Swine_Methane_Equations.VEERG_4_5_1_1__4_FractionVolatileSolidsPrimarySystem_LatexEquation">_xlfn.LAMBDA("FVS_{jm,T=1}=MMS_{jm,T=1}\times(1-SS_{m})")</definedName>
    <definedName name="MMS_Swine_Methane_Equations.VEERG_4_5_1_1__4_FractionVolatileSolidsPrimarySystem_NIRReference">_xlfn.LAMBDA("")</definedName>
    <definedName name="MMS_Swine_Methane_Equations.VEERG_4_5_1_1__4_FractionVolatileSolidsPrimarySystem_Source">_xlfn.LAMBDA("VEERG 2026: 4.5.1.1, Equation (4)")</definedName>
    <definedName name="MMS_Swine_Methane_Equations.VEERG_4_5_1_1__4_FractionVolatileSolidsPrimarySystem_Title">_xlfn.LAMBDA("Fraction of volatile solids in each primary system other than solid storage")</definedName>
    <definedName name="MMS_Swine_Methane_Equations.VEERG_4_5_1_1__4_FractionVolatileSolidsPrimarySystem_Unit">_xlfn.LAMBDA("fraction")</definedName>
    <definedName name="MMS_Swine_Methane_Equations.VEERG_4_5_1_1__4_FractionVolatileSolidsPrimarySystem_Variable">_xlfn.LAMBDA("FVSjmT1")</definedName>
    <definedName name="MMS_Swine_Methane_Equations.VEERG_4_5_1_1__4_FractionVolatileSolidsPrimarySystem_Variation">_xlfn.LAMBDA("")</definedName>
    <definedName name="MMS_Swine_Methane_Equations.VEERG_4_5_1_1__5_FractionVolatileSolidsSolidStorage">_xlfn.LAMBDA(_xlpm.MMSjm4T1,_xlpm.MMSjm179T1,_xlpm.SSm, _xlpm.MMSjm4T1 + (_xlpm.MMSjm179T1 * _xlpm.SSm))</definedName>
    <definedName name="MMS_Swine_Methane_Equations.VEERG_4_5_1_1__5_FractionVolatileSolidsSolidStorage_Arguments">_xlfn.LAMBDA(_xlfn.MAKEARRAY(3, 4, _xlfn.LAMBDA(_xlpm.r,_xlpm.c, INDEX({"MMSjm4T1","fraction of manure in solid storage primary system","fraction","Input";"MMSjm179T1","fraction of manure in MMS 1, 7, and 9 in treatment stage 1","fraction","Input";"SSm","fraction of volatile solids separated to solid storage for each MMS","fraction","Input"}, _xlpm.r, _xlpm.c))))</definedName>
    <definedName name="MMS_Swine_Methane_Equations.VEERG_4_5_1_1__5_FractionVolatileSolidsSolidStorage_LatexEquation">_xlfn.LAMBDA("FVS_{j,m=4,T=1}=MMS_{j,m=4,T=1}+(MMS_{j,m=1,7,9,T=1}\times SS_{m})")</definedName>
    <definedName name="MMS_Swine_Methane_Equations.VEERG_4_5_1_1__5_FractionVolatileSolidsSolidStorage_LatexEquationVariation">_xlfn.LAMBDA("FVS_{j,m=4,T=1}=MMS_{j,m=4,T=1}+(MMS_{j,m=1,T=1}\times SS_{m=1,T=1})+(MMS_{j,m=7,T=1}\times SS_{m=7,T=1})+(MMS_{j,m=9,T=1}\times SS_{m=9,T=1})")</definedName>
    <definedName name="MMS_Swine_Methane_Equations.VEERG_4_5_1_1__5_FractionVolatileSolidsSolidStorage_NIRReference">_xlfn.LAMBDA("")</definedName>
    <definedName name="MMS_Swine_Methane_Equations.VEERG_4_5_1_1__5_FractionVolatileSolidsSolidStorage_Source">_xlfn.LAMBDA("VEERG 2026: 4.5.1.1, Equation (5)")</definedName>
    <definedName name="MMS_Swine_Methane_Equations.VEERG_4_5_1_1__5_FractionVolatileSolidsSolidStorage_Title">_xlfn.LAMBDA("Fraction of volatile solids in solid storage")</definedName>
    <definedName name="MMS_Swine_Methane_Equations.VEERG_4_5_1_1__5_FractionVolatileSolidsSolidStorage_Unit">_xlfn.LAMBDA("fraction")</definedName>
    <definedName name="MMS_Swine_Methane_Equations.VEERG_4_5_1_1__5_FractionVolatileSolidsSolidStorage_Variable">_xlfn.LAMBDA("FVSjm4T1")</definedName>
    <definedName name="MMS_Swine_Methane_Equations.VEERG_4_5_1_1__5_FractionVolatileSolidsSolidStorage_Variation">_xlfn.LAMBDA("VARIATION ON SOURCE: Split equation for MMSm=1,7,9 into separate items to allow for calculation")</definedName>
    <definedName name="MMS_Swine_Methane_Equations.VEERG_4_5_1_1__5_FractionVolatileSolidsSolidStorageVariation">_xlfn.LAMBDA(_xlpm.MMSjm4T1,_xlpm.MMSjmT1_1,_xlpm.MMSjmT1_2,_xlpm.MMSjmT1_3,_xlpm.MMSjmT1_4,_xlpm.MMSjmT1_5,_xlpm.SSjmT1_1,_xlpm.SSjmT1_2,_xlpm.SSjmT1_3,_xlpm.SSjmT1_4,_xlpm.SSjmT1_5, _xlpm.MMSjm4T1 + (_xlpm.MMSjmT1_1 * _xlpm.SSjmT1_1) + (_xlpm.MMSjmT1_2 * _xlpm.SSjmT1_2) + (_xlpm.MMSjmT1_3 * _xlpm.SSjmT1_3) + (_xlpm.MMSjmT1_4 * _xlpm.SSjmT1_4) + (_xlpm.MMSjmT1_5 * _xlpm.SSjmT1_5))</definedName>
    <definedName name="MMS_Swine_Methane_Equations.VEERG_4_5_1_1__6_Stage2MethaneProduction">_xlfn.LAMBDA(_xlpm.VSTjmT2,_xlpm.BO,_xlpm.MMSjmT2,_xlpm.MCFim,_xlpm.rho, _xlfn.LET(_xlpm.VSTjmT2, IF(ISNUMBER(_xlpm.VSTjmT2), _xlpm.VSTjmT2, 0), _xlpm.MMSjmT2, IF(ISNUMBER(_xlpm.MMSjmT2), _xlpm.MMSjmT2, 0), _xlpm.VSTjmT2 * _xlpm.BO * _xlpm.MMSjmT2 * _xlpm.MCFim * _xlpm.rho))</definedName>
    <definedName name="MMS_Swine_Methane_Equations.VEERG_4_5_1_1__6_Stage2MethaneProduction_Arguments">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methane","kg/m3","Constant";"i","state","","Input"}, _xlpm.r, _xlpm.c))))</definedName>
    <definedName name="MMS_Swine_Methane_Equations.VEERG_4_5_1_1__6_Stage2MethaneProduction_Arguments_Method2">_xlfn.LAMBDA(_xlfn.MAKEARRAY(6, 4, _xlfn.LAMBDA(_xlpm.r,_xlpm.c, INDEX({"VSTjmT2","volatile solids transferred to treatment stage 2 MMS","kg/head/day","Calculated from 4.5.1.1 (7)";"BO","emissions potential","m3 CH4/kg VS","Constant";"MMSjmT2","fraction of manure in each secondary system","fraction","Input";"MCFim","methane conversion factor for temperate zone and system","fraction","Constant";"rho","density of methane","kg/m3","Constant";"MAT","Mean annual temperature","°C","Input"}, _xlpm.r, _xlpm.c))))</definedName>
    <definedName name="MMS_Swine_Methane_Equations.VEERG_4_5_1_1__6_Stage2MethaneProduction_LatexEquation">_xlfn.LAMBDA("M_{ijm,T=2}=VST_{jm,T=2}\times BO\times MMS_{jm,T=2}\times MCF_{im}\times \rho")</definedName>
    <definedName name="MMS_Swine_Methane_Equations.VEERG_4_5_1_1__6_Stage2MethaneProduction_NIRReference">_xlfn.LAMBDA("")</definedName>
    <definedName name="MMS_Swine_Methane_Equations.VEERG_4_5_1_1__6_Stage2MethaneProduction_Source">_xlfn.LAMBDA("VEERG 2026: 4.5.1.1, Equation (6)")</definedName>
    <definedName name="MMS_Swine_Methane_Equations.VEERG_4_5_1_1__6_Stage2MethaneProduction_Title">_xlfn.LAMBDA("Production of methane in each treatment stage 2 MMS")</definedName>
    <definedName name="MMS_Swine_Methane_Equations.VEERG_4_5_1_1__6_Stage2MethaneProduction_Unit">_xlfn.LAMBDA("kg CH4/head/day")</definedName>
    <definedName name="MMS_Swine_Methane_Equations.VEERG_4_5_1_1__6_Stage2MethaneProduction_Variable">_xlfn.LAMBDA("MijmT2")</definedName>
    <definedName name="MMS_Swine_Methane_Equations.VEERG_4_5_1_1__7_VolatileSolidsTransferredStage2">_xlfn.LAMBDA(_xlpm.VSj,_xlpm.FVSjmT1,_xlpm.VSLmT1, _xlpm.VSj * _xlpm.FVSjmT1 * (1 - _xlpm.VSLmT1))</definedName>
    <definedName name="MMS_Swine_Methane_Equations.VEERG_4_5_1_1__7_VolatileSolidsTransferredStage2_Arguments">_xlfn.LAMBDA(_xlfn.MAKEARRAY(3, 4, _xlfn.LAMBDA(_xlpm.r,_xlpm.c, INDEX({"VSj","volatile solid production from swine in each class","kg/head/day","Input";"FVSjmT1","fraction of volatile solids in each primary system","fraction","Calculated from 4.5.1.1 (4)(5)";"VSLmT1","fraction of volatile solids lost during storage in the primary system","fraction","Lookup"}, _xlpm.r, _xlpm.c))))</definedName>
    <definedName name="MMS_Swine_Methane_Equations.VEERG_4_5_1_1__7_VolatileSolidsTransferredStage2_LatexEquation">_xlfn.LAMBDA("VST_{ijm,T=2}=VS_{j}\times FVS_{jm,T=1}\times(1-VSL_{m,T=1})")</definedName>
    <definedName name="MMS_Swine_Methane_Equations.VEERG_4_5_1_1__7_VolatileSolidsTransferredStage2_NIRReference">_xlfn.LAMBDA("")</definedName>
    <definedName name="MMS_Swine_Methane_Equations.VEERG_4_5_1_1__7_VolatileSolidsTransferredStage2_Source">_xlfn.LAMBDA("VEERG 2026: 4.5.1.1, Equation (7)")</definedName>
    <definedName name="MMS_Swine_Methane_Equations.VEERG_4_5_1_1__7_VolatileSolidsTransferredStage2_Title">_xlfn.LAMBDA("Volatile solids transferred to treatment stage 2 MMS")</definedName>
    <definedName name="MMS_Swine_Methane_Equations.VEERG_4_5_1_1__7_VolatileSolidsTransferredStage2_Unit">_xlfn.LAMBDA("kg VS")</definedName>
    <definedName name="MMS_Swine_Methane_Equations.VEERG_4_5_1_1__7_VolatileSolidsTransferredStage2_Variable">_xlfn.LAMBDA("VSTijmT2")</definedName>
    <definedName name="MMS_Swine_N2ODirect_Equations.VEERG_4_5_1_3__1_TotalAnnualDirectNitrousOxideEmissionsFromMMS">_xlfn.LAMBDA(_xlpm.MN_jmT,_xlpm.EF_jm,_xlpm.C_N2O, _xlpm.MN_jmT * _xlpm.EF_jm * _xlpm.C_N2O * 10 ^ -3)</definedName>
    <definedName name="MMS_Swine_N2ODirect_Equations.VEERG_4_5_1_3__1_TotalAnnualDirectNitrousOxideEmissionsFromMMS_Arguments">_xlfn.LAMBDA(_xlfn.MAKEARRAY(3, 4, _xlfn.LAMBDA(_xlpm.r,_xlpm.c, INDEX({"MN_jmT","nitrogen per swine class, MMS and treatment stage","kg N","Calculated from 4.5.1.3 (2)(6)";"EF_jm","nitrous oxide emission factor for MMS","kg N2O-N/kg N","Constant";"C_N2O","factor to convert elemental mass of nitrous oxide to molecular mass","","Constant"}, _xlpm.r, _xlpm.c))))</definedName>
    <definedName name="MMS_Swine_N2ODirect_Equations.VEERG_4_5_1_3__1_TotalAnnualDirectNitrousOxideEmissionsFromMMS_LatexEquation">_xlfn.LAMBDA("E_{N2O,dir}=\sum_{j}\sum_{m}\sum_{T}(MN_{jmT}\times EF_{jm}\times C_{N2O})\times10^{-3}")</definedName>
    <definedName name="MMS_Swine_N2ODirect_Equations.VEERG_4_5_1_3__1_TotalAnnualDirectNitrousOxideEmissionsFromMMS_NIRReference">_xlfn.LAMBDA("")</definedName>
    <definedName name="MMS_Swine_N2ODirect_Equations.VEERG_4_5_1_3__1_TotalAnnualDirectNitrousOxideEmissionsFromMMS_Source">_xlfn.LAMBDA("VEERG 2026: 4.5.1.3, Equation (1)")</definedName>
    <definedName name="MMS_Swine_N2ODirect_Equations.VEERG_4_5_1_3__1_TotalAnnualDirectNitrousOxideEmissionsFromMMS_Title">_xlfn.LAMBDA("Total annual direct nitrous oxide emissions from manure management systems")</definedName>
    <definedName name="MMS_Swine_N2ODirect_Equations.VEERG_4_5_1_3__1_TotalAnnualDirectNitrousOxideEmissionsFromMMS_Unit">_xlfn.LAMBDA("t N2O")</definedName>
    <definedName name="MMS_Swine_N2ODirect_Equations.VEERG_4_5_1_3__1_TotalAnnualDirectNitrousOxideEmissionsFromMMS_Variable">_xlfn.LAMBDA("E_N2Odir")</definedName>
    <definedName name="MMS_Swine_N2ODirect_Equations.VEERG_4_5_1_3__2_Stage1NitrogenInMMS">_xlfn.LAMBDA(_xlpm.AE_j,_xlpm.FN_jmT1, _xlpm.AE_j * _xlpm.FN_jmT1)</definedName>
    <definedName name="MMS_Swine_N2ODirect_Equations.VEERG_4_5_1_3__2_Stage1NitrogenInMMS_Arguments">_xlfn.LAMBDA(_xlfn.MAKEARRAY(2, 4, _xlfn.LAMBDA(_xlpm.r,_xlpm.c, INDEX({"AE_j","total nitrogen excreted by each swine class","kg N","Calculated from 4.5.1.3 (5)";"FN_jmT1","fraction of nitrogen in each primary MMS system","fraction","Calculated from 4.5.1.3 (3)(4)"}, _xlpm.r, _xlpm.c))))</definedName>
    <definedName name="MMS_Swine_N2ODirect_Equations.VEERG_4_5_1_3__2_Stage1NitrogenInMMS_LatexEquation">_xlfn.LAMBDA("MN_{jm,T=1}=AE_{j}\times FN_{jm,T=1}")</definedName>
    <definedName name="MMS_Swine_N2ODirect_Equations.VEERG_4_5_1_3__2_Stage1NitrogenInMMS_NIRReference">_xlfn.LAMBDA("")</definedName>
    <definedName name="MMS_Swine_N2ODirect_Equations.VEERG_4_5_1_3__2_Stage1NitrogenInMMS_Source">_xlfn.LAMBDA("VEERG 2026: 4.5.1.3, Equation (2)")</definedName>
    <definedName name="MMS_Swine_N2ODirect_Equations.VEERG_4_5_1_3__2_Stage1NitrogenInMMS_Title">_xlfn.LAMBDA("Nitrogen in treatment stage 1 MMS")</definedName>
    <definedName name="MMS_Swine_N2ODirect_Equations.VEERG_4_5_1_3__2_Stage1NitrogenInMMS_Unit">_xlfn.LAMBDA("kg N")</definedName>
    <definedName name="MMS_Swine_N2ODirect_Equations.VEERG_4_5_1_3__2_Stage1NitrogenInMMS_Variable">_xlfn.LAMBDA("MN_jmT1")</definedName>
    <definedName name="MMS_Swine_N2ODirect_Equations.VEERG_4_5_1_3__3_FractionOfNitrogenInPrimaryMMS">_xlfn.LAMBDA(_xlpm.MMS_jmT1,_xlpm.SN_m, _xlpm.MMS_jmT1 * (1 - _xlpm.SN_m))</definedName>
    <definedName name="MMS_Swine_N2ODirect_Equations.VEERG_4_5_1_3__3_FractionOfNitrogenInPrimaryMMS_Arguments">_xlfn.LAMBDA(_xlfn.MAKEARRAY(2, 4, _xlfn.LAMBDA(_xlpm.r,_xlpm.c, INDEX({"MMS_jmT1","fraction of manure in primary MMS","fraction","Input";"SN_m","fraction of nitrogen separated to solid storage for each MMS","fraction","Input"}, _xlpm.r, _xlpm.c))))</definedName>
    <definedName name="MMS_Swine_N2ODirect_Equations.VEERG_4_5_1_3__3_FractionOfNitrogenInPrimaryMMS_LatexEquation">_xlfn.LAMBDA("FN_{jm,T=1}=MMS_{jm,T=1}\times(1-SN_{m})")</definedName>
    <definedName name="MMS_Swine_N2ODirect_Equations.VEERG_4_5_1_3__3_FractionOfNitrogenInPrimaryMMS_NIRReference">_xlfn.LAMBDA("")</definedName>
    <definedName name="MMS_Swine_N2ODirect_Equations.VEERG_4_5_1_3__3_FractionOfNitrogenInPrimaryMMS_Source">_xlfn.LAMBDA("VEERG 2026: 4.5.1.3, Equation (3)")</definedName>
    <definedName name="MMS_Swine_N2ODirect_Equations.VEERG_4_5_1_3__3_FractionOfNitrogenInPrimaryMMS_Title">_xlfn.LAMBDA("Fraction of nitrogen in each primary MMS (excluding solid storage)")</definedName>
    <definedName name="MMS_Swine_N2ODirect_Equations.VEERG_4_5_1_3__3_FractionOfNitrogenInPrimaryMMS_Unit">_xlfn.LAMBDA("fraction")</definedName>
    <definedName name="MMS_Swine_N2ODirect_Equations.VEERG_4_5_1_3__3_FractionOfNitrogenInPrimaryMMS_Variable">_xlfn.LAMBDA("FN_jmT1")</definedName>
    <definedName name="MMS_Swine_N2ODirect_Equations.VEERG_4_5_1_3__4_FractionOfNitrogenInSolidStorage">_xlfn.LAMBDA(_xlpm.MMS_jm4T1,_xlpm.MMS_jm179T1,_xlpm.SN_m, _xlpm.MMS_jm4T1 + (_xlpm.MMS_jm179T1 * _xlpm.SN_m))</definedName>
    <definedName name="MMS_Swine_N2ODirect_Equations.VEERG_4_5_1_3__4_FractionOfNitrogenInSolidStorage_Arguments">_xlfn.LAMBDA(_xlfn.MAKEARRAY(3, 4, _xlfn.LAMBDA(_xlpm.r,_xlpm.c, INDEX({"MMS_jm4T1","fraction of manure in solid storage MMS","fraction","Input";"MMS_jm179T1","fraction of manure in primary liquid systems (m=1,7,9)","fraction","Input";"SN_m","fraction of nitrogen separated to solid storage for each MMS","fraction","Input"}, _xlpm.r, _xlpm.c))))</definedName>
    <definedName name="MMS_Swine_N2ODirect_Equations.VEERG_4_5_1_3__4_FractionOfNitrogenInSolidStorage_LatexEquation">_xlfn.LAMBDA("FN_{jm=4,T=1}=MMS_{jm=4,T=1}+(MMS_{jm=1,7,9,T=1}\times SN_{m})")</definedName>
    <definedName name="MMS_Swine_N2ODirect_Equations.VEERG_4_5_1_3__4_FractionOfNitrogenInSolidStorage_LatexEquationVariation">_xlfn.LAMBDA("FN_{jm=4,T=1}=MMS_{jm=4,T=1}+(MMS_{j,m=1,T=1}\times SS_{m=1,T=1})+(MMS_{j,m=7,T=1}\times SS_{m=7,T=1})+(MMS_{j,m=9,T=1}\times SS_{m=9,T=1})")</definedName>
    <definedName name="MMS_Swine_N2ODirect_Equations.VEERG_4_5_1_3__4_FractionOfNitrogenInSolidStorage_NIRReference">_xlfn.LAMBDA("")</definedName>
    <definedName name="MMS_Swine_N2ODirect_Equations.VEERG_4_5_1_3__4_FractionOfNitrogenInSolidStorage_Source">_xlfn.LAMBDA("VEERG 2026: 4.5.1.3, Equation (4)")</definedName>
    <definedName name="MMS_Swine_N2ODirect_Equations.VEERG_4_5_1_3__4_FractionOfNitrogenInSolidStorage_Title">_xlfn.LAMBDA("Fraction of nitrogen in solid storage")</definedName>
    <definedName name="MMS_Swine_N2ODirect_Equations.VEERG_4_5_1_3__4_FractionOfNitrogenInSolidStorage_Unit">_xlfn.LAMBDA("fraction")</definedName>
    <definedName name="MMS_Swine_N2ODirect_Equations.VEERG_4_5_1_3__4_FractionOfNitrogenInSolidStorage_Variable">_xlfn.LAMBDA("FN_jm4T1")</definedName>
    <definedName name="MMS_Swine_N2ODirect_Equations.VEERG_4_5_1_3__4_FractionOfNitrogenInSolidStorage_Variation">_xlfn.LAMBDA("VARIATION ON SOURCE: Split equation for MMSm=1,7,9 into separate items to allow for calculation")</definedName>
    <definedName name="MMS_Swine_N2ODirect_Equations.VEERG_4_5_1_3__4_FractionOfNitrogenInSolidStorageVariation">_xlfn.LAMBDA(_xlpm.MMS_jm4T1,_xlpm.MMSjmT1_1,_xlpm.MMSjmT1_2,_xlpm.MMSjmT1_3,_xlpm.MMSjmT1_4,_xlpm.MMSjmT1_5,_xlpm.SSjmT1_1,_xlpm.SSjmT1_2,_xlpm.SSjmT1_3,_xlpm.SSjmT1_4,_xlpm.SSjmT1_5, _xlpm.MMS_jm4T1 + (_xlpm.MMSjmT1_1 * _xlpm.SSjmT1_1) + (_xlpm.MMSjmT1_2 * _xlpm.SSjmT1_2) + (_xlpm.MMSjmT1_3 * _xlpm.SSjmT1_3) + (_xlpm.MMSjmT1_4 * _xlpm.SSjmT1_4) + (_xlpm.MMSjmT1_5 * _xlpm.SSjmT1_5))</definedName>
    <definedName name="MMS_Swine_N2ODirect_Equations.VEERG_4_5_1_3__5_AnnualNitrogenExcretion">_xlfn.LAMBDA(_xlpm.N_j,_xlpm.NW_j,_xlpm.D_j, _xlpm.N_j * _xlpm.NW_j * _xlpm.D_j)</definedName>
    <definedName name="MMS_Swine_N2ODirect_Equations.VEERG_4_5_1_3__5_AnnualNitrogenExcretion_Arguments">_xlfn.LAMBDA(_xlfn.MAKEARRAY(3, 4, _xlfn.LAMBDA(_xlpm.r,_xlpm.c, INDEX({"N_j","number of swine in each group","head","Input";"NW_j","nitrogen produced in swine manure and waste feed in each class","kg N/head/day","Input";"D_j","duration of stay of swine group","days","Input"}, _xlpm.r, _xlpm.c))))</definedName>
    <definedName name="MMS_Swine_N2ODirect_Equations.VEERG_4_5_1_3__5_AnnualNitrogenExcretion_LatexEquation">_xlfn.LAMBDA("AE_{j}=N_{j}\times NW_{j}\times D_{j}")</definedName>
    <definedName name="MMS_Swine_N2ODirect_Equations.VEERG_4_5_1_3__5_AnnualNitrogenExcretion_NIRReference">_xlfn.LAMBDA("")</definedName>
    <definedName name="MMS_Swine_N2ODirect_Equations.VEERG_4_5_1_3__5_AnnualNitrogenExcretion_Source">_xlfn.LAMBDA("VEERG 2026: 4.5.1.3, Equation (5)")</definedName>
    <definedName name="MMS_Swine_N2ODirect_Equations.VEERG_4_5_1_3__5_AnnualNitrogenExcretion_Title">_xlfn.LAMBDA("Annual nitrogen excretion from each swine group")</definedName>
    <definedName name="MMS_Swine_N2ODirect_Equations.VEERG_4_5_1_3__5_AnnualNitrogenExcretion_Unit">_xlfn.LAMBDA("kg N")</definedName>
    <definedName name="MMS_Swine_N2ODirect_Equations.VEERG_4_5_1_3__5_AnnualNitrogenExcretion_Variable">_xlfn.LAMBDA("AE_j")</definedName>
    <definedName name="MMS_Swine_N2ODirect_Equations.VEERG_4_5_1_3__6_Stage2NitrogenInMMS">_xlfn.LAMBDA(_xlpm.NT_jmT2,_xlpm.MMS_jmT2, _xlpm.NT_jmT2 * _xlpm.MMS_jmT2)</definedName>
    <definedName name="MMS_Swine_N2ODirect_Equations.VEERG_4_5_1_3__6_Stage2NitrogenInMMS_Arguments">_xlfn.LAMBDA(_xlfn.MAKEARRAY(2, 4, _xlfn.LAMBDA(_xlpm.r,_xlpm.c, INDEX({"NT_jmT2","nitrogen transferred to secondary treatment MMS","kg N","Calculated from 4.5.1.3 (7)";"MMS_jmT2","fraction of manure in each secondary system","fraction","Input"}, _xlpm.r, _xlpm.c))))</definedName>
    <definedName name="MMS_Swine_N2ODirect_Equations.VEERG_4_5_1_3__6_Stage2NitrogenInMMS_LatexEquation">_xlfn.LAMBDA("MN_{jm,T=2}=NT_{jm,T=2}\times MMS_{jm,T=2}")</definedName>
    <definedName name="MMS_Swine_N2ODirect_Equations.VEERG_4_5_1_3__6_Stage2NitrogenInMMS_NIRReference">_xlfn.LAMBDA("")</definedName>
    <definedName name="MMS_Swine_N2ODirect_Equations.VEERG_4_5_1_3__6_Stage2NitrogenInMMS_Source">_xlfn.LAMBDA("VEERG 2026: 4.5.1.3, Equation (6)")</definedName>
    <definedName name="MMS_Swine_N2ODirect_Equations.VEERG_4_5_1_3__6_Stage2NitrogenInMMS_Title">_xlfn.LAMBDA("Nitrogen in treatment stage 2 MMS")</definedName>
    <definedName name="MMS_Swine_N2ODirect_Equations.VEERG_4_5_1_3__6_Stage2NitrogenInMMS_Unit">_xlfn.LAMBDA("kg N")</definedName>
    <definedName name="MMS_Swine_N2ODirect_Equations.VEERG_4_5_1_3__6_Stage2NitrogenInMMS_Variable">_xlfn.LAMBDA("MN_jmT2")</definedName>
    <definedName name="MMS_Swine_N2ODirect_Equations.VEERG_4_5_1_3__7_NitrogenTransferredToStage2MMS">_xlfn.LAMBDA(_xlpm.MN_jmT1,_xlpm.FracGASMmT1,_xlpm.EF_mT1, _xlpm.MN_jmT1 * (1 - _xlpm.FracGASMmT1 - _xlpm.EF_mT1))</definedName>
    <definedName name="MMS_Swine_N2ODirect_Equations.VEERG_4_5_1_3__7_NitrogenTransferredToStage2MMS_Arguments">_xlfn.LAMBDA(_xlfn.MAKEARRAY(3, 4, _xlfn.LAMBDA(_xlpm.r,_xlpm.c, INDEX({"MN_jmT1","nitrogen per swine class in treatment stage 1 MMS","kg N","Calculated from 4.5.1.3 (2)(6)";"FracGASMmT1","fraction of N volatilised from MMS treatment at stage 1","fraction","Lookup";"EF_mT1","nitrous oxide emission factor for MMS treatment at stage 1","kg N2O-N/kg N","Lookup"}, _xlpm.r, _xlpm.c))))</definedName>
    <definedName name="MMS_Swine_N2ODirect_Equations.VEERG_4_5_1_3__7_NitrogenTransferredToStage2MMS_LatexEquation">_xlfn.LAMBDA("NT_{jm,T=2}=MN_{jm,T=1}\times(1-FracGASM_{m,T=1}-EF_{m,T=1})")</definedName>
    <definedName name="MMS_Swine_N2ODirect_Equations.VEERG_4_5_1_3__7_NitrogenTransferredToStage2MMS_NIRReference">_xlfn.LAMBDA("")</definedName>
    <definedName name="MMS_Swine_N2ODirect_Equations.VEERG_4_5_1_3__7_NitrogenTransferredToStage2MMS_Source">_xlfn.LAMBDA("VEERG 2026: 4.5.1.3, Equation (7)")</definedName>
    <definedName name="MMS_Swine_N2ODirect_Equations.VEERG_4_5_1_3__7_NitrogenTransferredToStage2MMS_Title">_xlfn.LAMBDA("Nitrogen transferred to treatment stage 2 MMS")</definedName>
    <definedName name="MMS_Swine_N2ODirect_Equations.VEERG_4_5_1_3__7_NitrogenTransferredToStage2MMS_Unit">_xlfn.LAMBDA("kg N")</definedName>
    <definedName name="MMS_Swine_N2ODirect_Equations.VEERG_4_5_1_3__7_NitrogenTransferredToStage2MMS_Variable">_xlfn.LAMBDA("NT_jmT2")</definedName>
    <definedName name="Result_CarbonRemovalsFromPlantings">'Input - Enterprise'!$E$69</definedName>
    <definedName name="Result_EmissionsForWholeProductionCycle_Gross_Method1">'Input - Enterprise'!$E$56</definedName>
    <definedName name="Result_EmissionsForWholeProductionCycle_Gross_Method2">'Input - Enterprise'!$F$56</definedName>
    <definedName name="Result_EmissionsForWholeProductionCycle_Method1">'Input - Enterprise'!$E$56</definedName>
    <definedName name="Result_EmissionsForWholeProductionCycle_Method2">'Input - Enterprise'!$F$56</definedName>
    <definedName name="Result_EmissionsForWholeProductionCycle_Net_Method1">'Input - Enterprise'!$E$80</definedName>
    <definedName name="Result_EmissionsForWholeProductionCycle_Net_Method2">'Input - Enterprise'!$F$80</definedName>
    <definedName name="Result_Enterprise_Gross_Method1">'Results - Activity period'!$E$58</definedName>
    <definedName name="Result_Enterprise_Gross_Method2">'Results - Activity period'!$F$58</definedName>
    <definedName name="Result_Enterprise_Net_Method1">'Results - Activity period'!$E$59</definedName>
    <definedName name="Result_Enterprise_Net_Method2">'Results - Activity period'!$F$59</definedName>
    <definedName name="Result_Enterprise_Removals">'Results - Activity period'!$E$52</definedName>
    <definedName name="Result_Enterprise_Scope1_Method1">'Results - Activity period'!$H$23</definedName>
    <definedName name="Result_Enterprise_Scope1_Method2">'Results - Activity period'!$I$23</definedName>
    <definedName name="Result_Enterprise_Scope2_Method1">'Results - Activity period'!$H$30</definedName>
    <definedName name="Result_Enterprise_Scope2_Method2">'Results - Activity period'!$I$30</definedName>
    <definedName name="Result_Enterprise_Scope3_Method1">'Results - Activity period'!$H$47</definedName>
    <definedName name="Result_Enterprise_Scope3_Method2">'Results - Activity period'!$I$47</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ArgumentsVariation">_xlfn.LAMBDA(_xlfn.MAKEARRAY(3, 4, _xlfn.LAMBDA(_xlpm.r,_xlpm.c, INDEX({"Q_j","quantity of feed type j purchased","kg","Input";"EF_j","emission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LatexEquationVariation">_xlfn.LAMBDA("E=\sum\nolimits_j\left(Q_j\times EF_j\right) \times 10^{-3}")</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2_1_1__1_EmissionsFromPurchasedFeed_Variation">_xlfn.LAMBDA("VARIATION ON SOURCE: Input Q_j in kg instead of t to match EF units. Multiply by 10^-3 to convert kg CO2e to t CO2e.")</definedName>
    <definedName name="Scope3_Equations.VEERG_15_2_1_1__1_EmissionsFromPurchasedFeedVariation">_xlfn.LAMBDA(_xlpm.Q_j,_xlpm.EF_j, (_xlpm.Q_j * _xlpm.EF_j) * 10 ^ -3)</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ArgumentsVariation">_xlfn.LAMBDA(_xlfn.MAKEARRAY(3, 4, _xlfn.LAMBDA(_xlpm.r,_xlpm.c, INDEX({"Q_m","total quantity of mineral supplement type m used","kg","Input";"EF_m","emission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LatexEquationVariation">_xlfn.LAMBDA("E=\sum\nolimits_m\left(Q_m\times EF_m\right) \times 10^{-3}")</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3_1_1__1_EmissionsFromPurchasedMineralSupplements_Variation">_xlfn.LAMBDA("VARIATION ON SOURCE: Input Q_j in kg instead of t to match EF units. Multiply by 10^-3 to convert kg CO2e to t CO2e.")</definedName>
    <definedName name="Scope3_Equations.VEERG_15_3_1_1__1_EmissionsFromPurchasedMineralSupplementsVariation">_xlfn.LAMBDA(_xlpm.Q_m,_xlpm.EF_m, (_xlpm.Q_m * _xlpm.EF_m) * 10 ^ -3)</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cope3_InputFunctions.GetLiveweight_PastureBeef">_xlfn.LAMBDA(_xlpm.PurchaseDate,_xlpm.LivestockClass,_xlpm.SourceRegion,_xlpm.SourceRegionLeftArray,_xlpm.SourceRegionRightArray,_xlpm.SeasonArray,_xlpm.LivestockClassArray,_xlpm.LiveweightArray, _xlfn.LET(_xlpm.Season, _xlfn.IFS(MONTH(_xlpm.PurchaseDate) &lt;= 2, "Summer", MONTH(_xlpm.PurchaseDate) &lt;= 5, "Autumn", MONTH(_xlpm.PurchaseDate) &lt;= 8, "Winter", MONTH(_xlpm.PurchaseDate) &lt;= 11, "Spring", MONTH(_xlpm.PurchaseDate) = 12, "Summer"), _xlpm.SourceRegionRight, IF(ISNUMBER(FIND(" - ", _xlpm.SourceRegion)), MID(_xlpm.SourceRegion, FIND(" - ", _xlpm.SourceRegion) + 3, LEN(_xlpm.SourceRegion)), "n/a"), _xlpm.SourceRegionLeft, IF(ISNUMBER(FIND(" - ", _xlpm.SourceRegion)), LEFT(_xlpm.SourceRegion, FIND(" - ", _xlpm.SourceRegion) - 1), _xlpm.SourceRegion), IFERROR(_xlfn.XLOOKUP(1, (_xlpm.SourceRegionLeftArray = _xlpm.SourceRegionLeft) * (_xlpm.SourceRegionRightArray = _xlpm.SourceRegionRight) * (_xlpm.SeasonArray = _xlpm.Season), _xlfn.XLOOKUP(_xlpm.LivestockClass, _xlpm.LivestockClassArray, _xlpm.LiveweightArray, 0), 0), 0)))</definedName>
    <definedName name="Scope3_SourceData.Scope3_Chemicals_Data">_xlfn.LAMBDA(_xlfn.MAKEARRAY(8, 7, _xlfn.LAMBDA(_xlpm.r,_xlpm.c, INDEX({"Category","Sub-category","Product name","Region of origin","Product Unit","GHG emission intensity","System boundary";"Chemicals","Cleaning chemicals","Alkaline cleaner","Global","kg",0.722,"at manufacturer";"Chemicals","Cleaning chemicals","Bleach","Global","kg",0.804,"at manufacturer";"Chemicals","Cleaning chemicals","Phosphoric acid","Global","kg",0.907,"at manufacturer";"Chemicals","Pharmacy chemicals","Parasite control for cattle (external), dipping","Global","p (head)",0.0547,"at manufacturer";"Chemicals","Pharmacy chemicals","Parasite control for cattle (internal)","Global","p (head)",0.0142,"at manufacturer";"Chemicals","Pharmacy chemicals","Parasite control for sheep (external)","Global","p (head)",0.0143,"at manufacturer";"Chemicals","Pharmacy chemicals","Parasite control for sheep (internal)","Global","p (head)",0.00426,"at manufacturer"}, _xlpm.r, _xlpm.c))))</definedName>
    <definedName name="Scope3_SourceData.Scope3_Chemicals_Source">_xlfn.LAMBDA(("Lifecycles. (2026). Greenhouse Gas Emission Intensities for Material Inputs to Australian Agriculture, Fisheries and Forestry. Version 48. doi 10.5281/zenodo.19656580"))</definedName>
    <definedName name="Scope3_SourceData.Scope3_Chemicals_Title">_xlfn.LAMBDA(("Chemicals scope 3"))</definedName>
    <definedName name="Scope3_SourceData.Scope3_Chemicals_Variation">_xlfn.LAMBDA((""))</definedName>
    <definedName name="Scope3_SourceData.Scope3_Feed_Data">_xlfn.LAMBDA(_xlfn.MAKEARRAY(78, 7, _xlfn.LAMBDA(_xlpm.r,_xlpm.c, INDEX({"Category","Sub-category","Product name","Region of origin","Product Unit","GHG emission intensity","System boundary";"Feed","Aquaculture feed","Sardines (whole)","SA","kg",0.376,"at market";"Feed","Grain","Barley grain","Australia","kg",0.239,"at market";"Feed","Grain","Barley grain","NSW","kg",0.256,"at market";"Feed","Grain","Barley grain","NT","kg",0.332,"at market";"Feed","Grain","Barley grain","QLD","kg",0.269,"at market";"Feed","Grain","Barley grain","SA","kg",0.223,"at market";"Feed","Grain","Barley grain","TAS","kg",0.307,"at market";"Feed","Grain","Barley grain","VIC","kg",0.241,"at market";"Feed","Grain","Barley grain","WA","kg",0.236,"at market";"Feed","Grain","Maize grain","Australia","kg",0.181,"at market";"Feed","Grain","Maize grain","NSW","kg",0.169,"at market";"Feed","Grain","Maize grain","NT","kg",0.256,"at market";"Feed","Grain","Maize grain","QLD","kg",0.186,"at market";"Feed","Grain","Maize grain","SA","kg",0.176,"at market";"Feed","Grain","Maize grain","VIC","kg",0.159,"at market";"Feed","Grain","Maize grain","WA","kg",0.285,"at market";"Feed","Grain","Sorghum grain","Australia","kg",0.232,"at market";"Feed","Grain","Sorghum grain","NSW","kg",0.232,"at market";"Feed","Grain","Sorghum grain","QLD","kg",0.231,"at market";"Feed","Grain","Sorghum grain","SA","kg",0.218,"at market";"Feed","Grain","Sorghum grain","VIC","kg",0.246,"at market";"Feed","Grain","Wheat grain","Australia","kg",0.268,"at market";"Feed","Grain","Wheat grain","NSW","kg",0.282,"at market";"Feed","Grain","Wheat grain","NT","kg",0.385,"at market";"Feed","Grain","Wheat grain","QLD","kg",0.296,"at market";"Feed","Grain","Wheat grain","SA","kg",0.241,"at market";"Feed","Grain","Wheat grain","TAS","kg",0.338,"at market";"Feed","Grain","Wheat grain","VIC","kg",0.266,"at market";"Feed","Grain","Wheat grain","WA","kg",0.261,"at market";"Feed","Hay","Cereal hay","Australia","kg",0.117,"at market";"Feed","Hay","Cereal hay","NSW","kg",0.116,"at market";"Feed","Hay","Cereal hay","QLD","kg",0.118,"at market";"Feed","Hay","Cereal hay","SA","kg",0.111,"at market";"Feed","Hay","Cereal hay","TAS","kg",0.139,"at market";"Feed","Hay","Cereal hay","VIC","kg",0.116,"at market";"Feed","Hay","Cereal hay","WA","kg",0.122,"at market";"Feed","Hay","Cereal silage","Australia","kg",0.0744,"at market";"Feed","Hay","Cereal silage","NSW","kg",0.0739,"at market";"Feed","Hay","Cereal silage","QLD","kg",0.079,"at market";"Feed","Hay","Cereal silage","SA","kg",0.0706,"at market";"Feed","Hay","Cereal silage","TAS","kg",0.0808,"at market";"Feed","Hay","Cereal silage","VIC","kg",0.0736,"at market";"Feed","Hay","Lucerne hay","Australia","kg",0.117,"at market";"Feed","Hay","Lucerne hay","NSW","kg",0.113,"at market";"Feed","Hay","Lucerne hay","QLD","kg",0.143,"at market";"Feed","Hay","Lucerne hay","SA","kg",0.106,"at market";"Feed","Hay","Lucerne hay","TAS","kg",0.113,"at market";"Feed","Hay","Lucerne hay","VIC","kg",0.106,"at market";"Feed","Hay","Maize silage","VIC","kg",0.163,"at market";"Feed","Hay","Oaten hay","Australia","kg",0.12,"at market";"Feed","Hay","Oaten hay","NSW","kg",0.119,"at market";"Feed","Hay","Oaten hay","QLD","kg",0.117,"at market";"Feed","Hay","Oaten hay","SA","kg",0.114,"at market";"Feed","Hay","Oaten hay","VIC","kg",0.118,"at market";"Feed","Hay","Oaten hay","WA","kg",0.124,"at market";"Feed","Hay","Pasture hay","Australia","kg",0.339,"at market";"Feed","Hay","Pasture hay","NSW","kg",0.311,"at market";"Feed","Hay","Pasture hay","QLD","kg",0.254,"at market";"Feed","Hay","Pasture hay","SA","kg",0.313,"at market";"Feed","Hay","Pasture hay","TAS","kg",0.398,"at market";"Feed","Hay","Pasture hay","VIC","kg",0.345,"at market";"Feed","Hay","Pasture hay","WA","kg",0.368,"at market";"Feed","Meal","Canola meal","Australia","kg",0.244,"at market";"Feed","Meal","Meat meal","Australia","kg",0.408,"at market";"Feed","Meal","Soybean meal","Brazil","kg",0.426,"at market";"Feed","Meal","Wheat bran","Australia","kg",0.196,"at market";"Feed","Mixed rations","Feed for chickens","Australia","kg",0.594,"at market";"Feed","Mixed rations","Feed for dairy calves","Australia","kg",0.419,"at market";"Feed","Mixed rations","Feed for dairy cows","Australia","kg",0.333,"at market";"Feed","Mixed rations","Feed for pigs","Australia","kg",0.403,"at market";"Feed","Other","Bentonite","Australia","kg",0.0652,"at market";"Feed","Other","Canola oil","Australia","kg",0.87,"at market";"Feed","Other","Cotton seed","Australia","kg",0.197,"at market";"Feed","Other","Lick block, dry season mix","Australia","kg",0.881,"at market";"Feed","Other","Lick block, mineral","Australia","kg",0.677,"at market";"Feed","Other","Lick block, weaner","Australia","kg",0.231,"at market";"Feed","Other","Molasses","QLD","kg",0.184,"at market"}, _xlpm.r, _xlpm.c))))</definedName>
    <definedName name="Scope3_SourceData.Scope3_Feed_Source">_xlfn.LAMBDA(("Lifecycles. (2026). Greenhouse Gas Emission Intensities for Material Inputs to Australian Agriculture, Fisheries and Forestry. Version 48. doi 10.5281/zenodo.19656580"))</definedName>
    <definedName name="Scope3_SourceData.Scope3_Feed_Title">_xlfn.LAMBDA(("Feed scope 3"))</definedName>
    <definedName name="Scope3_SourceData.Scope3_Feed_Variation">_xlfn.LAMBDA((""))</definedName>
    <definedName name="Scope3_SourceData.Scope3_FishFeedAndBait_Data">_xlfn.LAMBDA(_xlfn.MAKEARRAY(6, 6, _xlfn.LAMBDA(_xlpm.r,_xlpm.c, INDEX({"Category","Product name","Region of origin","Product Unit","GHG emission intensity","System boundary";"Fish feed and bait","Sardines (whole)","Australia","kg",0.3,"Not specified";"Fish feed and bait","Low Animal Protein Formulated Feed","Australia","kg",2.2,"Not specified";"Fish feed and bait","Squid","Australia","kg",0.3,"Not specified";"Fish feed and bait","Whole fish","Australia","kg",0.3,"Not specified";"Fish feed and bait","Custom Bait","Australia","kg",0.08,"Not specified"}, _xlpm.r, _xlpm.c))))</definedName>
    <definedName name="Scope3_SourceData.Scope3_FishFeedAndBait_Source">_xlfn.LAMBDA(("VEERG 2026: Table A.3.1.1: Life-cycle emission factors for purchased feed (kg CO2e/kg) (EFj)"))</definedName>
    <definedName name="Scope3_SourceData.Scope3_FishFeedAndBait_Title">_xlfn.LAMBDA(("Fish feed and bait scope 3"))</definedName>
    <definedName name="Scope3_SourceData.Scope3_FishFeedAndBait_Variation">_xlfn.LAMBDA((""))</definedName>
    <definedName name="Scope3_SourceData.Scope3_InorganicFertilisers_Data">_xlfn.LAMBDA(_xlfn.MAKEARRAY(26, 7, _xlfn.LAMBDA(_xlpm.r,_xlpm.c, INDEX({"Category","Sub-category","Product name","Region of origin","Product Unit","GHG emission intensity","System boundary";"Fertilisers","Inorganic fertilisers","Ammonia, AU market mix","Global","kg",2.32,"at market";"Fertilisers","Inorganic fertilisers","Ammonia, Canada","Canada","kg",2.12,"at market";"Fertilisers","Inorganic fertilisers","Ammonia, China","China","kg",4.17,"at market";"Fertilisers","Inorganic fertilisers","Ammonia, Yemen","Yemen","kg",2.26,"at market";"Fertilisers","Inorganic fertilisers","Ammonium nitrate, AU market mix","Global","kg",2.21,"at market";"Fertilisers","Inorganic fertilisers","Calcium ammonium nitrate, AU market mix","Global","kg",1.15,"at market";"Fertilisers","Inorganic fertilisers","Calcium nitrate","Global","kg",0.75,"at market";"Fertilisers","Inorganic fertilisers","Diammonium phosphate, AU market mix","Global","kg",1.34,"at market";"Fertilisers","Inorganic fertilisers","Double superphosphate, AU market mix","Global","kg",0.392,"at market";"Fertilisers","Inorganic fertilisers","Monoammonium phosphate, AU market mix","Global","kg",0.827,"at market";"Fertilisers","Inorganic fertilisers","Muriate of potash, AU market mix","Global","kg",0.549,"at market";"Fertilisers","Inorganic fertilisers","Nitrogen from ammonia, AU market mix","Global","kg N",2.83,"at market";"Fertilisers","Inorganic fertilisers","Nitrogen from fertilizer, AU market mix","Global","kg N",4.2,"at market";"Fertilisers","Inorganic fertilisers","Nitrogen from nitrate fertilizer, AU market mix","Global","kg N",5.47,"at market";"Fertilisers","Inorganic fertilisers","Phosphorus from fertilizer, AU market mix","Global","kg P",3.96,"at market";"Fertilisers","Inorganic fertilisers","Potassium from fertilizer, AU market mix","Global","kg K",0.909,"at market";"Fertilisers","Inorganic fertilisers","Single superphosphate, AU market mix","Global","kg",0.227,"at market";"Fertilisers","Inorganic fertilisers","Sulfur from fertilizer, AU market mix","Global","kg S",2.5,"at market";"Fertilisers","Inorganic fertilisers","Ammonium sulphate, AU market mix","Global","kg",0.865,"at market";"Fertilisers","Inorganic fertilisers","Urea ammonium nitrate, AU market mix","Global","kg",1.75,"at market";"Fertilisers","Inorganic fertilisers","Urea, AU market mix","Global","kg",0.968,"at market";"Fertilisers","Inorganic fertilisers","Urea, Canada","Canada","kg",0.823,"at market";"Fertilisers","Inorganic fertilisers","Urea, China","China","kg",2.09,"at market";"Fertilisers","Inorganic fertilisers","Urea, Yemen","Yemen","kg",0.963,"at market";"Fertilisers","Inorganic fertilisers","Zinc from fertilizer","Global","kg Zn",4.82,"at market"}, _xlpm.r, _xlpm.c))))</definedName>
    <definedName name="Scope3_SourceData.Scope3_InorganicFertilisers_Source">_xlfn.LAMBDA(("Lifecycles. (2026). Greenhouse Gas Emission Intensities for Material Inputs to Australian Agriculture, Fisheries and Forestry. Version 48. doi 10.5281/zenodo.19656580"))</definedName>
    <definedName name="Scope3_SourceData.Scope3_InorganicFertilisers_Title">_xlfn.LAMBDA(("Inorganic fertiliser chemical compound scope 3"))</definedName>
    <definedName name="Scope3_SourceData.Scope3_InorganicFertilisers_Variation">_xlfn.LAMBDA((""))</definedName>
    <definedName name="Scope3_SourceData.Scope3_Livestock_Data">_xlfn.LAMBDA(_xlfn.MAKEARRAY(42, 7, _xlfn.LAMBDA(_xlpm.r,_xlpm.c, INDEX({"Category","Sub-category","Product name","Region of origin","Product Unit","GHG emission intensity","System boundary";"Animals","Beef cattle","Cattle, for manufacturing beef","Australia","kg liveweight",11,"at market";"Animals","Beef cattle","Cattle, for manufacturing beef","NSW","kg liveweight",8.21,"at market";"Animals","Beef cattle","Cattle, for manufacturing beef","NT","kg liveweight",12.2,"at market";"Animals","Beef cattle","Cattle, for manufacturing beef","QLD","kg liveweight",10.9,"at market";"Animals","Beef cattle","Cattle, for manufacturing beef","SA","kg liveweight",7.63,"at market";"Animals","Beef cattle","Cattle, for manufacturing beef","TAS","kg liveweight",8.75,"at market";"Animals","Beef cattle","Cattle, for manufacturing beef","VIC","kg liveweight",8.17,"at market";"Animals","Beef cattle","Cattle, for manufacturing beef","WA","kg liveweight",13.1,"at market";"Animals","Beef cattle","Cattle, for prime beef","Australia","kg liveweight",14.5,"at market";"Animals","Beef cattle","Cattle, for prime beef","NSW","kg liveweight",11.3,"at market";"Animals","Beef cattle","Cattle, for prime beef","NT","kg liveweight",18.9,"at market";"Animals","Beef cattle","Cattle, for prime beef","QLD","kg liveweight",13.9,"at market";"Animals","Beef cattle","Cattle, for prime beef","SA","kg liveweight",12.3,"at market";"Animals","Beef cattle","Cattle, for prime beef","TAS","kg liveweight",11.5,"at market";"Animals","Beef cattle","Cattle, for prime beef","VIC","kg liveweight",11.5,"at market";"Animals","Beef cattle","Cattle, for prime beef","WA","kg liveweight",20.8,"at market";"Animals","Beef cattle","Cattle, weaners","Australia","kg liveweight",15.5,"at market";"Animals","Beef cattle","Cattle, weaners","NSW","kg liveweight",12.7,"at market";"Animals","Beef cattle","Cattle, weaners","NT","kg liveweight",19.1,"at market";"Animals","Beef cattle","Cattle, weaners","QLD","kg liveweight",20.5,"at market";"Animals","Beef cattle","Cattle, weaners","SA","kg liveweight",10.8,"at market";"Animals","Beef cattle","Cattle, weaners","TAS","kg liveweight",13.4,"at market";"Animals","Beef cattle","Cattle, weaners","VIC","kg liveweight",12,"at market";"Animals","Beef cattle","Cattle, weaners","WA","kg liveweight",12.4,"at market";"Animals","Chickens","Chickens","Australia","kg liveweight",1.36,"at market";"Animals","Dairy cattle","Dairy cows","VIC","kg liveweight",4.41,"at market";"Animals","Pigs","Pigs","Australia","kg liveweight",3.38,"at market";"Animals","Sheep","Sheep, for mutton","Australia","kg liveweight",6.81,"at market";"Animals","Sheep","Sheep, for mutton","NSW","kg liveweight",2.26,"at market";"Animals","Sheep","Sheep, for mutton","QLD","kg liveweight",6.33,"at market";"Animals","Sheep","Sheep, for mutton","SA","kg liveweight",6.18,"at market";"Animals","Sheep","Sheep, for mutton","TAS","kg liveweight",7.5,"at market";"Animals","Sheep","Sheep, for mutton","VIC","kg liveweight",8.08,"at market";"Animals","Sheep","Sheep, for mutton","WA","kg liveweight",5.45,"at market";"Animals","Sheep","Sheep, for prime lamb","Australia","kg liveweight",7.15,"at market";"Animals","Sheep","Sheep, for prime lamb","NSW","kg liveweight",8.29,"at market";"Animals","Sheep","Sheep, for prime lamb","QLD","kg liveweight",6.39,"at market";"Animals","Sheep","Sheep, for prime lamb","SA","kg liveweight",6.87,"at market";"Animals","Sheep","Sheep, for prime lamb","TAS","kg liveweight",8.66,"at market";"Animals","Sheep","Sheep, for prime lamb","VIC","kg liveweight",10,"at market";"Animals","Sheep","Sheep, for prime lamb","WA","kg liveweight",5.67,"at market"}, _xlpm.r, _xlpm.c))))</definedName>
    <definedName name="Scope3_SourceData.Scope3_Livestock_Source">_xlfn.LAMBDA(("Lifecycles. (2026). Greenhouse Gas Emission Intensities for Material Inputs to Australian Agriculture, Fisheries and Forestry. Version 48. doi 10.5281/zenodo.19656580"))</definedName>
    <definedName name="Scope3_SourceData.Scope3_Livestock_Title">_xlfn.LAMBDA(("Livestock scope 3"))</definedName>
    <definedName name="Scope3_SourceData.Scope3_Livestock_Variation">_xlfn.LAMBDA((""))</definedName>
    <definedName name="Scope3_SourceData.Scope3_Other_Data">_xlfn.LAMBDA(_xlfn.MAKEARRAY(9, 7, _xlfn.LAMBDA(_xlpm.r,_xlpm.c, INDEX({"Category","Sub-category","Product name","Region of origin","Product Unit","GHG emission intensity","System boundary";"Other","Other","Animal ear tags (large)","Australia","p",0.0424,"at market";"Other","Other","Animal ear tags (small)","Australia","p",0.0293,"at market";"Other","Other","Barley grain (for seed)","Australia","kg",0.239,"at market";"Other","Other","Maize grain (for seed)","Australia","kg",0.181,"at market";"Other","Other","Nylon netting","Global","kg",9.81,"at market";"Other","Other","Oat grain (for seed)","Australia","kg",0.27,"at market";"Other","Other","Sorghum grain (for seed)","Australia","kg",0.232,"at market";"Other","Other","Wheat grain (for seed)","Australia","kg",0.268,"at market"}, _xlpm.r, _xlpm.c))))</definedName>
    <definedName name="Scope3_SourceData.Scope3_Other_Source">_xlfn.LAMBDA(("Lifecycles. (2026). Greenhouse Gas Emission Intensities for Material Inputs to Australian Agriculture, Fisheries and Forestry. Version 48. doi 10.5281/zenodo.19656580"))</definedName>
    <definedName name="Scope3_SourceData.Scope3_Other_Title">_xlfn.LAMBDA(("Other agricultural inputs scope 3"))</definedName>
    <definedName name="Scope3_SourceData.Scope3_Other_Variation">_xlfn.LAMBDA((""))</definedName>
    <definedName name="Scope3_SourceData.Scope3_Packaging_Data">_xlfn.LAMBDA(_xlfn.MAKEARRAY(5, 7, _xlfn.LAMBDA(_xlpm.r,_xlpm.c, INDEX({"Category","Sub-category","Product name","Region of origin","Product Unit","GHG emission intensity","System boundary";"Packaging","Packaging","Corrugated board","Global","kg",1.05,"at manufacturer";"Packaging","Packaging","Plastic crate polypropylene","Global","p",3.99,"at manufacturer";"Packaging","Packaging","Plastic film LDPE","Global","kg",3.44,"at manufacturer";"Packaging","Packaging","Plastic sheet HDPE","Global","kg",3.72,"at manufacturer"}, _xlpm.r, _xlpm.c))))</definedName>
    <definedName name="Scope3_SourceData.Scope3_Packaging_Source">_xlfn.LAMBDA(("Lifecycles. (2026). Greenhouse Gas Emission Intensities for Material Inputs to Australian Agriculture, Fisheries and Forestry. Version 48. doi 10.5281/zenodo.19656580"))</definedName>
    <definedName name="Scope3_SourceData.Scope3_Packaging_Title">_xlfn.LAMBDA(("Packaging scope 3"))</definedName>
    <definedName name="Scope3_SourceData.Scope3_Packaging_Variation">_xlfn.LAMBDA((""))</definedName>
    <definedName name="Scope3_SourceData.Scope3_Pesticides_Data">_xlfn.LAMBDA(_xlfn.MAKEARRAY(13, 7, _xlfn.LAMBDA(_xlpm.r,_xlpm.c, INDEX({"Category","Sub-category","Product name","Region of origin","Product Unit","GHG emission intensity","System boundary";"Pesticides","Pesticides","2,4-D","Global","kg AI",5.2,"at market";"Pesticides","Pesticides","Atrazine","Global","kg AI",8.38,"at market";"Pesticides","Pesticides","Diuron","Global","kg AI",8.8,"at market";"Pesticides","Pesticides","Glyphosate","Global","kg AI",10.3,"at market";"Pesticides","Pesticides","Mancozeb","Global","kg AI",4.55,"at market";"Pesticides","Pesticides","MCPA","Global","kg AI",5.6,"at market";"Pesticides","Pesticides","Metolachlor","Global","kg AI",8.06,"at market";"Pesticides","Pesticides","Metsulfuron-methyl","Global","kg AI",8.8,"at market";"Pesticides","Pesticides","Pesticides (generic)","Global","kg AI",9.16,"at market";"Pesticides","Pesticides","Tri-allate","Global","kg AI",8.57,"at market";"Pesticides","Pesticides","Tribenuron methyl","Global","kg AI",8.8,"at market";"Pesticides","Pesticides","Trifluralin","Global","kg AI",6.16,"at market"}, _xlpm.r, _xlpm.c))))</definedName>
    <definedName name="Scope3_SourceData.Scope3_Pesticides_Source">_xlfn.LAMBDA(("Lifecycles. (2026). Greenhouse Gas Emission Intensities for Material Inputs to Australian Agriculture, Fisheries and Forestry. Version 48. doi 10.5281/zenodo.19656580"))</definedName>
    <definedName name="Scope3_SourceData.Scope3_Pesticides_Title">_xlfn.LAMBDA(("Pesticides scope 3"))</definedName>
    <definedName name="Scope3_SourceData.Scope3_Pesticides_Variation">_xlfn.LAMBDA((""))</definedName>
    <definedName name="Scope3_SourceData.Scope3_SoilAmendments_Data">_xlfn.LAMBDA(_xlfn.MAKEARRAY(4, 7, _xlfn.LAMBDA(_xlpm.r,_xlpm.c, INDEX({"Category","Sub-category","Product name","Region of origin","Product Unit","GHG emission intensity","System boundary";"Soil ameliorants","Soil ameliorants","Dolomite","Australia","kg",0.0652,"at market";"Soil ameliorants","Soil ameliorants","Gypsum","Australia","kg",0.0652,"at market";"Soil ameliorants","Soil ameliorants","Limestone (crushed)","Australia","kg",0.0485,"at market"}, _xlpm.r, _xlpm.c))))</definedName>
    <definedName name="Scope3_SourceData.Scope3_SoilAmendments_Source">_xlfn.LAMBDA(("Lifecycles. (2026). Greenhouse Gas Emission Intensities for Material Inputs to Australian Agriculture, Fisheries and Forestry. Version 48. doi 10.5281/zenodo.19656580"))</definedName>
    <definedName name="Scope3_SourceData.Scope3_SoilAmendments_Title">_xlfn.LAMBDA(("Soil amendments scope 3"))</definedName>
    <definedName name="Scope3_SourceData.Scope3_SoilAmendments_Variation">_xlfn.LAMBDA((""))</definedName>
    <definedName name="SourceData_Dairy.NIR_2023_Vol1_Dairy_3_B_1_a_AshContent_Data">_xlfn.LAMBDA(0.8)</definedName>
    <definedName name="SourceData_Dairy.NIR_2023_Vol1_Dairy_3_B_1_a_AshContent_Source">_xlfn.LAMBDA("Equation 3.B.1a_2")</definedName>
    <definedName name="SourceData_Dairy.NIR_2023_Vol1_Dairy_3_B_1_a_AshContent_Title">_xlfn.LAMBDA("A = ash content expressed as a fraction")</definedName>
    <definedName name="SourceData_Dairy.NIR_2023_Vol1_Dairy_3_B_1_a_AshContent_Unit">_xlfn.LAMBDA("fraction")</definedName>
    <definedName name="SourceData_Dairy.NIR_2023_Vol1_Dairy_3_B_1_a_EmissionsPotential_Data">_xlfn.LAMBDA(0.24)</definedName>
    <definedName name="SourceData_Dairy.NIR_2023_Vol1_Dairy_3_B_1_a_EmissionsPotential_Source">_xlfn.LAMBDA("Equation 3.B.1a_2")</definedName>
    <definedName name="SourceData_Dairy.NIR_2023_Vol1_Dairy_3_B_1_a_EmissionsPotential_Title">_xlfn.LAMBDA("B0 = emissions potential")</definedName>
    <definedName name="SourceData_Dairy.NIR_2023_Vol1_Dairy_3_B_1_a_EmissionsPotential_Unit">_xlfn.LAMBDA("m3 CH4/kg VS")</definedName>
    <definedName name="SourceData_Dairy.NIR_2023_Vol2_A5_5_1_1_DairyCattleLiveWeight_Data">_xlfn.LAMBDA(_xlfn.MAKEARRAY(2, 6, _xlfn.LAMBDA(_xlpm.r,_xlpm.c, INDEX({"Time period","Milking Cows","Heifers &gt;1","Heifers &lt;1 (weaned)","Bulls &gt;1","Bulls &lt;1 (weaned)";"2020–2023",550,370,179,600,225}, _xlpm.r, _xlpm.c))))</definedName>
    <definedName name="SourceData_Dairy.NIR_2023_Vol2_A5_5_1_1_DairyCattleLiveWeight_Source">_xlfn.LAMBDA("National Inventory Report 2023 Volume 2: Table A5.5.1.1")</definedName>
    <definedName name="SourceData_Dairy.NIR_2023_Vol2_A5_5_1_1_DairyCattleLiveWeight_Title">_xlfn.LAMBDA("Table A5.5.1.1 Dairy cattle – Liveweight")</definedName>
    <definedName name="SourceData_Dairy.NIR_2023_Vol2_A5_5_1_1_DairyCattleLiveWeight_Unit">_xlfn.LAMBDA("kg")</definedName>
    <definedName name="SourceData_Dairy.NIR_2023_Vol2_A5_5_1_2_DairyCattleLiveWeightGain_Data">_xlfn.LAMBDA(_xlfn.MAKEARRAY(2, 6, _xlfn.LAMBDA(_xlpm.r,_xlpm.c, INDEX({"Time period","Milking Cows","Heifers &gt;1","Heifers &lt;1 (weaned)","Bulls &gt;1","Bulls &lt;1 (weaned)";"2020–2023",0.016,0.6,0.57,0.1,0.8}, _xlpm.r, _xlpm.c))))</definedName>
    <definedName name="SourceData_Dairy.NIR_2023_Vol2_A5_5_1_2_DairyCattleLiveWeightGain_Source">_xlfn.LAMBDA("National Inventory Report 2023 Volume 2: Table A5.5.1.2")</definedName>
    <definedName name="SourceData_Dairy.NIR_2023_Vol2_A5_5_1_2_DairyCattleLiveWeightGain_Title">_xlfn.LAMBDA("Table A5.5.1.2 Dairy cattle – Liveweight gain")</definedName>
    <definedName name="SourceData_Dairy.NIR_2023_Vol2_A5_5_1_2_DairyCattleLiveWeightGain_Unit">_xlfn.LAMBDA("kg/day")</definedName>
    <definedName name="SourceData_Dairy.NIR_2023_Vol2_A5_5_1_3_DairyCattleStandardReferenceWeight_Data">_xlfn.LAMBDA(_xlfn.MAKEARRAY(2, 6, _xlfn.LAMBDA(_xlpm.r,_xlpm.c, INDEX({"Time period","Milking Cows","Heifers &gt;1","Heifers &lt;1 (weaned)","Bulls &gt;1","Bulls &lt;1 (weaned)";"2020–2023",590,590,590,770,770}, _xlpm.r, _xlpm.c))))</definedName>
    <definedName name="SourceData_Dairy.NIR_2023_Vol2_A5_5_1_3_DairyCattleStandardReferenceWeight_Source">_xlfn.LAMBDA("National Inventory Report 2023 Volume 2: Table A5.5.1.3")</definedName>
    <definedName name="SourceData_Dairy.NIR_2023_Vol2_A5_5_1_3_DairyCattleStandardReferenceWeight_Title">_xlfn.LAMBDA("Table A5.5.1.3 Dairy cattle – Standard reference weights")</definedName>
    <definedName name="SourceData_Dairy.NIR_2023_Vol2_A5_5_1_3_DairyCattleStandardReferenceWeight_Unit">_xlfn.LAMBDA("kg")</definedName>
    <definedName name="SourceData_Dairy.NIR_2023_Vol2_A5_5_1_4_DairyCattleDMDAndCP_Data">_xlfn.LAMBDA(_xlfn.MAKEARRAY(2, 3, _xlfn.LAMBDA(_xlpm.r,_xlpm.c, INDEX({"State","DMD","CP";"All",75,20}, _xlpm.r, _xlpm.c))))</definedName>
    <definedName name="SourceData_Dairy.NIR_2023_Vol2_A5_5_1_4_DairyCattleDMDAndCP_Source">_xlfn.LAMBDA("National Inventory Report 2023 Volume 2: Table A5.5.1.4")</definedName>
    <definedName name="SourceData_Dairy.NIR_2023_Vol2_A5_5_1_4_DairyCattleDMDAndCP_Title">_xlfn.LAMBDA("Table A5.5.1.4 Dairy cattle – Dry matter digestibility and crude protein content of feed intake")</definedName>
    <definedName name="SourceData_Dairy.NIR_2023_Vol2_A5_5_1_4_DairyCattleDMDAndCP_Unit">_xlfn.LAMBDA("per cent")</definedName>
    <definedName name="SourceData_Dairy.NIR_2023_Vol2_A5_5_1_5_DairyCattlePreWeanedData_Data">_xlfn.LAMBDA(_xlfn.MAKEARRAY(3, 6, _xlfn.LAMBDA(_xlpm.r,_xlpm.c, INDEX({"Date range","Class","CH4 production","Volatile solids","Faecal N","Urinary N";"2005+","Heifers&lt;1",0.0176,0.2685,0.0055,0.0082;"All years","Bulls&lt;1",0.0204,0.3003,0.005,0.0042}, _xlpm.r, _xlpm.c))))</definedName>
    <definedName name="SourceData_Dairy.NIR_2023_Vol2_A5_5_1_5_DairyCattlePreWeanedData_Source">_xlfn.LAMBDA("National Inventory Report 2023 Volume 2: Table A5.5.1.5")</definedName>
    <definedName name="SourceData_Dairy.NIR_2023_Vol2_A5_5_1_5_DairyCattlePreWeanedData_Title">_xlfn.LAMBDA("Table A5.5.1.5 Dairy cattle – Data for pre-weaned calves")</definedName>
    <definedName name="SourceData_Dairy.NIR_2023_Vol2_A5_5_1_5_DairyCattlePreWeanedData_Unit">_xlfn.LAMBDA("kg/day")</definedName>
    <definedName name="SourceData_Dairy.NIR_2023_Vol2_A5_5_1_7_DairyCattleMCFsForMMS_Data">_xlfn.LAMBDA(_xlfn.MAKEARRAY(6, 9, _xlfn.LAMBDA(_xlpm.r,_xlpm.c, INDEX({"MMS","ACT","NSW","NT","QLD","SA","TAS","VIC","WA";"Pasture",0.01,0.01,0.02,0.01,0.01,0.01,0.01,0.01;"Anaerobic lagoon",0.72,0.76,0.8,0.78,0.74,0.69,0.73,0.76;"Sump and dispersal systems (b)",0.005,0.005,0.01,0.005,0.005,0.001,0.005,0.005;"Drains to paddocks (c)",0.15,0.18,0.5,0.24,0.17,0.13,0.17,0.18;"Solid Storage",0.02,0.02,0.02,0.02,0.02,0.02,0.02,0.02}, _xlpm.r, _xlpm.c))))</definedName>
    <definedName name="SourceData_Dairy.NIR_2023_Vol2_A5_5_1_7_DairyCattleMCFsForMMS_Source">_xlfn.LAMBDA("National Inventory Report 2023 Volume 2: Table A5.5.1.7")</definedName>
    <definedName name="SourceData_Dairy.NIR_2023_Vol2_A5_5_1_7_DairyCattleMCFsForMMS_Title">_xlfn.LAMBDA("Table A5.5.1.7 Dairy cattle – MCFs")</definedName>
    <definedName name="SourceData_Dairy.NIR_2023_Vol2_A5_5_1_7_DairyCattleMCFsForMMS_Unit">_xlfn.LAMBDA("")</definedName>
    <definedName name="SourceData_Dairy.NIR_2023_Vol2_A5_5_1_9_DairyCattleNO2EFAndFracN_Data">_xlfn.LAMBDA(_xlfn.MAKEARRAY(6, 3, _xlfn.LAMBDA(_xlpm.r,_xlpm.c, INDEX({"MMS","EF (kg N2O-N/kg N excreted)","FracGASMm (kg N2O-N/kg N excreted)";"Void at Pasture",0,0;"Anaerobic lagoon",0,0.35;"Daily Spread – Sump and Dispersal",0,0.07;"Daily Spread – Drains to Paddock",0,0.2;"Solid Storage",0.005,0.3}, _xlpm.r, _xlpm.c))))</definedName>
    <definedName name="SourceData_Dairy.NIR_2023_Vol2_A5_5_1_9_DairyCattleNO2EFAndFracN_Source">_xlfn.LAMBDA("National Inventory Report 2023 Volume 2: Table A5.5.1.9")</definedName>
    <definedName name="SourceData_Dairy.NIR_2023_Vol2_A5_5_1_9_DairyCattleNO2EFAndFracN_Title">_xlfn.LAMBDA("Table A5.5.1.9 Dairy cattle – Nitrous oxide EFs and fraction of N volatilised by MMS")</definedName>
    <definedName name="SourceData_Dairy.NIR_2023_Vol2_A5_5_1_9_DairyCattleNO2EFAndFracN_Unit">_xlfn.LAMBDA("kg N2O-N/kg N excreted")</definedName>
    <definedName name="SourceData_Dairy.SourceData_Dairy_AllocationOfWasteToMMS_Data">_xlfn.LAMBDA(_xlfn.MAKEARRAY(6, 10, _xlfn.LAMBDA(_xlpm.r,_xlpm.c, INDEX({"MMSSymbol","MMS","ACT","NSW","NT","QLD","SA","TAS","VIC","WA";"14","Pasture",78.6,78.6,78.7,78.7,80.5,86.5,83.9,79.9;"1","Anaerobic lagoon",9,9,7.3,7.3,10.4,8.4,10.8,10;"3a","Daily Spread: Sump and dispersal",2,2,3.3,3.3,1.4,2.4,0.9,1.9;"3b","Daily Spread: Drains to paddocks",1.9,1.9,2.4,2.4,0.8,0.8,0.2,0.9;"4","Solid Storage",8.4,8.4,8.4,8.4,6.9,2,4.2,7.4}, _xlpm.r, _xlpm.c))))</definedName>
    <definedName name="SourceData_Dairy.SourceData_Dairy_AllocationOfWasteToMMS_Source">_xlfn.LAMBDA("National Inventory Report 2023 Volume 2 Table A5.5.1.8")</definedName>
    <definedName name="SourceData_Dairy.SourceData_Dairy_AllocationOfWasteToMMS_Title">_xlfn.LAMBDA("Table A5.5.1.8 Dairy cattle – Allocation of waste to MMS – Milking cows (per cent)")</definedName>
    <definedName name="SourceData_Dairy.SourceData_Dairy_AllocationOfWasteToMMS_Unit">_xlfn.LAMBDA("percent")</definedName>
    <definedName name="SourceData_Dairy.SourceData_Dairy_AllocationOfWasteToMMS_Variable">_xlfn.LAMBDA("")</definedName>
    <definedName name="SourceData_Dairy.SourceData_Dairy_AshContent_Data">_xlfn.LAMBDA(0.08)</definedName>
    <definedName name="SourceData_Dairy.SourceData_Dairy_AshContent_Source">_xlfn.LAMBDA("VEERG 2026: 4.3.2.3 CONSTANTS")</definedName>
    <definedName name="SourceData_Dairy.SourceData_Dairy_AshContent_Title">_xlfn.LAMBDA("Ash content of manure")</definedName>
    <definedName name="SourceData_Dairy.SourceData_Dairy_AshContent_Unit">_xlfn.LAMBDA("fraction")</definedName>
    <definedName name="SourceData_Dairy.SourceData_Dairy_AshContent_Variable">_xlfn.LAMBDA("A")</definedName>
    <definedName name="SourceData_Dairy.SourceData_Dairy_AshContent_Variation">_xlfn.LAMBDA("")</definedName>
    <definedName name="SourceData_Dairy.SourceData_Dairy_CrudeProtein_Data">_xlfn.LAMBDA(0.2)</definedName>
    <definedName name="SourceData_Dairy.SourceData_Dairy_CrudeProtein_Source">_xlfn.LAMBDA("VEERG 2026: 4.3.2.2	DATA (METHOD 1 AND 2 OPTIONS)")</definedName>
    <definedName name="SourceData_Dairy.SourceData_Dairy_CrudeProtein_Title">_xlfn.LAMBDA("Crude protein content of feed intake")</definedName>
    <definedName name="SourceData_Dairy.SourceData_Dairy_CrudeProtein_Unit">_xlfn.LAMBDA("fraction")</definedName>
    <definedName name="SourceData_Dairy.SourceData_Dairy_CrudeProtein_Variable">_xlfn.LAMBDA("CP")</definedName>
    <definedName name="SourceData_Dairy.SourceData_Dairy_CrudeProtein_Variation">_xlfn.LAMBDA("")</definedName>
    <definedName name="SourceData_Dairy.SourceData_Dairy_DryMatterDigestibility_Data">_xlfn.LAMBDA(0.75)</definedName>
    <definedName name="SourceData_Dairy.SourceData_Dairy_DryMatterDigestibility_Source">_xlfn.LAMBDA("VEERG 2026: 3.3.2.2	DATA (METHOD 1 AND 2 OPTIONS)")</definedName>
    <definedName name="SourceData_Dairy.SourceData_Dairy_DryMatterDigestibility_Title">_xlfn.LAMBDA("Dry matter digestibility")</definedName>
    <definedName name="SourceData_Dairy.SourceData_Dairy_DryMatterDigestibility_Unit">_xlfn.LAMBDA("fraction")</definedName>
    <definedName name="SourceData_Dairy.SourceData_Dairy_DryMatterDigestibility_Variable">_xlfn.LAMBDA("DMD")</definedName>
    <definedName name="SourceData_Dairy.SourceData_Dairy_DryMatterDigestibility_Variation">_xlfn.LAMBDA("")</definedName>
    <definedName name="SourceData_Dairy.SourceData_Dairy_DurationOfStay_Data">_xlfn.LAMBDA(_xlfn.MAKEARRAY(6, 3, _xlfn.LAMBDA(_xlpm.r,_xlpm.c, INDEX({"Animal class j","Duration (weaned)","Duration (pre-weaned)";"Milking cows",365,0;"Heifers &gt; 1 year",365,0;"Heifers &lt; 1 year",281,84;"Bulls &gt; 1 year",365,0;"Bulls &lt; 1 year",281,84}, _xlpm.r, _xlpm.c))))</definedName>
    <definedName name="SourceData_Dairy.SourceData_Dairy_DurationOfStay_Source">_xlfn.LAMBDA("VEERG 2026: 4.3.2.2	DATA (METHOD 1 AND 2 OPTIONS)")</definedName>
    <definedName name="SourceData_Dairy.SourceData_Dairy_DurationOfStay_Title">_xlfn.LAMBDA("Duration of stay for each dairy cattle input class")</definedName>
    <definedName name="SourceData_Dairy.SourceData_Dairy_DurationOfStay_Unit">_xlfn.LAMBDA("days")</definedName>
    <definedName name="SourceData_Dairy.SourceData_Dairy_DurationOfStay_Variable">_xlfn.LAMBDA("D")</definedName>
    <definedName name="SourceData_Dairy.SourceData_Dairy_DurationOfStay_Variation">_xlfn.LAMBDA("VARIATION OF SOURCE: Converted free text in document to table, matching livestock class names.")</definedName>
    <definedName name="SourceData_Dairy.SourceData_Dairy_EfficiencyOfUseOfMetabolizableEnergy_Data">_xlfn.LAMBDA(0.6)</definedName>
    <definedName name="SourceData_Dairy.SourceData_Dairy_EfficiencyOfUseOfMetabolizableEnergy_Source">_xlfn.LAMBDA("VEERG 2026: 3.3.2.3 CONSTANTS")</definedName>
    <definedName name="SourceData_Dairy.SourceData_Dairy_EfficiencyOfUseOfMetabolizableEnergy_Title">_xlfn.LAMBDA("Efficiency of use of metabolizable energy for milk production")</definedName>
    <definedName name="SourceData_Dairy.SourceData_Dairy_EfficiencyOfUseOfMetabolizableEnergy_Unit">_xlfn.LAMBDA("fraction")</definedName>
    <definedName name="SourceData_Dairy.SourceData_Dairy_EfficiencyOfUseOfMetabolizableEnergy_Variable">_xlfn.LAMBDA("k")</definedName>
    <definedName name="SourceData_Dairy.SourceData_Dairy_EfficiencyOfUseOfMetabolizableEnergy_Variation">_xlfn.LAMBDA("")</definedName>
    <definedName name="SourceData_Dairy.SourceData_Dairy_EFNitrousOxidePerMMS_Data">_xlfn.LAMBDA(_xlfn.MAKEARRAY(6, 3, _xlfn.LAMBDA(_xlpm.r,_xlpm.c, INDEX({"MMS m","EFm","NIR reference";"m=14 Pasture",0,"Pasture range and paddock";"m=1 Anerobic Lagoon",0,"Anaerobic lagoon";"m=2 Daily Spread: Sump and dispersal",0,"Sump and dispersal system";"m=3 Daily Spread: Drains to paddocks",0,"Drains to paddock";"m=4 Solid Storage",0.005,"Solid storage"}, _xlpm.r, _xlpm.c))))</definedName>
    <definedName name="SourceData_Dairy.SourceData_Dairy_EFNitrousOxidePerMMS_Source">_xlfn.LAMBDA("VEERG 2026: Table A.1.3.11")</definedName>
    <definedName name="SourceData_Dairy.SourceData_Dairy_EFNitrousOxidePerMMS_Title">_xlfn.LAMBDA("Table A.1.3.11: Dairy cattle - EF for nitrous oxide per MMS (kg N2O-N/kg N) (EFm)")</definedName>
    <definedName name="SourceData_Dairy.SourceData_Dairy_EFNitrousOxidePerMMS_Unit">_xlfn.LAMBDA("kg N2O-N/kg N")</definedName>
    <definedName name="SourceData_Dairy.SourceData_Dairy_EFNitrousOxidePerMMS_Variable">_xlfn.LAMBDA("EFm")</definedName>
    <definedName name="SourceData_Dairy.SourceData_Dairy_EFNitrousOxidePerMMS_Variation">_xlfn.LAMBDA("VARIATION OF SOURCE: Added 'NIR reference' column to aid lookup")</definedName>
    <definedName name="SourceData_Dairy.SourceData_Dairy_EmissionFactorForLeachingAndRunoff_Data">_xlfn.LAMBDA(0.011)</definedName>
    <definedName name="SourceData_Dairy.SourceData_Dairy_EmissionFactorForLeachingAndRunoff_Source">_xlfn.LAMBDA("VEERG 2026: 4.3.2.3 CONSTANTS")</definedName>
    <definedName name="SourceData_Dairy.SourceData_Dairy_EmissionFactorForLeachingAndRunoff_Title">_xlfn.LAMBDA("Emission factor for leaching and runoff")</definedName>
    <definedName name="SourceData_Dairy.SourceData_Dairy_EmissionFactorForLeachingAndRunoff_Unit">_xlfn.LAMBDA("kg N2O-N/kg N")</definedName>
    <definedName name="SourceData_Dairy.SourceData_Dairy_EmissionFactorForLeachingAndRunoff_Variable">_xlfn.LAMBDA("EF_leach")</definedName>
    <definedName name="SourceData_Dairy.SourceData_Dairy_EmissionFactorForLeachingAndRunoff_Variation">_xlfn.LAMBDA("")</definedName>
    <definedName name="SourceData_Dairy.SourceData_Dairy_FatContentInMilk_Data">_xlfn.LAMBDA(4)</definedName>
    <definedName name="SourceData_Dairy.SourceData_Dairy_FatContentInMilk_Source">_xlfn.LAMBDA("VEERG 2026: 3.3.2.2 DATA (METHOD 1 AND 2 OPTIONS)")</definedName>
    <definedName name="SourceData_Dairy.SourceData_Dairy_FatContentInMilk_Title">_xlfn.LAMBDA("Fat content in fat and protein corrected milk")</definedName>
    <definedName name="SourceData_Dairy.SourceData_Dairy_FatContentInMilk_Unit">_xlfn.LAMBDA("percent")</definedName>
    <definedName name="SourceData_Dairy.SourceData_Dairy_FatContentInMilk_Variable">_xlfn.LAMBDA("FC_j")</definedName>
    <definedName name="SourceData_Dairy.SourceData_Dairy_FatContentInMilk_Variation">_xlfn.LAMBDA("")</definedName>
    <definedName name="SourceData_Dairy.SourceData_Dairy_FracGASMSoil_Data">_xlfn.LAMBDA(0.21)</definedName>
    <definedName name="SourceData_Dairy.SourceData_Dairy_FracGASMSoil_Source">_xlfn.LAMBDA("VEERG 2026: 4.3.2.3 CONSTANTS")</definedName>
    <definedName name="SourceData_Dairy.SourceData_Dairy_FracGASMSoil_Title">_xlfn.LAMBDA("Fraction of nitrogen volatilized from urine and faeces deposited on pasture")</definedName>
    <definedName name="SourceData_Dairy.SourceData_Dairy_FracGASMSoil_Unit">_xlfn.LAMBDA("(kg NH3-N + NOx-N)/kg N")</definedName>
    <definedName name="SourceData_Dairy.SourceData_Dairy_FracGASMSoil_Variable">_xlfn.LAMBDA("FracGASMsoil")</definedName>
    <definedName name="SourceData_Dairy.SourceData_Dairy_FracGASMSoil_Variation">_xlfn.LAMBDA("")</definedName>
    <definedName name="SourceData_Dairy.SourceData_Dairy_FractionOfNitrogenLostThroughLeachingAndRunoff_Data">_xlfn.LAMBDA(0.24)</definedName>
    <definedName name="SourceData_Dairy.SourceData_Dairy_FractionOfNitrogenLostThroughLeachingAndRunoff_Source">_xlfn.LAMBDA("VEERG 2026: 4.3.2.3 CONSTANTS")</definedName>
    <definedName name="SourceData_Dairy.SourceData_Dairy_FractionOfNitrogenLostThroughLeachingAndRunoff_Title">_xlfn.LAMBDA("Default fraction of N that is lost through leaching and runoff when manure is excreted to pasture, range and paddock (m=14).")</definedName>
    <definedName name="SourceData_Dairy.SourceData_Dairy_FractionOfNitrogenLostThroughLeachingAndRunoff_Unit">_xlfn.LAMBDA("Fraction")</definedName>
    <definedName name="SourceData_Dairy.SourceData_Dairy_FractionOfNitrogenLostThroughLeachingAndRunoff_Variable">_xlfn.LAMBDA("Frac_LEACH_MS")</definedName>
    <definedName name="SourceData_Dairy.SourceData_Dairy_FractionOfNitrogenLostThroughLeachingAndRunoff_Variation">_xlfn.LAMBDA("")</definedName>
    <definedName name="SourceData_Dairy.SourceData_Dairy_FractionOfNitrogenLostThroughLeachingAndRunoffSolidStorage_Data">_xlfn.LAMBDA(0.02)</definedName>
    <definedName name="SourceData_Dairy.SourceData_Dairy_FractionOfNitrogenLostThroughLeachingAndRunoffSolidStorage_Source">_xlfn.LAMBDA("VEERG 2026: 4.3.2.3 CONSTANTS")</definedName>
    <definedName name="SourceData_Dairy.SourceData_Dairy_FractionOfNitrogenLostThroughLeachingAndRunoffSolidStorage_Title">_xlfn.LAMBDA("Fraction of nitrogen lost through leaching and runoff for solid storage MMS only")</definedName>
    <definedName name="SourceData_Dairy.SourceData_Dairy_FractionOfNitrogenLostThroughLeachingAndRunoffSolidStorage_Unit">_xlfn.LAMBDA("Fraction")</definedName>
    <definedName name="SourceData_Dairy.SourceData_Dairy_FractionOfNitrogenLostThroughLeachingAndRunoffSolidStorage_Variable">_xlfn.LAMBDA("Frac_LEACH_MS")</definedName>
    <definedName name="SourceData_Dairy.SourceData_Dairy_FractionOfNitrogenLostThroughLeachingAndRunoffSolidStorage_Variation">_xlfn.LAMBDA("")</definedName>
    <definedName name="SourceData_Dairy.SourceData_Dairy_FractionVolatileSolidsVoidedMMS_Data">_xlfn.LAMBDA(
    _xlfn.MAKEARRAY(5, 4,
      _xlfn.LAMBDA(_xlpm.r,_xlpm.c,
        INDEX({"Area","Pasture","Milking Shed","Feedpad";"System 1: Grazed Only",0.89,0.11,0;"System 2: On feedpad for &lt;10 hr/day for &lt;3 months/year",0.79,0.11,0.1;"System 3: Pasture-grazed 3-9 months/year",0.534,0.11,0.356;"System 4: Zero grazing",0,0.11,0.89}, _xlpm.r, _xlpm.c)
      )
    )
  )</definedName>
    <definedName name="SourceData_Dairy.SourceData_Dairy_FractionVolatileSolidsVoidedMMS_Source">_xlfn.LAMBDA("VEERG 2026: Table A.1.3.10")</definedName>
    <definedName name="SourceData_Dairy.SourceData_Dairy_FractionVolatileSolidsVoidedMMS_Title">_xlfn.LAMBDA("Table A.1.3.10: Dairy cattle - Fraction of volatile solids voided to each manure management system (fraction) (MMSjm)")</definedName>
    <definedName name="SourceData_Dairy.SourceData_Dairy_FractionVolatileSolidsVoidedMMS_Unit">_xlfn.LAMBDA("fraction")</definedName>
    <definedName name="SourceData_Dairy.SourceData_Dairy_FractionVolatileSolidsVoidedMMS_Variable">_xlfn.LAMBDA("MMSjm")</definedName>
    <definedName name="SourceData_Dairy.SourceData_Dairy_FractionVolatileSolidsVoidedMMS_Variation">_xlfn.LAMBDA("VARIATION OF SOURCE: Excluded 'Annual fraction of time spent per area' row as this information is in the table title.")</definedName>
    <definedName name="SourceData_Dairy.SourceData_Dairy_GrossEnergyContent_Data">_xlfn.LAMBDA(18.4)</definedName>
    <definedName name="SourceData_Dairy.SourceData_Dairy_GrossEnergyContent_Source">_xlfn.LAMBDA("VEERG 2026: 3.3.2.3 CONSTANTS")</definedName>
    <definedName name="SourceData_Dairy.SourceData_Dairy_GrossEnergyContent_Title">_xlfn.LAMBDA("Gross energy content of feed dry matter")</definedName>
    <definedName name="SourceData_Dairy.SourceData_Dairy_GrossEnergyContent_Unit">_xlfn.LAMBDA("MJ / kgDM")</definedName>
    <definedName name="SourceData_Dairy.SourceData_Dairy_GrossEnergyContent_Variable">_xlfn.LAMBDA("GEC")</definedName>
    <definedName name="SourceData_Dairy.SourceData_Dairy_GrossEnergyContent_Variation">_xlfn.LAMBDA("")</definedName>
    <definedName name="SourceData_Dairy.SourceData_Dairy_IncreasedMetabolicRateMilk_Data">_xlfn.LAMBDA(
    _xlfn.MAKEARRAY(3, 2,
      _xlfn.LAMBDA(_xlpm.r,_xlpm.c,
        INDEX({"Animal Class j","MRj";"Milking cows, and house cows",1.1;"All other cattle classes",1}, _xlpm.r, _xlpm.c)
      )
    )
  )</definedName>
    <definedName name="SourceData_Dairy.SourceData_Dairy_IncreasedMetabolicRateMilk_Source">_xlfn.LAMBDA("VEERG 2026: Table A.1.3.9")</definedName>
    <definedName name="SourceData_Dairy.SourceData_Dairy_IncreasedMetabolicRateMilk_Title">_xlfn.LAMBDA("Table A.1.3.9: Dairy cattle - Increased metabolic rate when producing milk (MRj)")</definedName>
    <definedName name="SourceData_Dairy.SourceData_Dairy_IncreasedMetabolicRateMilk_Unit">_xlfn.LAMBDA("")</definedName>
    <definedName name="SourceData_Dairy.SourceData_Dairy_IncreasedMetabolicRateMilk_Variable">_xlfn.LAMBDA("MRj")</definedName>
    <definedName name="SourceData_Dairy.SourceData_Dairy_IncreasedMetabolicRateMilk_Variation">_xlfn.LAMBDA("")</definedName>
    <definedName name="SourceData_Dairy.SourceData_Dairy_LiveweightBulls_Data">_xlfn.LAMBDA(_xlfn.MAKEARRAY(2, 3, _xlfn.LAMBDA(_xlpm.r,_xlpm.c, INDEX({"Breed","Bulls &gt;1","Bulls &lt;1 (weaned)";"All breeds",600,225}, _xlpm.r, _xlpm.c))))</definedName>
    <definedName name="SourceData_Dairy.SourceData_Dairy_LiveweightBulls_Source">_xlfn.LAMBDA("VEERG 2026: Table A.1.3.2")</definedName>
    <definedName name="SourceData_Dairy.SourceData_Dairy_LiveweightBulls_Title">_xlfn.LAMBDA("Table A.1.3.2: Dairy cattle - Liveweight (kg) - Bulls (Wj)")</definedName>
    <definedName name="SourceData_Dairy.SourceData_Dairy_LiveweightBulls_Unit">_xlfn.LAMBDA("kg")</definedName>
    <definedName name="SourceData_Dairy.SourceData_Dairy_LiveweightBulls_Variable">_xlfn.LAMBDA("Wj")</definedName>
    <definedName name="SourceData_Dairy.SourceData_Dairy_LiveweightBulls_Variation">_xlfn.LAMBDA("")</definedName>
    <definedName name="SourceData_Dairy.SourceData_Dairy_LiveweightCowsAndHeifers_Data">_xlfn.LAMBDA(_xlfn.MAKEARRAY(11, 4, _xlfn.LAMBDA(_xlpm.r,_xlpm.c, INDEX({"Breed","Milking Cows","Heifers &gt;1","Heifers &lt;1 (weaned)";"Medium Friesian",550,380,155;"Large Friesian",600,415,170;"Holstein-Friesian",650,450,185;"Friesian crossbred",500,350,145;"Jersey",400,275,115;"Jersey crossbred",450,315,130;"Ayrshire",540,375,150;"Guernsey",480,335,140;"Brown Swiss",600,415,170;"Illawarra/Aussie Red",550,375,150}, _xlpm.r, _xlpm.c))))</definedName>
    <definedName name="SourceData_Dairy.SourceData_Dairy_LiveweightCowsAndHeifers_Source">_xlfn.LAMBDA("VEERG 2026: Table A.1.3.1")</definedName>
    <definedName name="SourceData_Dairy.SourceData_Dairy_LiveweightCowsAndHeifers_Title">_xlfn.LAMBDA("Table A.1.3.1: Dairy cattle - Liveweight (kg) - Cows and Heifers (Wj)")</definedName>
    <definedName name="SourceData_Dairy.SourceData_Dairy_LiveweightCowsAndHeifers_Unit">_xlfn.LAMBDA("kg")</definedName>
    <definedName name="SourceData_Dairy.SourceData_Dairy_LiveweightCowsAndHeifers_Variable">_xlfn.LAMBDA("Wj")</definedName>
    <definedName name="SourceData_Dairy.SourceData_Dairy_LiveweightGain_Data">_xlfn.LAMBDA(_xlfn.MAKEARRAY(2, 5, _xlfn.LAMBDA(_xlpm.r,_xlpm.c, INDEX({"Milking Cows","Heifers &gt;1","Heifers &lt;1 (weaned)","Bulls &gt;1","Bulls &lt;1 (weaned)";0.016,0.6,0.57,0.1,0.8}, _xlpm.r, _xlpm.c))))</definedName>
    <definedName name="SourceData_Dairy.SourceData_Dairy_LiveweightGain_Source">_xlfn.LAMBDA("VEERG 2026: Table A.1.3.3")</definedName>
    <definedName name="SourceData_Dairy.SourceData_Dairy_LiveweightGain_Title">_xlfn.LAMBDA("Table A.1.3.3: Dairy cattle - Liveweight gain (kg) (LWGj)")</definedName>
    <definedName name="SourceData_Dairy.SourceData_Dairy_LiveweightGain_Unit">_xlfn.LAMBDA("kg")</definedName>
    <definedName name="SourceData_Dairy.SourceData_Dairy_LiveweightGain_Variable">_xlfn.LAMBDA("LWGj")</definedName>
    <definedName name="SourceData_Dairy.SourceData_Dairy_LiveweightGain_Variation">_xlfn.LAMBDA("")</definedName>
    <definedName name="SourceData_Dairy.SourceData_Dairy_MCF_Data">_xlfn.LAMBDA(
    _xlfn.MAKEARRAY(7, 10,
      _xlfn.LAMBDA(_xlpm.r,_xlpm.c,
        INDEX({"MMS m","ACT","NSW","NT","QLD","SA","TAS","VIC","WA","NIR reference";"Pasture",0.01,0.01,0.02,0.01,0.01,0.01,0.01,0.01,"Pasture range and paddock";"Anaerobic lagoon",0.72,0.76,0.8,0.78,0.74,0.69,0.73,0.76,"Anaerobic lagoon";"Daily spread - Sump and dispersal systems",0.005,0.005,0.01,0.005,0.005,0.001,0.005,0.005,"Sump and dispersal system";"Daily spread - Drains to paddocks (a)",0.15,0.18,0.5,0.24,0.17,0.13,0.17,0.18,"Drains to paddock";"Solid Storage",0.02,0.02,0.02,0.02,0.02,0.02,0.02,0.02,"Solid storage";"Direct Application to soil",0,0,0,0,0,0,0,0,"Direct application"}, _xlpm.r, _xlpm.c)
      )
    )
  )</definedName>
    <definedName name="SourceData_Dairy.SourceData_Dairy_MCF_Source">_xlfn.LAMBDA("VEERG 2026: Table A.1.3.6")</definedName>
    <definedName name="SourceData_Dairy.SourceData_Dairy_MCF_Title">_xlfn.LAMBDA("Table A.1.3.6: Dairy cattle - Dairy cattle - MCFs (fraction) (MCFjm)")</definedName>
    <definedName name="SourceData_Dairy.SourceData_Dairy_MCF_Unit">_xlfn.LAMBDA("fraction")</definedName>
    <definedName name="SourceData_Dairy.SourceData_Dairy_MCF_Variable">_xlfn.LAMBDA("MCFjm")</definedName>
    <definedName name="SourceData_Dairy.SourceData_Dairy_MCF_Variation">_xlfn.LAMBDA("VARIATION OF SOURCE: Added 'NIR reference' column to aid lookup")</definedName>
    <definedName name="SourceData_Dairy.SourceData_Dairy_MethaneEmissionsPotential_Data">_xlfn.LAMBDA(0.24)</definedName>
    <definedName name="SourceData_Dairy.SourceData_Dairy_MethaneEmissionsPotential_Source">_xlfn.LAMBDA("VEERG 2026: 4.3.2.3 CONSTANTS")</definedName>
    <definedName name="SourceData_Dairy.SourceData_Dairy_MethaneEmissionsPotential_Title">_xlfn.LAMBDA("Methane emissions potential")</definedName>
    <definedName name="SourceData_Dairy.SourceData_Dairy_MethaneEmissionsPotential_Unit">_xlfn.LAMBDA("m3 CH4/kgVS")</definedName>
    <definedName name="SourceData_Dairy.SourceData_Dairy_MethaneEmissionsPotential_Variable">_xlfn.LAMBDA("B_o")</definedName>
    <definedName name="SourceData_Dairy.SourceData_Dairy_MethaneEmissionsPotential_Variation">_xlfn.LAMBDA("")</definedName>
    <definedName name="SourceData_Dairy.SourceData_Dairy_MethaneProductionPreWeanedCalves_Data">_xlfn.LAMBDA(_xlfn.MAKEARRAY(3, 2, _xlfn.LAMBDA(_xlpm.r,_xlpm.c, INDEX({"Animal Class j","MPWENTERIC";"Heifers &lt; 1 year",0.0176;"Bulls &lt; 1 year",0.0204}, _xlpm.r, _xlpm.c))))</definedName>
    <definedName name="SourceData_Dairy.SourceData_Dairy_MethaneProductionPreWeanedCalves_Source">_xlfn.LAMBDA("VEERG 2026: Table A.1.3.8")</definedName>
    <definedName name="SourceData_Dairy.SourceData_Dairy_MethaneProductionPreWeanedCalves_Title">_xlfn.LAMBDA("Table A.1.3.8: Dairy cattle - Methane production for pre-weaned heifer and bull calves (kg CH4/head/day) (MPWENTERIC,j=3,5)")</definedName>
    <definedName name="SourceData_Dairy.SourceData_Dairy_MethaneProductionPreWeanedCalves_Unit">_xlfn.LAMBDA("kg CH4/head/day")</definedName>
    <definedName name="SourceData_Dairy.SourceData_Dairy_MethaneProductionPreWeanedCalves_Variable">_xlfn.LAMBDA("MPWENTERIC,j=3,5")</definedName>
    <definedName name="SourceData_Dairy.SourceData_Dairy_MethaneProductionPreWeanedCalves_Variation">_xlfn.LAMBDA("")</definedName>
    <definedName name="SourceData_Dairy.SourceData_Dairy_NetEnergy_Data">_xlfn.LAMBDA(3.054)</definedName>
    <definedName name="SourceData_Dairy.SourceData_Dairy_NetEnergy_Source">_xlfn.LAMBDA("VEERG 2026: 3.3.2.3 CONSTANTS")</definedName>
    <definedName name="SourceData_Dairy.SourceData_Dairy_NetEnergy_Title">_xlfn.LAMBDA("Net energy required for milk production")</definedName>
    <definedName name="SourceData_Dairy.SourceData_Dairy_NetEnergy_Unit">_xlfn.LAMBDA("MJ net energy / kg milk")</definedName>
    <definedName name="SourceData_Dairy.SourceData_Dairy_NetEnergy_Variable">_xlfn.LAMBDA("NE")</definedName>
    <definedName name="SourceData_Dairy.SourceData_Dairy_NetEnergy_Variation">_xlfn.LAMBDA("")</definedName>
    <definedName name="SourceData_Dairy.SourceData_Dairy_NitrousOxideEFsAndFracGASM_Data">_xlfn.LAMBDA(_xlfn.MAKEARRAY(6, 4, _xlfn.LAMBDA(_xlpm.r,_xlpm.c, INDEX({"MMS m","EFm (kg N2O-N/kg N excreted)","FracGASMm (kg N2O-N/kg N excreted)","NIR reference";"M=14 Pasture",0,0,"Pasture range and paddock";"M=1 Anaerobic lagoon",0,0.35,"Anaerobic lagoon";"M=2 Daily Spread - Sump and Dispersal",0,0.07,"Sump and dispersal system";"M=3 Daily Spread - Drains to Paddock",0,0.2,"Drains to paddock";"M=3 Solid Storage",0.005,0.3,"Solid storage"}, _xlpm.r, _xlpm.c))))</definedName>
    <definedName name="SourceData_Dairy.SourceData_Dairy_NitrousOxideEFsAndFracGASM_Source">_xlfn.LAMBDA("VEERG 2026: Table A.1.3.7")</definedName>
    <definedName name="SourceData_Dairy.SourceData_Dairy_NitrousOxideEFsAndFracGASM_Title">_xlfn.LAMBDA("Table A.1.3.7: Dairy cattle - Nitrous oxide EFs and fraction of N volatilised by MMS")</definedName>
    <definedName name="SourceData_Dairy.SourceData_Dairy_NitrousOxideEFsAndFracGASM_Unit">_xlfn.LAMBDA("kg N2O-N/kg N excreted")</definedName>
    <definedName name="SourceData_Dairy.SourceData_Dairy_NitrousOxideEFsAndFracGASM_Variable">_xlfn.LAMBDA("EFm; FracGASMm")</definedName>
    <definedName name="SourceData_Dairy.SourceData_Dairy_NitrousOxideEFsAndFracGASM_Variation">_xlfn.LAMBDA("VARIATION OF SOURCE: Added 'NIR reference' column to aid lookup")</definedName>
    <definedName name="SourceData_Dairy.SourceData_Dairy_PreWeanedCalves_Data">_xlfn.LAMBDA(_xlfn.MAKEARRAY(4, 4, _xlfn.LAMBDA(_xlpm.r,_xlpm.c, INDEX({"Animal class j","CH4 production","Volatile solids (VSj=3,5)","Nitrogen Excreted (NPWj=3,5)";"","(kg/day)","(kg/day)","(kg/day)";"Heifers&lt;1",0.0176,0.2685,0.0137;"Bulls&lt;1",0.0204,0.3003,0.0092}, _xlpm.r, _xlpm.c))))</definedName>
    <definedName name="SourceData_Dairy.SourceData_Dairy_PreWeanedCalves_Source">_xlfn.LAMBDA("VEERG 2026: Table A.1.3.5")</definedName>
    <definedName name="SourceData_Dairy.SourceData_Dairy_PreWeanedCalves_Title">_xlfn.LAMBDA("Table A.1.3.5: Dairy cattle - Data for pre - weaned calves")</definedName>
    <definedName name="SourceData_Dairy.SourceData_Dairy_PreWeanedCalves_Unit">_xlfn.LAMBDA("kg/day")</definedName>
    <definedName name="SourceData_Dairy.SourceData_Dairy_PreWeanedCalves_Variable">_xlfn.LAMBDA("VSj=3,5; NPWj=3,5")</definedName>
    <definedName name="SourceData_Dairy.SourceData_Dairy_PreWeanedCalves_Variation">_xlfn.LAMBDA("VARIATION OF SOURCE: Added 'Animal class j' column header")</definedName>
    <definedName name="SourceData_Dairy.SourceData_Dairy_ProteinContentInMilk_Data">_xlfn.LAMBDA(3.3)</definedName>
    <definedName name="SourceData_Dairy.SourceData_Dairy_ProteinContentInMilk_Source">_xlfn.LAMBDA("VEERG 2026: 3.3.2.2 DATA (METHOD 1 AND 2 OPTIONS)")</definedName>
    <definedName name="SourceData_Dairy.SourceData_Dairy_ProteinContentInMilk_Title">_xlfn.LAMBDA("Protein content in fat and protein corrected milk")</definedName>
    <definedName name="SourceData_Dairy.SourceData_Dairy_ProteinContentInMilk_Unit">_xlfn.LAMBDA("percent")</definedName>
    <definedName name="SourceData_Dairy.SourceData_Dairy_ProteinContentInMilk_Variable">_xlfn.LAMBDA("PC_j")</definedName>
    <definedName name="SourceData_Dairy.SourceData_Dairy_ProteinContentInMilk_Variation">_xlfn.LAMBDA("")</definedName>
    <definedName name="SourceData_Dairy.SourceData_Dairy_ReferenceWeights_Data">_xlfn.LAMBDA(_xlfn.MAKEARRAY(2, 5, _xlfn.LAMBDA(_xlpm.r,_xlpm.c, INDEX({"Milking Cows","Heifers &gt;1","Heifers &lt;1 (weaned)","Bulls &gt;1","Bulls &lt;1 (weaned)";590,590,590,770,770}, _xlpm.r, _xlpm.c))))</definedName>
    <definedName name="SourceData_Dairy.SourceData_Dairy_ReferenceWeights_Source">_xlfn.LAMBDA("VEERG 2026: Table A.1.3.4")</definedName>
    <definedName name="SourceData_Dairy.SourceData_Dairy_ReferenceWeights_Title">_xlfn.LAMBDA("Table A.1.3.4: Dairy cattle - Reference weights (kg) (WRj)")</definedName>
    <definedName name="SourceData_Dairy.SourceData_Dairy_ReferenceWeights_Unit">_xlfn.LAMBDA("kg")</definedName>
    <definedName name="SourceData_Dairy.SourceData_Dairy_ReferenceWeights_Variable">_xlfn.LAMBDA("WRj")</definedName>
    <definedName name="SourceData_Dairy.SourceData_Dairy_ReferenceWeights_Variation">_xlfn.LAMBDA("")</definedName>
    <definedName name="SourceData_Dairy.SourceData_Dairy_Symbols_Livestock_Dairy_DairyCattleClasses_Data">_xlfn.LAMBDA(_xlfn.MAKEARRAY(6, 3, _xlfn.LAMBDA(_xlpm.r,_xlpm.c, INDEX({"Symbol","State/ territory (i)","";1,"Milking cows","Milking cows (1)";2,"Heifers &gt; 1 year","Heifers &gt; 1 year (2)";3,"Heifers &lt; 1 year","Heifers &lt; 1 year (3)";4,"Bulls &gt; 1 year","Bulls &gt; 1 year (4)";5,"Bulls &lt; 1 year","Bulls &lt; 1 year (5)"}, _xlpm.r, _xlpm.c))))</definedName>
    <definedName name="SourceData_Dairy.SourceData_Dairy_Symbols_Livestock_Dairy_DairyCattleClasses_Source">_xlfn.LAMBDA("National Inventory Report 2023 Volume 1")</definedName>
    <definedName name="SourceData_Dairy.SourceData_Dairy_Symbols_Livestock_Dairy_DairyCattleClasses_Title">_xlfn.LAMBDA("Table 5.2 Symbols used in algorithms for dairy cattle - Dairy cattle classes (j)")</definedName>
    <definedName name="SourceData_Dairy.SourceData_Dairy_Symbols_Livestock_Dairy_DairyCattleClasses_Unit">_xlfn.LAMBDA("")</definedName>
    <definedName name="SourceData_Dairy.SourceData_Dairy_Symbols_Livestock_Dairy_DairyCattleClasses_Variable">_xlfn.LAMBDA("j")</definedName>
    <definedName name="SourceData_Dairy.SourceData_Dairy_Symbols_Livestock_Dairy_StateTerritory_Data">_xlfn.LAMBDA(_xlfn.MAKEARRAY(9, 2, _xlfn.LAMBDA(_xlpm.r,_xlpm.c, INDEX({"Symbol","State/ territory (i)";1,"ACT";2,"Northern Territory";3,"NSW";4,"Queensland";5,"Tasmania";6,"South Australia";7,"Victoria";8,"Western Australia"}, _xlpm.r, _xlpm.c))))</definedName>
    <definedName name="SourceData_Dairy.SourceData_Dairy_Symbols_Livestock_Dairy_StateTerritory_Source">_xlfn.LAMBDA("National Inventory Report 2023 Volume 1")</definedName>
    <definedName name="SourceData_Dairy.SourceData_Dairy_Symbols_Livestock_Dairy_StateTerritory_Title">_xlfn.LAMBDA("Table 5.2 Symbols used in algorithms for dairy cattle - State/Territory (i)")</definedName>
    <definedName name="SourceData_Dairy.SourceData_Dairy_Symbols_Livestock_Dairy_StateTerritory_Unit">_xlfn.LAMBDA("")</definedName>
    <definedName name="SourceData_Dairy.SourceData_Dairy_Symbols_Livestock_Dairy_StateTerritory_Variable">_xlfn.LAMBDA("s")</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MCF_Data">_xlfn.LAMBDA(_xlfn.MAKEARRAY(6, 11, _xlfn.LAMBDA(_xlpm.r,_xlpm.c, INDEX({"Treatment stage T","MMS m","NSW","ACT","QLD","NT","SA","VIC","WA","TAS","NIR definition";"Primary","Dry lot (Feedpad)",0.01,0.01,0.03,"No data",0.01,0.01,0.01,"No data","Drylot (feed pad)";"Secondary","Solid Storage (Stockpile)",0.02,0.02,0.02,"No data",0.02,0.02,0.02,"No data","Solid storage";"Secondary","Composting (Passive Windrow)",0.01,0.01,0.01,"No data",0.01,0.01,0.01,"No data","Composting (passive windrow)";"Secondary","Direct Application to soil",0,0,0,"No data",0,0,0,"No data","Direct application";"Tertiary","Uncovered anaerobic lagoon (Effluent pond)",0.75,0.75,0.77,"No data",0.75,0.75,0.77,"No data","Anaerobic lagoon"}, _xlpm.r, _xlpm.c))))</definedName>
    <definedName name="SourceData_Feedlot.SourceData_Feedlot_MCF_Source">_xlfn.LAMBDA("VEERG 2026: Table A.1.7.4: Feedlot - MCFs")</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and TAS columns with 'no data' values";"Added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PastureBeef.NIR_2023_Vol2_A5_5_2_1_PastureBeef_Liveweight_Data">_xlfn.LAMBDA(_xlfn.MAKEARRAY(61, 15, _xlfn.LAMBDA(_xlpm.r,_xlpm.c, INDEX({"State","Region","Season","Bulls &lt; 1","Bulls &gt; 1","Cows &lt; 1","Cows 1-2","Cows &gt; 2","Cows 2-3","Cows &gt; 3","Steers &lt; 1","Steers &gt; 1","Steers 1-2","Steers 2-3","Steers &gt; 3";"ACT","","Spring",80,480,75,300,440,"","",75,380,"","","";"ACT","","Summer",170,520,160,360,470,"","",160,420,"","","";"ACT","","Autumn",240,550,220,390,490,"","",220,450,"","","";"ACT","","Winter",280,560,260,410,500,"","",260,460,"","","";"NSW","","Spring",80,480,75,300,440,"","",75,380,"","","";"NSW","","Summer",170,520,160,360,470,"","",160,420,"","","";"NSW","","Autumn",240,550,220,390,490,"","",220,450,"","","";"NSW","","Winter",280,560,260,410,500,"","",260,460,"","","";"SA","","Spring",250,800,220,400,500,"","",230,420,"","","";"SA","","Summer",320,800,280,420,500,"","",290,420,"","","";"SA","","Autumn",80,700,70,300,450,"","",75,400,"","","";"SA","","Winter",160,700,140,350,450,"","",150,400,"","","";"TAS","","Spring",105,700,85,300,490,"","",90,480,"","","";"TAS","","Summer",480,750,150,350,530,"","",160,460,"","","";"TAS","","Autumn",250,725,200,360,500,"","",215,490,"","","";"TAS","","Winter",260,700,210,380,460,"","",230,470,"","","";"VIC","","Spring",250,820,240,410,560,"","",240,510,"","","";"VIC","","Summer",280,850,260,440,550,"","",270,520,"","","";"VIC","","Autumn",100,700,95,300,450,"","",95,410,"","","";"VIC","","Winter",150,720,140,320,470,"","",140,440,"","","";"WA","South West","Spring",340,800,260,420,550,"","",300,480,"","","";"WA","South West","Summer",380,780,300,450,530,"","",340,470,"","","";"WA","South West","Autumn",100,680,80,320,480,"","",100,340,"","","";"WA","South West","Winter",190,700,150,330,490,"","",170,360,"","","";"WA","Pilbara","Spring",80,450,70,260,340,"","",80,370,"","","";"WA","Pilbara","Summer",150,500,140,310,360,"","",150,400,"","","";"WA","Pilbara","Autumn",230,550,220,330,380,"","",230,420,"","","";"WA","Pilbara","Winter",250,500,240,340,360,"","",250,390,"","","";"WA","Kimberley","Spring:",220,500,180,300,320,"","",210,340,"","","";"WA","Kimberley","Summer:",110,550,90,220,380,"","",100,390,"","","";"WA","Kimberley","Autumn:",170,600,140,270,390,"","",160,430,"","","";"WA","Kimberley","Winter:",200,550,150,280,350,"","",190,400,"","","";"NT","Alice Springs","Spring",220,706,208,323,"",415,467,223,"",371,493,585;"NT","Alice Springs","Summer",110,703,112,256,"",368,465,108,"",280,421,543;"NT","Alice Springs","Autumn",170,721,169,306,"",392,464,176,"",339,470,580;"NT","Alice Springs","Winter",200,727,211,338,"",432,492,222,"",377,498,590;"NT","Barkly","Spring",220,620,227,319,"",398,452,216,"",334,0,0;"NT","Barkly","Summer",110,650,108,262,"",346,430,111,"",236,0,0;"NT","Barkly","Autumn",170,670,170,266,"",363,444,169,"",282,0,0;"NT","Barkly","Winter",200,660,225,307,"",398,452,214,"",326,0,0;"NT","Northern","Spring",220,620,177,267,"",365,406,231,"",249,324,0;"NT","Northern","Summer",110,650,102,203,"",299,380,102,"",218,263,0;"NT","Northern","Autumn",170,670,173,250,"",336,414,175,"",243,304,0;"NT","Northern","Winter",200,660,202,272,"",365,390,208,"",260,337,0;"QLD","High","Spring",260,705,215,302,"",416,519,234,"",455,551,660;"QLD","High","Summer",153,703,118,277,"",397,483,111,"",304,521,547;"QLD","High","Autumn",168,718,191,319,"",440,506,188,"",326,520,582;"QLD","High","Winter",235,722,207,352,"",470,514,209,"",421,512,605;"QLD","Moderate/High","Spring",230,674,217,"",344,357,467,242,"",370,550,620;"QLD","Moderate/High","Summer",113,669,113,"",283,361,477,120,"",273,545,553;"QLD","Moderate/High","Autumn",172,685,172,"",309,376,471,238,"",329,573,620;"QLD","Moderate/High","Winter",241,692,208,"",344,364,484,260,"",350,567,620;"QLD","Moderate/Low","Spring",236,674,178,"",310,428,466,193,"",370,519,565;"QLD","Moderate/Low","Summer",120,669,112,"",250,390,448,115,"",273,433,556;"QLD","Moderate/Low","Autumn",125,685,140,"",277,407,455,141,"",296,445,593;"QLD","Moderate/Low","Winter",180,692,183,"",316,438,468,189,"",354,500,553;"QLD","Low","Spring",190,617,174,"",265,371,415,170,"",272,392,531;"QLD","Low","Summer",119,591,140,"",205,310,405,133,"",218,315,445;"QLD","Low","Autumn",175,610,163,"",232,351,427,146,"",242,320,471;"QLD","Low","Winter",192,615,162,"",255,364,420,157,"",261,342,484}, _xlpm.r, _xlpm.c))))</definedName>
    <definedName name="SourceData_PastureBeef.NIR_2023_Vol2_A5_5_2_1_PastureBeef_Liveweight_Source">_xlfn.LAMBDA("National Inventory Report 2023 Volume 2 - Table A5.5.2.1")</definedName>
    <definedName name="SourceData_PastureBeef.NIR_2023_Vol2_A5_5_2_1_PastureBeef_Liveweight_Title">_xlfn.LAMBDA("Beef cattle - Liveweight")</definedName>
    <definedName name="SourceData_PastureBeef.NIR_2023_Vol2_A5_5_2_1_PastureBeef_Liveweight_Unit">_xlfn.LAMBDA("kg/head/day")</definedName>
    <definedName name="SourceData_PastureBeef.NIR_2023_Vol2_A5_5_2_1_PastureBeef_Liveweight_Variation">_xlfn.LAMBDA("")</definedName>
    <definedName name="SourceData_PastureBeef.NIR_2023_Vol2_A5_5_2_2_PastureBeef_LiveweightGain_Data">_xlfn.LAMBDA(_xlfn.MAKEARRAY(61, 15, _xlfn.LAMBDA(_xlpm.r,_xlpm.c, INDEX({"State","Region","Season","Bulls &lt; 1","Bulls &gt; 1","Cows &lt; 1","Cows 1-2","Cows &gt; 2","Cows 2-3","Cows &gt; 3","Steers &lt; 1","Steers &gt; 1","Steers 1-2","Steers 2-3","Steers &gt; 3";"ACT","","Spring",0.5,0.2,0.5,0.4,0.3,"","",0.5,0.4,"","","";"ACT","","Summer",1,0.4,0.9,0.7,0.3,"","",0.9,0.4,"","","";"ACT","","Autumn",0.8,0.3,0.7,0.3,0.2,"","",0.7,0.3,"","","";"ACT","","Winter",0.4,0.1,0.4,0.2,0.1,"","",0.4,0.1,"","","";"NSW","","Spring",0.5,0.2,0.5,0.4,0.3,"","",0.5,0.4,"","","";"NSW","","Summer",1,0.4,0.9,0.7,0.3,"","",0.9,0.4,"","","";"NSW","","Autumn",0.8,0.3,0.7,0.3,0.2,"","",0.7,0.3,"","","";"NSW","","Winter",0.4,0.1,0.4,0.2,0.1,"","",0.4,0.1,"","","";"SA","","Spring",0.99,1.1,0.88,0.55,0.55,"","",0.88,0.22,"","","";"SA","","Summer",0.77,0,0.66,0.22,0,"","",0.66,0,"","","";"SA","","Autumn",0.9,-1.1,0.7,0.22,-0.55,"","",0.8,-0.22,"","","";"SA","","Winter",0.88,0,0.77,0.55,0,"","",0.82,0,"","","";"TAS","","Spring",1,0.5,1,1,-0.44,"","",1,0.5,"","","";"TAS","","Summer",0.82,0.55,0.71,0.55,0.99,"","",0.77,0.5,"","","";"TAS","","Autumn",0.77,0.5,0.55,0.11,-0.33,"","",0.6,0.33,"","","";"TAS","","Winter",0.11,-0.27,0.11,0.22,-0.44,"","",0.16,-0.22,"","","";"VIC","","Spring",1.1,1.1,1.1,0.99,0.99,"","",1.1,0.77,"","","";"VIC","","Summer",0.33,0.33,0.22,0.33,-0.1,"","",0.33,0.11,"","","";"VIC","","Autumn",0.5,0.2,0.55,0.44,0.2,"","",0.55,0.2,"","","";"VIC","","Winter",0.55,0.22,0.49,0.22,0.22,"","",0.49,0.33,"","","";"WA","South West","Spring",1.64,1.1,1.21,0.99,0.66,"","",1.42,1.1,"","","";"WA","South West","Summer",0.44,-0.22,0.44,0.33,-0.22,"","",0.44,-0.11,"","","";"WA","South West","Autumn",0.6,0,0.6,0.22,-0.55,"","",0.6,0,"","","";"WA","South West","Winter",0.99,0.22,0.77,0.11,0.11,"","",0.77,0.44,"","","";"WA","Pilbara","Spring",0.7,-0.55,0.7,0.22,-0.22,"","",0.7,-0.22,"","","";"WA","Pilbara","Summer",0.77,0.55,0.77,0.66,0.55,"","",0.77,0.33,"","","";"WA","Pilbara","Autumn",0.88,0.55,0.88,0.22,0.22,"","",0.88,0.22,"","","";"WA","Pilbara","Winter",0.22,-0.55,0.22,0.11,-0.22,"","",0.22,-0.33,"","","";"WA","Kimberley","Spring",0.22,-0.55,0.33,0.22,-0.33,"","",0.22,-0.55,"","","";"WA","Kimberley","Summer",0.8,0.55,0.7,0.44,0.66,"","",0.8,0.55,"","","";"WA","Kimberley","Autumn",0.66,0.55,0.55,0.55,0.11,"","",0.66,0.55,"","","";"WA","Kimberley","Winter",0.33,-0.55,0.11,0.11,-0.44,"","",0.33,-0.55,"","","";"NT","Alice Springs","Spring",0.22,-0.23,0.25,0.17,"",0.18,-0.28,0.32,"",0.24,0.25,-0.05;"NT","Alice Springs","Summer",0.66,0.2,0.62,0.54,"",0.38,0.27,0.75,"",0.64,0.55,0.48;"NT","Alice Springs","Autumn",0.49,0.13,0.54,0.45,"",0.35,0.15,0.63,"",0.54,0.42,0.26;"NT","Alice Springs","Winter",0.27,-0.8,0.22,0.09,"",0.12,0.02,0.25,"",0.18,0.12,0.03;"NT","Barkly","Spring",0.22,-0.44,0.2,0.21,"",0.18,0.01,0.12,"",0.09,0,0;"NT","Barkly","Summer",0.66,0.22,0.68,0.22,"",0.24,0.25,0.64,"",0.37,0,0;"NT","Barkly","Autumn",0.49,0.05,0.64,0.25,"",0.29,0.12,0.57,"",0.49,0,0;"NT","Barkly","Winter",0.27,-0.27,0.31,0.29,"",0.19,0.04,0.26,"",0.28,0,0;"NT","Northern","Spring",0.22,-0.44,0,0.15,"",0.08,0.17,0.06,"",0.02,-0.14,0;"NT","Northern","Summer",0.66,0.22,0.79,0.4,"",0.38,0.27,0.8,"",0.16,0.3,0;"NT","Northern","Autumn",0.49,0.05,0.55,0.38,"",0.36,0.06,0.58,"",0.23,0.4,0;"NT","Northern","Winter",0.27,-0.27,0.02,0.09,"",0.16,-0.04,0.21,"",0.03,0.11,0;"QLD","High","Spring",0.27,-0.19,0.38,0.25,"",0.07,0.05,0.52,"",0.55,0.19,0.6;"QLD","High","Summer",0.16,0.16,0.8,0.57,"",0.76,0.49,0.84,"",0.51,0.36,0.17;"QLD","High","Autumn",0.45,0.1,0.49,0.41,"",0.4,0.17,0.54,"",0.64,-0.05,0.32;"QLD","High","Winter",0.51,-0.07,0.13,-0.09,"",-0.13,0.07,0.25,"",0.71,0.17,0.43;"QLD","Moderate/High","Spring",-0.12,-0.19,0.41,0.09,"",0.41,-0.19,0.07,"",1.07,-0.08,0;"QLD","Moderate/High","Summer",0.65,0.19,0.65,0.51,"",0.18,0.63,1.3,"",0.48,1.12,0.38;"QLD","Moderate/High","Autumn",0.7,0.13,0.52,0.34,"",0.02,0.04,0.77,"",0.42,0.12,0.74;"QLD","Moderate/High","Winter",0.32,-0.06,0.25,0.19,"",-0.1,-0.02,0.02,"",0.23,-0.13,0;"QLD","Moderate/Low","Spring",0.62,-0.19,0.37,0.41,"",0.06,-0.02,0.47,"",0.44,0.3,0.13;"QLD","Moderate/Low","Summer",0.05,0.19,0.31,0.54,"",0.53,0.15,0.28,"",0.57,0.42,0.4;"QLD","Moderate/Low","Autumn",0.33,0.13,0.39,0.36,"",0.26,0.11,0.4,"",0.44,0.37,-0.01;"QLD","Moderate/Low","Winter",0.61,-0.06,0.21,0.18,"",0.12,0.06,0.29,"",0.41,0.41,-0.15;"QLD","Low","Spring",-0.2,0.02,0.24,0.3,"",0.23,-0.05,0.34,"",0.3,0.57,0.52;"QLD","Low","Summer",0.62,0.21,0.25,0.32,"",0.47,0.31,0.14,"",0.4,0.26,0.43;"QLD","Low","Autumn",0.4,0.13,0.12,0.27,"",0.3,0.08,0.13,"",0.24,0.15,0.21;"QLD","Low","Winter",0.08,0.04,0.06,0.18,"",0.11,-0.07,0.13,"",0.16,0.4,0.33}, _xlpm.r, _xlpm.c))))</definedName>
    <definedName name="SourceData_PastureBeef.NIR_2023_Vol2_A5_5_2_2_PastureBeef_LiveweightGain_Source">_xlfn.LAMBDA("National Inventory Report 2023 Volume 2 - Table A5.5.2.2")</definedName>
    <definedName name="SourceData_PastureBeef.NIR_2023_Vol2_A5_5_2_2_PastureBeef_LiveweightGain_Title">_xlfn.LAMBDA("Beef cattle - Liveweight gain")</definedName>
    <definedName name="SourceData_PastureBeef.NIR_2023_Vol2_A5_5_2_2_PastureBeef_LiveweightGain_Unit">_xlfn.LAMBDA("kg/head/day")</definedName>
    <definedName name="SourceData_PastureBeef.NIR_2023_Vol2_A5_5_2_2_PastureBeef_LiveweightGain_Variation">_xlfn.LAMBDA("VARIATION OF SOURCE DATA: ACT and NSW split. 'NO' replaced with 0.")</definedName>
    <definedName name="SourceData_PastureBeef.NIR_2023_Vol2_A5_5_2_3_PastureBeef_DryMatterDigestibility_Data">_xlfn.LAMBDA(_xlfn.MAKEARRAY(11, 6, _xlfn.LAMBDA(_xlpm.r,_xlpm.c, INDEX({"State","Region","Spring","Summer","Autumn","Winter";"ACT","",55,65,60,50;"NSW","",55,65,60,50;"NT","",55,61,57,54;"QLD","",53,57,55,51;"SA","",70,55,55,75;"TAS","",75,60,70,75;"VIC","",80,55,60,76;"WA","South West",80,58,50,75;"WA","Pilbara",40,65,55,45;"WA","Kimberley",40,65,55,45}, _xlpm.r, _xlpm.c))))</definedName>
    <definedName name="SourceData_PastureBeef.NIR_2023_Vol2_A5_5_2_3_PastureBeef_DryMatterDigestibility_Source">_xlfn.LAMBDA("National Inventory Report 2023 Volume 2 - Table A5.5.2.3")</definedName>
    <definedName name="SourceData_PastureBeef.NIR_2023_Vol2_A5_5_2_3_PastureBeef_DryMatterDigestibility_Title">_xlfn.LAMBDA("Beef cattle - Dry matter digestibility of feed intake (per cent)")</definedName>
    <definedName name="SourceData_PastureBeef.NIR_2023_Vol2_A5_5_2_3_PastureBeef_DryMatterDigestibility_Unit">_xlfn.LAMBDA("per cent")</definedName>
    <definedName name="SourceData_PastureBeef.NIR_2023_Vol2_A5_5_2_3_PastureBeef_DryMatterDigestibility_Variation">_xlfn.LAMBDA("VARIATION OF SOURCE DATA: ACT and NSW split.")</definedName>
    <definedName name="SourceData_PastureBeef.NIR_2023_Vol2_A5_5_2_4_PastureBeef_CrudeProteinContent_Data">_xlfn.LAMBDA(_xlfn.MAKEARRAY(11, 6, _xlfn.LAMBDA(_xlpm.r,_xlpm.c, INDEX({"State","Region","Spring","Summer","Autumn","Winter";"ACT","",0.07,0.13,0.1,0.06;"NSW","",0.07,0.13,0.1,0.06;"NT","",0.058,0.092,0.075,0.053;"QLD","",0.072,0.099,0.078,0.059;"SA","",0.16,0.07,0.09,0.2;"TAS","",0.2,0.1,0.16,0.2;"VIC","",0.25,0.07,0.1,0.21;"WA","South West",0.2,0.09,0.06,0.2;"WA","Pilbara",0.04,0.12,0.09,0.06;"WA","Kimberley",0.04,0.12,0.09,0.06}, _xlpm.r, _xlpm.c))))</definedName>
    <definedName name="SourceData_PastureBeef.NIR_2023_Vol2_A5_5_2_4_PastureBeef_CrudeProteinContent_Source">_xlfn.LAMBDA("National Inventory Report 2023 Volume 2 - Table A5.5.2.4")</definedName>
    <definedName name="SourceData_PastureBeef.NIR_2023_Vol2_A5_5_2_4_PastureBeef_CrudeProteinContent_Title">_xlfn.LAMBDA("Beef cattle - Crude protein content of feed intake (fraction)")</definedName>
    <definedName name="SourceData_PastureBeef.NIR_2023_Vol2_A5_5_2_4_PastureBeef_CrudeProteinContent_Unit">_xlfn.LAMBDA("fraction")</definedName>
    <definedName name="SourceData_PastureBeef.NIR_2023_Vol2_A5_5_2_4_PastureBeef_CrudeProteinContent_Variation">_xlfn.LAMBDA("VARIATION OF SOURCE DATA: ACT and NSW split.")</definedName>
    <definedName name="SourceData_PastureBeef.NIR_2023_Vol2_A5_5_2_5_PastureBeef_CrudeProteinContent_Data">_xlfn.LAMBDA(_xlfn.MAKEARRAY(41, 5, _xlfn.LAMBDA(_xlpm.r,_xlpm.c, INDEX({"State","Region","Season","Feed adjustment","Milk intake / production (kg/day)";"ACT","","Spring",1.3,6;"ACT","","Summer",1.1,4;"ACT","","Autumn",0,0;"ACT","","Winter",0,0;"NSW","","Spring",1.3,6;"NSW","","Summer",1.1,4;"NSW","","Autumn",0,0;"NSW","","Winter",0,0;"NT","","Spring",0,0;"NT","","Summer",1.3,4;"NT","","Autumn",1.1,3;"NT","","Winter",0,0;"QLD","","Spring",0,0;"QLD","","Summer",1.3,4;"QLD","","Autumn",1.1,3;"QLD","","Winter",0,0;"SA","","Spring",0,0;"SA","","Summer",0,0;"SA","","Autumn",1.3,6;"SA","","Winter",1.1,4;"TAS","","Spring",1.3,6;"TAS","","Summer",1.1,4;"TAS","","Autumn",0,0;"TAS","","Winter",0,0;"VIC","","Spring",0,0;"VIC","","Summer",0,0;"VIC","","Autumn",1.3,6;"VIC","","Winter",1.1,4;"WA","South West","Spring",0,0;"WA","South West","Summer",0,0;"WA","South West","Autumn",1.3,6;"WA","South West","Winter",1.1,4;"WA","Pilbara","Spring",1.3,4;"WA","Pilbara","Summer",1.1,3;"WA","Pilbara","Autumn",0,0;"WA","Pilbara","Winter",0,0;"WA","Kimberley","Spring",0,0;"WA","Kimberley","Summer",1.3,4;"WA","Kimberley","Autumn",1.1,3;"WA","Kimberley","Winter",0,0}, _xlpm.r, _xlpm.c))))</definedName>
    <definedName name="SourceData_PastureBeef.NIR_2023_Vol2_A5_5_2_5_PastureBeef_CrudeProteinContent_Source">_xlfn.LAMBDA("National Inventory Report 2023 Volume 2 - Table A5.5.2.5")</definedName>
    <definedName name="SourceData_PastureBeef.NIR_2023_Vol2_A5_5_2_5_PastureBeef_CrudeProteinContent_Title">_xlfn.LAMBDA("Beef Cattle - Feed intake adjustment and milk production and production")</definedName>
    <definedName name="SourceData_PastureBeef.NIR_2023_Vol2_A5_5_2_5_PastureBeef_CrudeProteinContent_Unit">_xlfn.LAMBDA("")</definedName>
    <definedName name="SourceData_PastureBeef.NIR_2023_Vol2_A5_5_2_5_PastureBeef_CrudeProteinContent_Variation">_xlfn.LAMBDA("VARIATION OF SOURCE DATA: ACT and NSW split. State names replaced by abbreviations to aid data lookup.")</definedName>
    <definedName name="SourceData_PastureBeef.NIR_2023_Vol2_A5_5_2_6_PastureBeef_StandardReferenceWeights_Data">_xlfn.LAMBDA(_xlfn.MAKEARRAY(9, 8, _xlfn.LAMBDA(_xlpm.r,_xlpm.c, INDEX({"State","Bulls &lt; 1","Bulls &gt; 1","Cows &lt; 1","Cows 1-2","Cows &gt; 2","Steers &lt; 1","Steers &gt; 1";"ACT",700,700,600,500,500,500,600;"NSW",700,700,600,500,500,500,600;"Northern Territory",770,770,660,550,550,550,660;"Queensland",770,770,660,550,550,550,660;"South Australia",770,770,660,550,550,550,660;"Tasmania",770,770,660,550,550,550,660;"Victoria",770,770,660,550,550,550,660;"Western Australia",770,770,660,550,550,550,660}, _xlpm.r, _xlpm.c))))</definedName>
    <definedName name="SourceData_PastureBeef.NIR_2023_Vol2_A5_5_2_6_PastureBeef_StandardReferenceWeights_Source">_xlfn.LAMBDA("National Inventory Report 2023 Volume 2 - Table A5.5.2.6")</definedName>
    <definedName name="SourceData_PastureBeef.NIR_2023_Vol2_A5_5_2_6_PastureBeef_StandardReferenceWeights_Title">_xlfn.LAMBDA("Beef cattle - Standard reference weights (kg)")</definedName>
    <definedName name="SourceData_PastureBeef.NIR_2023_Vol2_A5_5_2_6_PastureBeef_StandardReferenceWeights_Unit">_xlfn.LAMBDA("kg")</definedName>
    <definedName name="SourceData_PastureBeef.NIR_2023_Vol2_A5_5_2_6_PastureBeef_StandardReferenceWeights_Variation">_xlfn.LAMBDA(_xlfn.MAKEARRAY(4, 1, _xlfn.LAMBDA(_xlpm.r,_xlpm.c, INDEX({"VARIATION OF SOURCE DATA:";"ACT and NSW split.";"State names replaced by abbreviations to aid data lookup.";"Pluralised 'Steer' to 'Steers' for consistency."}, _xlpm.r, _xlpm.c))))</definedName>
    <definedName name="SourceData_PastureBeef.SourceData_PastureBeef_AshContentOfFeedIntake_Data">_xlfn.LAMBDA(0.08)</definedName>
    <definedName name="SourceData_PastureBeef.SourceData_PastureBeef_AshContentOfFeedIntake_Source">_xlfn.LAMBDA("VEERG 2026: 4.2.2.3 CONSTANTS")</definedName>
    <definedName name="SourceData_PastureBeef.SourceData_PastureBeef_AshContentOfFeedIntake_Title">_xlfn.LAMBDA("Ash content of feed intake")</definedName>
    <definedName name="SourceData_PastureBeef.SourceData_PastureBeef_AshContentOfFeedIntake_Unit">_xlfn.LAMBDA("fraction")</definedName>
    <definedName name="SourceData_PastureBeef.SourceData_PastureBeef_AshContentOfFeedIntake_Variable">_xlfn.LAMBDA("A")</definedName>
    <definedName name="SourceData_PastureBeef.SourceData_PastureBeef_AshContentOfFeedIntake_Variation">_xlfn.LAMBDA("")</definedName>
    <definedName name="SourceData_PastureBeef.SourceData_PastureBeef_CrudeProteinContent_Data">_xlfn.LAMBDA(_xlfn.MAKEARRAY(16, 6, _xlfn.LAMBDA(_xlpm.r,_xlpm.c, INDEX({"State","Region","Spring","Summer","Autumn","Winter";"ACT","n/a",0.07,0.13,0.1,0.06;"NSW","n/a",0.07,0.13,0.1,0.06;"NT","Alice Springs",0.058,0.092,0.075,0.053;"NT","Barkly",0.058,0.092,0.075,0.053;"NT","Northern",0.058,0.092,0.075,0.053;"QLD","High",0.072,0.099,0.078,0.059;"QLD","Moderate/High",0.072,0.099,0.078,0.059;"QLD","Moderate/Low",0.072,0.099,0.078,0.059;"QLD","Low",0.072,0.099,0.078,0.059;"SA","n/a",0.16,0.07,0.09,0.2;"TAS","n/a",0.2,0.1,0.16,0.2;"VIC","n/a",0.25,0.07,0.1,0.21;"WA","South West",0.2,0.09,0.06,0.2;"WA","Pilbara",0.04,0.12,0.09,0.06;"WA","Kimberley",0.04,0.12,0.09,0.06}, _xlpm.r, _xlpm.c))))</definedName>
    <definedName name="SourceData_PastureBeef.SourceData_PastureBeef_CrudeProteinContent_Source">_xlfn.LAMBDA("VEERG 2026: Table A.1.2.6")</definedName>
    <definedName name="SourceData_PastureBeef.SourceData_PastureBeef_CrudeProteinContent_Title">_xlfn.LAMBDA("Beef pasture cattle - Crude protein content of feed intake (fraction) (CPj)")</definedName>
    <definedName name="SourceData_PastureBeef.SourceData_PastureBeef_CrudeProteinContent_Unit">_xlfn.LAMBDA("fraction")</definedName>
    <definedName name="SourceData_PastureBeef.SourceData_PastureBeef_CrudeProteinContent_Variable">_xlfn.LAMBDA("CPj")</definedName>
    <definedName name="SourceData_PastureBeef.SourceData_PastureBeef_CrudeProteinContent_Variation">_xlfn.LAMBDA("VARIATION ON SOURCE: Split ACT and NSW into separate rows. Duplicated QLD and NT rows with regions from table A.1.2.2 to aid lookup")</definedName>
    <definedName name="SourceData_PastureBeef.SourceData_PastureBeef_DryMatterDigestibility_Data">_xlfn.LAMBDA(
    _xlfn.MAKEARRAY(16, 6,
      _xlfn.LAMBDA(_xlpm.r,_xlpm.c,
        INDEX({"State","Region","Spring","Summer","Autumn","Winter";"ACT","n/a",0.55,0.65,0.6,0.5;"NSW","n/a",0.55,0.65,0.6,0.5;"NT","Alice Springs",0.55,0.61,0.57,0.54;"NT","Barkly",0.55,0.61,0.57,0.54;"NT","Northern",0.55,0.61,0.57,0.54;"QLD","High",0.53,0.57,0.55,0.51;"QLD","Moderate/High",0.53,0.57,0.55,0.51;"QLD","Moderate/Low",0.53,0.57,0.55,0.51;"QLD","Low",0.53,0.57,0.55,0.51;"SA","n/a",0.7,0.55,0.55,0.75;"TAS","n/a",0.75,0.6,0.7,0.75;"VIC","n/a",0.8,0.55,0.6,0.76;"WA","South West",0.8,0.58,0.5,0.75;"WA","Pilbara",0.4,0.65,0.55,0.45;"WA","Kimberley",0.4,0.65,0.55,0.45}, _xlpm.r, _xlpm.c)
      )
    )
  )</definedName>
    <definedName name="SourceData_PastureBeef.SourceData_PastureBeef_DryMatterDigestibility_Source">_xlfn.LAMBDA("VEERG 2026: Table A.1.2.5")</definedName>
    <definedName name="SourceData_PastureBeef.SourceData_PastureBeef_DryMatterDigestibility_Title">_xlfn.LAMBDA("Beef pasture cattle - Dry matter digestibility of feed intake (fraction) (DMDj)")</definedName>
    <definedName name="SourceData_PastureBeef.SourceData_PastureBeef_DryMatterDigestibility_Unit">_xlfn.LAMBDA("fraction")</definedName>
    <definedName name="SourceData_PastureBeef.SourceData_PastureBeef_DryMatterDigestibility_Variable">_xlfn.LAMBDA("DMDj")</definedName>
    <definedName name="SourceData_PastureBeef.SourceData_PastureBeef_DryMatterDigestibility_Variation">_xlfn.LAMBDA("VARIATION ON SOURCE: Split ACT and NSW into separate rows. Duplicated QLD and NT rows with regions from table A.1.2.2 to aid lookup")</definedName>
    <definedName name="SourceData_PastureBeef.SourceData_PastureBeef_FeedAdjustmentAndMilkProduction_Data">_xlfn.LAMBDA(_xlfn.MAKEARRAY(9, 4, _xlfn.LAMBDA(_xlpm.r,_xlpm.c, INDEX({"Breed","Season","Feed adjustment (MCjk=1,3,6)","Milk intake / production (DMPjk=5)";"Hereford or Shorthorn breeds","Spring",1.3,6;"Hereford or Shorthorn breeds","Summer",1.1,4;"Hereford or Shorthorn breeds","Autumn",0,0;"Hereford or Shorthorn breeds","Winter",0,0;"Northern Brahman cross breed","Spring",0,0;"Northern Brahman cross breed","Summer",1.3,4;"Northern Brahman cross breed","Autumn",1.1,3;"Northern Brahman cross breed","Winter",0,0}, _xlpm.r, _xlpm.c))))</definedName>
    <definedName name="SourceData_PastureBeef.SourceData_PastureBeef_FeedAdjustmentAndMilkProduction_Source">_xlfn.LAMBDA("VEERG 2026: Table A.1.2.7")</definedName>
    <definedName name="SourceData_PastureBeef.SourceData_PastureBeef_FeedAdjustmentAndMilkProduction_Title">_xlfn.LAMBDA("Beef pasture cattle - Feed intake adjustment and milk production (kg/head/day)")</definedName>
    <definedName name="SourceData_PastureBeef.SourceData_PastureBeef_FeedAdjustmentAndMilkProduction_Unit">_xlfn.LAMBDA("")</definedName>
    <definedName name="SourceData_PastureBeef.SourceData_PastureBeef_FeedAdjustmentAndMilkProduction_Variable">_xlfn.LAMBDA("MCjk=1,3,6; DMPjk=5")</definedName>
    <definedName name="SourceData_PastureBeef.SourceData_PastureBeef_FeedAdjustmentAndMilkProduction_Variation">_xlfn.LAMBDA("")</definedName>
    <definedName name="SourceData_PastureBeef.SourceData_PastureBeef_FracGASMSoil_Data">_xlfn.LAMBDA(0.21)</definedName>
    <definedName name="SourceData_PastureBeef.SourceData_PastureBeef_FracGASMSoil_Source">_xlfn.LAMBDA("VEERG 2026: 4.2.2.3 CONSTANTS")</definedName>
    <definedName name="SourceData_PastureBeef.SourceData_PastureBeef_FracGASMSoil_Title">_xlfn.LAMBDA("Fraction of nitrogen volatilised from urine and faeces deposited on pasture")</definedName>
    <definedName name="SourceData_PastureBeef.SourceData_PastureBeef_FracGASMSoil_Unit">_xlfn.LAMBDA("fraction")</definedName>
    <definedName name="SourceData_PastureBeef.SourceData_PastureBeef_FracGASMSoil_Variable">_xlfn.LAMBDA("FracGASMSoil")</definedName>
    <definedName name="SourceData_PastureBeef.SourceData_PastureBeef_FracGASMSoil_Variation">_xlfn.LAMBDA("")</definedName>
    <definedName name="SourceData_PastureBeef.SourceData_PastureBeef_FracLEACH_Data">_xlfn.LAMBDA(0.24)</definedName>
    <definedName name="SourceData_PastureBeef.SourceData_PastureBeef_FracLEACH_Source">_xlfn.LAMBDA("VEERG 2026: 4.2.2.3 CONSTANTS")</definedName>
    <definedName name="SourceData_PastureBeef.SourceData_PastureBeef_FracLEACH_Title">_xlfn.LAMBDA("Default fraction of N that is lost through leaching and runoff")</definedName>
    <definedName name="SourceData_PastureBeef.SourceData_PastureBeef_FracLEACH_Unit">_xlfn.LAMBDA("fraction")</definedName>
    <definedName name="SourceData_PastureBeef.SourceData_PastureBeef_FracLEACH_Variable">_xlfn.LAMBDA("FracLEACH")</definedName>
    <definedName name="SourceData_PastureBeef.SourceData_PastureBeef_FracLEACH_Variation">_xlfn.LAMBDA("")</definedName>
    <definedName name="SourceData_PastureBeef.SourceData_PastureBeef_FractionOfManureToMMS_Data">_xlfn.LAMBDA(_xlfn.MAKEARRAY(16, 4, _xlfn.LAMBDA(_xlpm.r,_xlpm.c, INDEX({"State","Region","Pasture range and paddock","Uncovered Anaerobic lagoon";"ACT","n/a",99.192,0.808;"NSW","n/a",99.452,0.548;"SA","n/a",99.759,0.241;"TAS","n/a",99.122,0.878;"VIC","n/a",98.894,1.106;"WA","South West",99.622,0.378;"WA","Pilbara",99.999,0.001;"WA","Kimberley",99.999,0.001;"NT","Alice Springs",99.999,0.001;"NT","Barkly",99.994,0.006;"NT","Northern",99.999,0.001;"QLD","High",99.773,0.227;"QLD","Moderate/High",99.898,0.102;"QLD","Moderate/Low",99.979,0.021;"QLD","Low",99.977,0.023}, _xlpm.r, _xlpm.c))))</definedName>
    <definedName name="SourceData_PastureBeef.SourceData_PastureBeef_FractionOfManureToMMS_Source">_xlfn.LAMBDA("VEERG 2026: Table A.1.2.9")</definedName>
    <definedName name="SourceData_PastureBeef.SourceData_PastureBeef_FractionOfManureToMMS_Title">_xlfn.LAMBDA("Beef pasture cattle - Fraction of manure to each manure management system (fraction) (MMSm)")</definedName>
    <definedName name="SourceData_PastureBeef.SourceData_PastureBeef_FractionOfManureToMMS_Unit">_xlfn.LAMBDA("fraction")</definedName>
    <definedName name="SourceData_PastureBeef.SourceData_PastureBeef_FractionOfManureToMMS_Variable">_xlfn.LAMBDA("MMSm")</definedName>
    <definedName name="SourceData_PastureBeef.SourceData_PastureBeef_FractionOfManureToMMS_Variation">_xlfn.LAMBDA("VARIATION ON SOURCE: Removed comma from 'Pasture range and paddock' to aid lookup")</definedName>
    <definedName name="SourceData_PastureBeef.SourceData_PastureBeef_Liveweight_Data">_xlfn.LAMBDA(_xlfn.MAKEARRAY(29, 10, _xlfn.LAMBDA(_xlpm.r,_xlpm.c, INDEX({"State","Region","Season","Bull &lt; 1","Bull &gt; 1","Cow &lt; 1","Cow 1-2","Cow &gt; 2","Steer &lt; 1","Steer &gt; 1";"ACT/NSW","n/a","Spring",80,480,75,300,440,75,380;"ACT/NSW","n/a","Summer",170,520,160,360,470,160,420;"ACT/NSW","n/a","Autumn",240,550,220,390,490,220,450;"ACT/NSW","n/a","Winter",280,560,260,410,500,260,460;"South Australia","n/a","Spring",250,800,220,400,500,230,420;"South Australia","n/a","Summer",320,800,280,420,500,290,420;"South Australia","n/a","Autumn",80,700,70,300,450,75,400;"South Australia","n/a","Winter",160,700,140,350,450,150,400;"Tasmania","n/a","Spring",105,700,85,300,490,90,480;"Tasmania","n/a","Summer",480,750,150,350,530,160,460;"Tasmania","n/a","Autumn",250,725,200,360,500,215,490;"Tasmania","n/a","Winter",260,700,210,380,460,230,470;"Victoria","n/a","Spring",250,820,240,410,560,240,510;"Victoria","n/a","Summer",280,850,260,440,550,270,520;"Victoria","n/a","Autumn",100,700,95,300,450,95,410;"Victoria","n/a","Winter",150,720,140,320,470,140,440;"Western Australia","South West","Spring",340,800,260,420,550,300,480;"Western Australia","South West","Summer",380,780,300,450,530,340,470;"Western Australia","South West","Autumn",100,680,80,320,480,100,340;"Western Australia","South West","Winter",190,700,150,330,490,170,360;"Western Australia","Pilbara","Spring",80,450,70,260,340,80,370;"Western Australia","Pilbara","Summer",150,500,140,310,360,150,400;"Western Australia","Pilbara","Autumn",230,550,220,330,380,230,420;"Western Australia","Pilbara","Winter",250,500,240,340,360,250,390;"Western Australia","Kimberley","Spring",220,500,180,300,320,210,340;"Western Australia","Kimberley","Summer",110,550,90,220,380,100,390;"Western Australia","Kimberley","Autumn",170,600,140,270,390,160,430;"Western Australia","Kimberley","Winter",200,550,150,280,350,190,400}, _xlpm.r, _xlpm.c))))</definedName>
    <definedName name="SourceData_PastureBeef.SourceData_PastureBeef_Liveweight_Source">_xlfn.LAMBDA("VEERG 2026: Table A.1.2.1")</definedName>
    <definedName name="SourceData_PastureBeef.SourceData_PastureBeef_Liveweight_Title">_xlfn.LAMBDA("Beef pasture cattle - Liveweight (kg) (Wjkl)")</definedName>
    <definedName name="SourceData_PastureBeef.SourceData_PastureBeef_Liveweight_Unit">_xlfn.LAMBDA("kg")</definedName>
    <definedName name="SourceData_PastureBeef.SourceData_PastureBeef_Liveweight_Variable">_xlfn.LAMBDA("Wjkl")</definedName>
    <definedName name="SourceData_PastureBeef.SourceData_PastureBeef_Liveweight_Variation">_xlfn.LAMBDA("")</definedName>
    <definedName name="SourceData_PastureBeef.SourceData_PastureBeef_LiveweightGain_Data">_xlfn.LAMBDA(
    _xlfn.MAKEARRAY(29, 10,
      _xlfn.LAMBDA(_xlpm.r,_xlpm.c,
        INDEX({"State","Region","Season","Bull &lt;1","Bull &gt;1","Cow &lt;1","Cow 1-2","Cow &gt;2","Steer &lt;1","Steer &gt;1";"ACT/NSW","n/a","Spring",0.5,0.2,0.5,0.4,0.3,0.5,0.4;"ACT/NSW","n/a","Summer",1,0.4,0.9,0.7,0.3,0.9,0.4;"ACT/NSW","n/a","Autumn",0.8,0.3,0.7,0.3,0.2,0.7,0.3;"ACT/NSW","n/a","Winter",0.4,0.1,0.4,0.2,0.1,0.4,0.1;"South Australia","n/a","Spring",0.99,1.1,0.88,0.55,0.55,0.88,0.22;"South Australia","n/a","Summer",0.77,0,0.66,0.22,0,0.66,0;"South Australia","n/a","Autumn",0.9,-1.1,0.7,0.22,-0.55,0.8,-0.22;"South Australia","n/a","Winter",0.88,0,0.77,0.55,0,0.82,0;"Tasmania","n/a","Spring",1,0.5,1,1,-0.44,1,0.5;"Tasmania","n/a","Summer",0.82,0.55,0.71,0.55,0.99,0.77,0.5;"Tasmania","n/a","Autumn",0.77,0.5,0.55,0.11,-0.33,0.6,0.33;"Tasmania","n/a","Winter",0.11,-0.27,0.11,0.22,-0.44,0.16,-0.22;"Victoria","n/a","Spring",1.1,1.1,1.1,0.99,0.99,1.1,0.77;"Victoria","n/a","Summer",0.33,0.33,0.22,0.33,-0.1,0.33,0.11;"Victoria","n/a","Autumn",0.5,0.2,0.55,0.44,0.2,0.55,0.2;"Victoria","n/a","Winter",0.55,0.22,0.49,0.22,0.22,0.49,0.33;"Western Australia","South West","Spring",1.64,1.1,1.21,0.99,0.66,1.42,1.1;"Western Australia","South West","Summer",0.44,-0.22,0.44,0.33,-0.22,0.44,-0.11;"Western Australia","South West","Autumn",0.6,0,0.6,0.22,-0.55,0.6,0;"Western Australia","South West","Winter",0.99,0.22,0.77,0.11,0.11,0.77,0.44;"Western Australia","Pilbara","Spring",0.7,-0.55,0.7,0.22,-0.22,0.7,-0.22;"Western Australia","Pilbara","Summer",0.77,0.55,0.77,0.66,0.55,0.77,0.33;"Western Australia","Pilbara","Autumn",0.88,0.55,0.88,0.22,0.22,0.88,0.22;"Western Australia","Pilbara","Winter",0.22,-0.55,0.22,0.11,-0.22,0.22,-0.33;"Western Australia","Kimberley","Spring",0.22,-0.55,0.33,0.22,-0.33,0.22,-0.55;"Western Australia","Kimberley","Summer",0.8,0.55,0.7,0.44,0.66,0.8,0.55;"Western Australia","Kimberley","Autumn",0.66,0.55,0.55,0.55,0.11,0.66,0.55;"Western Australia","Kimberley","Winter",0.33,-0.55,0.11,0.11,-0.44,0.33,-0.55}, _xlpm.r, _xlpm.c)
      )
    )
  )</definedName>
    <definedName name="SourceData_PastureBeef.SourceData_PastureBeef_LiveweightGain_Source">_xlfn.LAMBDA("VEERG 2026: Table A.1.2.3")</definedName>
    <definedName name="SourceData_PastureBeef.SourceData_PastureBeef_LiveweightGain_Title">_xlfn.LAMBDA("Beef pasture cattle - Liveweight gain (kg) (LWGjkl)")</definedName>
    <definedName name="SourceData_PastureBeef.SourceData_PastureBeef_LiveweightGain_Unit">_xlfn.LAMBDA("kg")</definedName>
    <definedName name="SourceData_PastureBeef.SourceData_PastureBeef_LiveweightGain_Variable">_xlfn.LAMBDA("LWGjkl")</definedName>
    <definedName name="SourceData_PastureBeef.SourceData_PastureBeef_LiveweightGain_Variation">_xlfn.LAMBDA("VARIATION ON SOURCE: Replaced 'n/a' with 'South West' for first four rows of Western Australia to be consistent with table A.1.2.1")</definedName>
    <definedName name="SourceData_PastureBeef.SourceData_PastureBeef_LiveweightGainNTQLD_Data">_xlfn.LAMBDA(
    _xlfn.MAKEARRAY(29, 13,
      _xlfn.LAMBDA(_xlpm.r,_xlpm.c,
        INDEX({"State","Region","Season","Bull &lt;1","Bull &gt;1","Cow &lt;1","Cow 1-2","Cow 2-3","Cow &gt;3","Steer &lt;1","Steer 1-2","Steer 2-3","Steer &gt;3";"Northern Territory","Alice Springs","Spring",0.22,-0.23,0.25,0.17,0.18,-0.28,0.32,0.24,0.25,-0.05;"Northern Territory","Alice Springs","Summer",0.66,0.2,0.62,0.54,0.38,0.27,0.75,0.64,0.55,0.48;"Northern Territory","Alice Springs","Autumn",0.49,0.13,0.54,0.45,0.35,0.15,0.63,0.54,0.42,0.26;"Northern Territory","Alice Springs","Winter",0.27,-0.8,0.22,0.09,0.12,0.02,0.25,0.18,0.12,0.03;"Northern Territory","Barkly","Spring",0.22,-0.44,0.2,0.21,0.18,0.01,0.12,0.09,"NO","NO";"Northern Territory","Barkly","Summer",0.66,0.22,0.68,0.22,0.24,0.25,0.64,0.37,"NO","NO";"Northern Territory","Barkly","Autumn",0.49,0.05,0.64,0.25,0.29,0.12,0.57,0.49,"NO","NO";"Northern Territory","Barkly","Winter",0.27,-0.27,0.31,0.29,0.19,0.04,0.26,0.28,"NO","NO";"Northern Territory","Northern","Spring",0.22,-0.44,0,0.15,0.08,0.17,0.06,0.02,-0.14,"NO";"Northern Territory","Northern","Summer",0.66,0.22,0.79,0.4,0.38,0.27,0.8,0.16,0.3,"NO";"Northern Territory","Northern","Autumn",0.49,0.05,0.55,0.38,0.36,0.06,0.58,0.23,0.4,"NO";"Northern Territory","Northern","Winter",0.27,-0.27,0.02,0.09,0.16,-0.04,0.21,0.03,0.11,"NO";"Queensland","High","Spring",0.27,-0.19,0.38,0.25,0.07,0.05,0.52,0.55,0.19,0.6;"Queensland","High","Summer",0.16,0.16,0.8,0.57,0.76,0.49,0.84,0.51,0.36,0.17;"Queensland","High","Autumn",0.45,0.1,0.49,0.41,0.4,0.17,0.54,0.64,-0.05,0.32;"Queensland","High","Winter",0.51,-0.07,0.13,-0.09,-0.13,0.07,0.25,0.71,0.17,0.43;"Queensland","Moderate/High","Spring",-0.12,-0.19,0.41,0.09,0.41,-0.19,0.07,1.07,-0.08,0;"Queensland","Moderate/High","Summer",0.65,0.19,0.65,0.51,0.18,0.63,1.3,0.48,1.12,0.38;"Queensland","Moderate/High","Autumn",0.7,0.13,0.52,0.34,0.02,0.04,0.77,0.42,0.12,0.74;"Queensland","Moderate/High","Winter",0.32,-0.06,0.25,0.19,-0.1,-0.02,0.02,0.23,-0.13,0;"Queensland","Moderate/Low","Spring",0.62,-0.19,0.37,0.41,0.06,-0.02,0.47,0.44,0.3,0.13;"Queensland","Moderate/Low","Summer",0.05,0.19,0.31,0.54,0.53,0.15,0.28,0.57,0.42,0.4;"Queensland","Moderate/Low","Autumn",0.33,0.13,0.39,0.36,0.26,0.11,0.4,0.44,0.37,-0.01;"Queensland","Moderate/Low","Winter",0.61,-0.06,0.21,0.18,0.12,0.06,0.29,0.41,0.41,-0.15;"Queensland","Low","Spring",-0.2,0.02,0.24,0.3,0.23,-0.05,0.34,0.3,0.57,0.52;"Queensland","Low","Summer",0.62,0.21,0.25,0.32,0.47,0.31,0.14,0.4,0.26,0.43;"Queensland","Low","Autumn",0.4,0.13,0.12,0.27,0.3,0.08,0.13,0.24,0.15,0.21;"Queensland","Low","Winter",0.08,0.04,0.06,0.18,0.11,-0.07,0.13,0.16,0.4,0.33}, _xlpm.r, _xlpm.c)
      )
    )
  )</definedName>
    <definedName name="SourceData_PastureBeef.SourceData_PastureBeef_LiveweightGainNTQLD_Source">_xlfn.LAMBDA("VEERG 2026: Table A.1.2.4")</definedName>
    <definedName name="SourceData_PastureBeef.SourceData_PastureBeef_LiveweightGainNTQLD_Title">_xlfn.LAMBDA("Beef pasture cattle - Liveweight gain (kg) (LWGjkl) for NT and QLD")</definedName>
    <definedName name="SourceData_PastureBeef.SourceData_PastureBeef_LiveweightGainNTQLD_Unit">_xlfn.LAMBDA("kg")</definedName>
    <definedName name="SourceData_PastureBeef.SourceData_PastureBeef_LiveweightGainNTQLD_Variable">_xlfn.LAMBDA("LWGjkl")</definedName>
    <definedName name="SourceData_PastureBeef.SourceData_PastureBeef_LiveweightGainNTQLD_Variation">_xlfn.LAMBDA("")</definedName>
    <definedName name="SourceData_PastureBeef.SourceData_PastureBeef_LiveweightNTQLD_Data">_xlfn.LAMBDA(_xlfn.MAKEARRAY(29, 13, _xlfn.LAMBDA(_xlpm.r,_xlpm.c, INDEX({"State","Region","Season","Bull &lt;1","Bull &gt;1","Cows &lt;1","Cows 1-2","Cows 2-3","Cows &gt;3","Steer &lt;1","Steer 1-2","Steer 2-3","Steer &gt;3";"Northern Territory","Alice Springs","Spring",220,706,208,323,415,467,223,371,493,585;"Northern Territory","Alice Springs","Summer",110,703,112,256,368,465,108,280,421,543;"Northern Territory","Alice Springs","Autumn",170,721,169,306,392,464,176,339,470,580;"Northern Territory","Alice Springs","Winter",200,727,211,338,432,492,222,377,498,590;"Northern Territory","Barkly","Spring",220,620,227,319,398,452,216,334,"NO","NO";"Northern Territory","Barkly","Summer",110,650,108,262,346,430,111,236,"NO","NO";"Northern Territory","Barkly","Autumn",170,670,170,266,363,444,169,282,"NO","NO";"Northern Territory","Barkly","Winter",200,660,225,307,398,452,214,326,"NO","NO";"Northern Territory","Northern","Spring",220,620,177,267,365,406,231,249,324,"NO";"Northern Territory","Northern","Summer",110,650,102,203,299,380,102,218,263,"NO";"Northern Territory","Northern","Autumn",170,670,173,250,336,414,175,243,304,"NO";"Northern Territory","Northern","Winter",200,660,202,272,365,390,208,260,337,"NO";"Queensland","High","Spring",260,705,215,302,416,519,234,455,551,660;"Queensland","High","Summer",153,703,118,277,397,483,111,304,521,547;"Queensland","High","Autumn",168,718,191,319,440,506,188,326,520,582;"Queensland","High","Winter",235,722,207,352,470,514,209,421,512,605;"Queensland","Moderate/High","Spring",230,674,217,344,357,467,242,370,550,620;"Queensland","Moderate/High","Summer",113,669,113,283,361,477,120,273,545,553;"Queensland","Moderate/High","Autumn",172,685,172,309,376,471,238,329,573,620;"Queensland","Moderate/High","Winter",241,692,208,344,364,484,260,350,567,620;"Queensland","Moderate/Low","Spring",236,674,178,310,428,466,193,370,519,565;"Queensland","Moderate/Low","Summer",120,669,112,250,390,448,115,273,433,556;"Queensland","Moderate/Low","Autumn",125,685,140,277,407,455,141,296,445,593;"Queensland","Moderate/Low","Winter",180,692,183,316,438,468,189,354,500,553;"Queensland","Low","Spring",190,617,174,265,371,415,170,272,392,531;"Queensland","Low","Summer",119,591,140,205,310,405,133,218,315,445;"Queensland","Low","Autumn",175,610,163,232,351,427,146,242,320,471;"Queensland","Low","Winter",192,615,162,255,364,420,157,261,342,484}, _xlpm.r, _xlpm.c))))</definedName>
    <definedName name="SourceData_PastureBeef.SourceData_PastureBeef_LiveweightNTQLD_Source">_xlfn.LAMBDA("VEERG 2026: Table A.1.2.2")</definedName>
    <definedName name="SourceData_PastureBeef.SourceData_PastureBeef_LiveweightNTQLD_Title">_xlfn.LAMBDA("Beef pasture cattle - Liveweight (kg) (Wjkl) for NT and QLD")</definedName>
    <definedName name="SourceData_PastureBeef.SourceData_PastureBeef_LiveweightNTQLD_Unit">_xlfn.LAMBDA("kg")</definedName>
    <definedName name="SourceData_PastureBeef.SourceData_PastureBeef_LiveweightNTQLD_Variable">_xlfn.LAMBDA("Wjkl")</definedName>
    <definedName name="SourceData_PastureBeef.SourceData_PastureBeef_LiveweightNTQLD_Variation">_xlfn.LAMBDA("")</definedName>
    <definedName name="SourceData_PastureBeef.SourceData_PastureBeef_MethaneConversionFactorPerRegion_Data">_xlfn.LAMBDA(_xlfn.MAKEARRAY(16, 4, _xlfn.LAMBDA(_xlpm.r,_xlpm.c, INDEX({"State","Region","Pasture range and paddock","Uncovered Anaerobic lagoon";"ACT","n/a",0.0047,0.71;"NSW","n/a",0.0047,0.75;"SA","n/a",0.0047,0.74;"TAS","n/a",0.0047,0.7;"VIC","n/a",0.0047,0.74;"WA","South West",0.0047,0.76;"WA","Pilbara",0.0047,0.76;"WA","Kimberley",0.0047,0.76;"NT","Alice Springs",0.0047,0.8;"NT","Barkly",0.0047,0.8;"NT","Northern",0.0047,0.8;"QLD","High",0.0047,0.78;"QLD","Moderate/High",0.0047,0.78;"QLD","Moderate/Low",0.0047,0.78;"QLD","Low",0.0047,0.78}, _xlpm.r, _xlpm.c))))</definedName>
    <definedName name="SourceData_PastureBeef.SourceData_PastureBeef_MethaneConversionFactorPerRegion_Source">_xlfn.LAMBDA("VEERG 2026: Table A.1.2.10")</definedName>
    <definedName name="SourceData_PastureBeef.SourceData_PastureBeef_MethaneConversionFactorPerRegion_Title">_xlfn.LAMBDA("Beef pasture cattle - Methane conversion factor per region (fraction) (MCFim)")</definedName>
    <definedName name="SourceData_PastureBeef.SourceData_PastureBeef_MethaneConversionFactorPerRegion_Unit">_xlfn.LAMBDA("fraction")</definedName>
    <definedName name="SourceData_PastureBeef.SourceData_PastureBeef_MethaneConversionFactorPerRegion_Variable">_xlfn.LAMBDA("MCFim")</definedName>
    <definedName name="SourceData_PastureBeef.SourceData_PastureBeef_MethaneConversionFactorPerRegion_Variation">_xlfn.LAMBDA("VARIATION ON SOURCE: Removed comma from 'Pasture range and paddock' to aid lookup")</definedName>
    <definedName name="SourceData_PastureBeef.SourceData_PastureBeef_MethaneEmissionsPotential_Data">_xlfn.LAMBDA(0.19)</definedName>
    <definedName name="SourceData_PastureBeef.SourceData_PastureBeef_MethaneEmissionsPotential_Source">_xlfn.LAMBDA("VEERG 2026: 4.2.2.3 CONSTANTS")</definedName>
    <definedName name="SourceData_PastureBeef.SourceData_PastureBeef_MethaneEmissionsPotential_Title">_xlfn.LAMBDA("Methane emissions potential")</definedName>
    <definedName name="SourceData_PastureBeef.SourceData_PastureBeef_MethaneEmissionsPotential_Unit">_xlfn.LAMBDA("m3 CH4 / kg VS")</definedName>
    <definedName name="SourceData_PastureBeef.SourceData_PastureBeef_MethaneEmissionsPotential_Variable">_xlfn.LAMBDA("B0")</definedName>
    <definedName name="SourceData_PastureBeef.SourceData_PastureBeef_MethaneEmissionsPotential_Variation">_xlfn.LAMBDA("")</definedName>
    <definedName name="SourceData_PastureBeef.SourceData_PastureBeef_StandardReferenceWeights_Data">_xlfn.LAMBDA(_xlfn.MAKEARRAY(9, 9, _xlfn.LAMBDA(_xlpm.r,_xlpm.c, INDEX({"State","Bulls &lt;1","Bulls &gt;1","Cows &lt;1","Cows 1-2","Cows &gt;2","Steer &lt;1","Steer &gt;1","State abbreviation";"ACT",700,700,500,500,500,600,600,"ACT";"NSW",700,700,500,500,500,600,600,"NSW";"Northern Territory",770,770,550,550,550,660,660,"NT";"Queensland",770,770,550,550,550,660,660,"QLD";"South Australia",770,770,550,550,550,660,660,"SA";"Tasmania",770,770,550,550,550,660,660,"TAS";"Victoria",770,770,550,550,550,660,660,"VIC";"Western Australia",770,770,550,550,550,660,660,"WA"}, _xlpm.r, _xlpm.c))))</definedName>
    <definedName name="SourceData_PastureBeef.SourceData_PastureBeef_StandardReferenceWeights_Source">_xlfn.LAMBDA("VEERG 2026: Table A.1.2.8")</definedName>
    <definedName name="SourceData_PastureBeef.SourceData_PastureBeef_StandardReferenceWeights_Title">_xlfn.LAMBDA("Beef pasture cattle - Standard reference weights (kg) (SRWk)")</definedName>
    <definedName name="SourceData_PastureBeef.SourceData_PastureBeef_StandardReferenceWeights_Unit">_xlfn.LAMBDA("kg")</definedName>
    <definedName name="SourceData_PastureBeef.SourceData_PastureBeef_StandardReferenceWeights_Variable">_xlfn.LAMBDA("SRWk")</definedName>
    <definedName name="SourceData_PastureBeef.SourceData_PastureBeef_StandardReferenceWeights_Variation">_xlfn.LAMBDA("VARIATION ON SOURCE: Split ACT and NSW into separate rows. Added 'State abbreviation' column to aid lookup.")</definedName>
    <definedName name="SourceData_Poultry.SourceData_Poultry_DietProperties_Data">_xlfn.LAMBDA(_xlfn.MAKEARRAY(6, 5, _xlfn.LAMBDA(_xlpm.r,_xlpm.c, INDEX({"Nutrient analysis","Layers","Meat chicken growers","Meat chicken breeder","Meat other";"Dry matter intake (kg/head/day)",0.086,0.093,0.103,0.093;"Dry matter digestibility",0.8,0.8,0.8,0.8;"Crude protein",0.19,0.23,0.19,0.23;"Nitrogen retention rate",0.35,0.47,0.32,0.47;"Manure ash",0.18,0.15,0.18,0.15}, _xlpm.r, _xlpm.c))))</definedName>
    <definedName name="SourceData_Poultry.SourceData_Poultry_DietProperties_Source">_xlfn.LAMBDA("VEERG 2026: Table A.1.7.1: Poultry - Diet properties")</definedName>
    <definedName name="SourceData_Poultry.SourceData_Poultry_DietProperties_Title">_xlfn.LAMBDA("Poultry - Diet properties")</definedName>
    <definedName name="SourceData_Poultry.SourceData_Poultry_DietProperties_Unit">_xlfn.LAMBDA("")</definedName>
    <definedName name="SourceData_Poultry.SourceData_Poultry_DietProperties_Variation">_xlfn.LAMBDA("")</definedName>
    <definedName name="SourceData_Poultry.SourceData_Poultry_EFmT_Data">_xlfn.LAMBDA(_xlfn.MAKEARRAY(9, 3, _xlfn.LAMBDA(_xlpm.r,_xlpm.c, INDEX({"MMS m","EFmT","NIR reference";"Poultry manure with litter (housing)",0.001,"Poultry manure with bedding";"Poultry manure without litter (housing)",0.001,"Belt manure removal";"Poultry manure without litter (housing)",0.001,"Manure stored in house";"Pasture range and paddock (free range)",0.02,"Pasture range and paddock";"Solid storage (stockpile)",0.005,"Solid storage";"Composting (passive windrow)",0.01,"Composting (passive windrow)";"Direct processing",0,"Direct processing";"Anaerobic digester / covered pond",0,"Digester / covered lagoons"}, _xlpm.r, _xlpm.c))))</definedName>
    <definedName name="SourceData_Poultry.SourceData_Poultry_EFmT_Source">_xlfn.LAMBDA("VEERG 2026: Table A.1.7.3")</definedName>
    <definedName name="SourceData_Poultry.SourceData_Poultry_EFmT_Title">_xlfn.LAMBDA("Poultry - Nitrous oxide EFs by MMS (kgN2O-N/kgN) (EFmT)")</definedName>
    <definedName name="SourceData_Poultry.SourceData_Poultry_EFmT_Unit">_xlfn.LAMBDA("kgN2O - N / kgN")</definedName>
    <definedName name="SourceData_Poultry.SourceData_Poultry_EFmT_Variation">_xlfn.LAMBDA("VARIATION ON SOURCE: Added 'NIR definition column'. Duplicated 'Poultry manure without litter' row for NIR MMS 'Belt manure removal' and 'Manure stored in house'.")</definedName>
    <definedName name="SourceData_Poultry.SourceData_Poultry_FracGAMSSoil_Data">_xlfn.LAMBDA(0.21)</definedName>
    <definedName name="SourceData_Poultry.SourceData_Poultry_FracGAMSSoil_Source">_xlfn.LAMBDA("VEERG 2026: 4.6.2.3 CONSTANTS")</definedName>
    <definedName name="SourceData_Poultry.SourceData_Poultry_FracGAMSSoil_Title">_xlfn.LAMBDA("Fraction of nitrogen volatilised from urine and faeces deposited on pasture")</definedName>
    <definedName name="SourceData_Poultry.SourceData_Poultry_FracGAMSSoil_Unit">_xlfn.LAMBDA("(kg NH3-N + NOx-N)/kg N")</definedName>
    <definedName name="SourceData_Poultry.SourceData_Poultry_FracGAMSSoil_Variable">_xlfn.LAMBDA("FracGASM_soil")</definedName>
    <definedName name="SourceData_Poultry.SourceData_Poultry_FracGAMSSoil_Variation">_xlfn.LAMBDA("VARIATION ON SOURCE: This constant is not documented in the draft, used the same value of 0.21 as all other livestock.")</definedName>
    <definedName name="SourceData_Poultry.SourceData_Poultry_FracGASMmT_Data">_xlfn.LAMBDA(_xlfn.MAKEARRAY(8, 3, _xlfn.LAMBDA(_xlpm.r,_xlpm.c, INDEX({"MMS m","FracGASMmT","NIR reference";"Poultry manure with litter (housing)",0.3,"Poultry manure with bedding";"Poultry manure without litter (housing) Belt manure removal",0.05,"Belt manure removal";"Poultry manure without litter (housing) Manure stored in house under cages or slat",0.4,"Manure stored in house";"Solid storage (stockpile)",0.2,"Solid storage";"Composting (passive windrow)",0.2,"Composting (passive windrow)";"Direct processing",0,"Direct processing";"Anaerobic digester / covered pond",0,"Digester / covered lagoons"}, _xlpm.r, _xlpm.c))))</definedName>
    <definedName name="SourceData_Poultry.SourceData_Poultry_FracGASMmT_Source">_xlfn.LAMBDA("VEERG 2026: Table A.1.7.2")</definedName>
    <definedName name="SourceData_Poultry.SourceData_Poultry_FracGASMmT_Title">_xlfn.LAMBDA("Poultry - Fraction of N volatilised by MMS ((kg NH3-N + NOx-N)/kgN) (FracGASMmT)")</definedName>
    <definedName name="SourceData_Poultry.SourceData_Poultry_FracGASMmT_Unit">_xlfn.LAMBDA("(kg NH3-N + NOx-N)/kgN")</definedName>
    <definedName name="SourceData_Poultry.SourceData_Poultry_FracGASMmT_Variation">_xlfn.LAMBDA("VARIATION ON SOURCE: Added 'NIR definition column'.")</definedName>
    <definedName name="SourceData_Poultry.SourceData_Poultry_FractionOfNitrogenLostThroughLeachingAndRunoff_Data">_xlfn.LAMBDA(0.02)</definedName>
    <definedName name="SourceData_Poultry.SourceData_Poultry_FractionOfNitrogenLostThroughLeachingAndRunoff_Source">_xlfn.LAMBDA("VEERG 2026: 4.6.2.3 CONSTANTS")</definedName>
    <definedName name="SourceData_Poultry.SourceData_Poultry_FractionOfNitrogenLostThroughLeachingAndRunoff_Title">_xlfn.LAMBDA("Fraction of N that is lost through leaching and runoff")</definedName>
    <definedName name="SourceData_Poultry.SourceData_Poultry_FractionOfNitrogenLostThroughLeachingAndRunoff_Unit">_xlfn.LAMBDA("Dimensionless")</definedName>
    <definedName name="SourceData_Poultry.SourceData_Poultry_FractionOfNitrogenLostThroughLeachingAndRunoff_Variable">_xlfn.LAMBDA("Frac_LEACH_MS")</definedName>
    <definedName name="SourceData_Poultry.SourceData_Poultry_FractionOfNitrogenLostThroughLeachingAndRunoff_Variation">_xlfn.LAMBDA("")</definedName>
    <definedName name="SourceData_Poultry.SourceData_Poultry_Liveweights_Data">_xlfn.LAMBDA(_xlfn.MAKEARRAY(5, 2, _xlfn.LAMBDA(_xlpm.r,_xlpm.c, INDEX({"Livestock Class j","Average Liveweight (kg)";"Chicken",1.3;"Hen &gt;/=1 yr",2;"Pullets",1.4;"Broilers",1.2}, _xlpm.r, _xlpm.c))))</definedName>
    <definedName name="SourceData_Poultry.SourceData_Poultry_Liveweights_Source">_xlfn.LAMBDA("VEERG 2026: Table A.1.7.5")</definedName>
    <definedName name="SourceData_Poultry.SourceData_Poultry_Liveweights_Title">_xlfn.LAMBDA("Poultry - Liveweights (Wco) (kg)")</definedName>
    <definedName name="SourceData_Poultry.SourceData_Poultry_Liveweights_Unit">_xlfn.LAMBDA("kg")</definedName>
    <definedName name="SourceData_Poultry.SourceData_Poultry_Liveweights_Variation">_xlfn.LAMBDA("")</definedName>
    <definedName name="SourceData_Poultry.SourceData_Poultry_MCF_Data">_xlfn.LAMBDA(_xlfn.MAKEARRAY(10, 11, _xlfn.LAMBDA(_xlpm.r,_xlpm.c, INDEX({"MMS m","All states","NSW","ACT","QLD","NT","VIC","SA","WA","TAS","NIR definition";"Poultry manure with litter",0.015,0.015,0.015,0.015,0.015,0.015,0.015,0.015,0.015,"Poultry manure with bedding";"Poultry manure without litter",0.015,0.015,0.015,0.015,0.015,0.015,0.015,0.015,0.015,"Belt manure removal";"Poultry manure without litter",0.015,0.015,0.015,0.015,0.015,0.015,0.015,0.015,0.015,"Manure stored in house";"Pasture range and paddock","n/a",0.01,0.01,0.03,0.03,0.01,0.01,0.01,0.01,"Pasture range and paddock";"Solid storage",0.02,0.02,0.02,0.02,0.02,0.02,0.02,0.02,0.02,"Solid storage";"Composting (passive windrow)","n/a",0.01,0.01,0.01,0.01,0.01,0.01,0.01,0.005,"Composting (passive windrow)";"Anaerobic digester / Covered pond",0.1,0.1,0.1,0.1,0.1,0.1,0.1,0.1,0.1,"Digester / covered lagoons";"Direct processing",0,0,0,0,0,0,0,0,0,"Direct processing";"Direct application to soil",0,0,0,0,0,0,0,0,0,"Direct application"}, _xlpm.r, _xlpm.c))))</definedName>
    <definedName name="SourceData_Poultry.SourceData_Poultry_MCF_Notes">_xlfn.LAMBDA("'Pasture range and paddock' applies MCF for drylot.")</definedName>
    <definedName name="SourceData_Poultry.SourceData_Poultry_MCF_Source">_xlfn.LAMBDA("VEERG 2026: Table A.1.7.4: Poultry - MCFs")</definedName>
    <definedName name="SourceData_Poultry.SourceData_Poultry_MCF_Title">_xlfn.LAMBDA("Poultry - MCFs")</definedName>
    <definedName name="SourceData_Poultry.SourceData_Poultry_MCF_Unit">_xlfn.LAMBDA("")</definedName>
    <definedName name="SourceData_Poultry.SourceData_Poultry_MCF_Variation">_xlfn.LAMBDA(_xlfn.MAKEARRAY(5, 1, _xlfn.LAMBDA(_xlpm.r,_xlpm.c, INDEX({"VARIATION ON SOURCE:";"Split NSW and ACT into separate states. Split QLD and NT into separate states.";"Included values for each state when 'All states' value is given.";"Added 'NIR definition' column with MMS names that match NIR definitions.";"Duplicated 'Poultry manure without litter' row for NIR MMS 'Belt manure removal' and 'Manure stored in house'"}, _xlpm.r, _xlpm.c))))</definedName>
    <definedName name="SourceData_Poultry.SourceData_Poultry_MethaneEmissionsPotential_Data">_xlfn.LAMBDA(_xlfn.MAKEARRAY(3, 2, _xlfn.LAMBDA(_xlpm.r,_xlpm.c, INDEX({"Poultry class","B0";"Layers",0.39;"Meat chickens",0.36}, _xlpm.r, _xlpm.c))))</definedName>
    <definedName name="SourceData_Poultry.SourceData_Poultry_MethaneEmissionsPotential_Source">_xlfn.LAMBDA("VEERG 2026: 4.6.2.3 CONSTANT: Poultry - Methane emissions potential per class")</definedName>
    <definedName name="SourceData_Poultry.SourceData_Poultry_MethaneEmissionsPotential_Title">_xlfn.LAMBDA("Poultry - Methane emissions potential per class")</definedName>
    <definedName name="SourceData_Poultry.SourceData_Poultry_MethaneEmissionsPotential_Unit">_xlfn.LAMBDA("m3 CH4/kg VS")</definedName>
    <definedName name="SourceData_Poultry.SourceData_Poultry_MethaneEmissionsPotential_Variation">_xlfn.LAMBDA("")</definedName>
    <definedName name="SourceData_Poultry.SourceData_Poultry_ProductionSystems_Data">_xlfn.LAMBDA(_xlfn.MAKEARRAY(4, 1, _xlfn.LAMBDA(_xlpm.r,_xlpm.c, INDEX({"Production system";"Free range";"Barn";"Cage"}, _xlpm.r, _xlpm.c))))</definedName>
    <definedName name="SourceData_Poultry.SourceData_Poultry_ProductionSystems_Source">_xlfn.LAMBDA("VEERG 2026: 4.6 Poultry")</definedName>
    <definedName name="SourceData_Poultry.SourceData_Poultry_ProductionSystems_Title">_xlfn.LAMBDA("Poultry - Production systems")</definedName>
    <definedName name="SourceData_Poultry.SourceData_Poultry_ProductionSystems_Unit">_xlfn.LAMBDA("")</definedName>
    <definedName name="SourceData_Poultry.SourceData_Poultry_ProductionSystems_Variation">_xlfn.LAMBDA("")</definedName>
    <definedName name="SourceData_Poultry.SourceData_Poultry_VSL_Data">_xlfn.LAMBDA(_xlfn.MAKEARRAY(4, 3, _xlfn.LAMBDA(_xlpm.r,_xlpm.c, INDEX({"MMS","VSL","NIR definition";"Poultry manure with litter",0.15,"Poultry manure with bedding";"Poultry manure without litter - stored in house",0.2,"Manure stored in house";"Poultry manure without litter - belt removal",0,"Belt manure removal"}, _xlpm.r, _xlpm.c))))</definedName>
    <definedName name="SourceData_Poultry.SourceData_Poultry_VSL_Source">_xlfn.LAMBDA("VEERG 2026: 4.6.2.3 CONSTANT")</definedName>
    <definedName name="SourceData_Poultry.SourceData_Poultry_VSL_Title">_xlfn.LAMBDA("Poultry - Fraction of volatile solids lost in the primary MMS")</definedName>
    <definedName name="SourceData_Poultry.SourceData_Poultry_VSL_Unit">_xlfn.LAMBDA("")</definedName>
    <definedName name="SourceData_Poultry.SourceData_Poultry_VSL_Variation">_xlfn.LAMBDA("VARIATION ON SOURCE: Table generated from line items. Added 'NIR definition column'.")</definedName>
    <definedName name="SourceData_Poultry_FracGAMSSoil_Data">'Constants - Poultry'!$E$115</definedName>
    <definedName name="SourceData_Poultry_FractionOfNitrogenLostThroughLeachingAndRunoff_Data">'Constants - Poultry'!$E$110</definedName>
    <definedName name="SourceData_Swine.SourceData_Swine_AverageLiveweight_Data">_xlfn.LAMBDA(_xlfn.MAKEARRAY(6, 2, _xlfn.LAMBDA(_xlpm.r,_xlpm.c, INDEX({"Livestock Type j","Average Liveweight (kg)";"Sows",188;"Boars",206;"Gilts",125;"Slaughter pigs",39;"Slaughter pigs at turnoff",97}, _xlpm.r, _xlpm.c))))</definedName>
    <definedName name="SourceData_Swine.SourceData_Swine_AverageLiveweight_Source">_xlfn.LAMBDA("VEERG 2026: Table A.1.6.5: Swine - Average liveweight (inventory defaults) (kg) (Wco)")</definedName>
    <definedName name="SourceData_Swine.SourceData_Swine_AverageLiveweight_Title">_xlfn.LAMBDA("Swine - Average liveweight (inventory defaults) (kg) (Wco)")</definedName>
    <definedName name="SourceData_Swine.SourceData_Swine_AverageLiveweight_Unit">_xlfn.LAMBDA("kg")</definedName>
    <definedName name="SourceData_Swine.SourceData_Swine_AverageLiveweight_Variation">_xlfn.LAMBDA(".")</definedName>
    <definedName name="SourceData_Swine.SourceData_Swine_FeedIntake_Data">_xlfn.LAMBDA(
    _xlfn.MAKEARRAY(5, 2,
      _xlfn.LAMBDA(_xlpm.r,_xlpm.c,
        INDEX({"Class","Ij";"Boars",2.62;"Sows",2.3;"Gilts",2.5;"Others",1.71}, _xlpm.r, _xlpm.c)
      )
    )
  )</definedName>
    <definedName name="SourceData_Swine.SourceData_Swine_FeedIntake_Source">_xlfn.LAMBDA("VEERG 2026: Table A.1.6.1: Swine - Intake and manure characteristics derived from PigBal")</definedName>
    <definedName name="SourceData_Swine.SourceData_Swine_FeedIntake_Title">_xlfn.LAMBDA("Swine - Feed intake - ingested as fed  (Ij) - 2020 to 2024")</definedName>
    <definedName name="SourceData_Swine.SourceData_Swine_FeedIntake_Unit">_xlfn.LAMBDA("kg/head/day")</definedName>
    <definedName name="SourceData_Swine.SourceData_Swine_FeedIntake_Variation">_xlfn.LAMBDA("VARIATION ON SOURCE DATA: Only uses data for 2020-2024. Use 'Slaughter pigs' data for 'Other j=4' class.")</definedName>
    <definedName name="SourceData_Swine.SourceData_Swine_FracLEACH_DrylotMMS_Data">_xlfn.LAMBDA(0.02)</definedName>
    <definedName name="SourceData_Swine.SourceData_Swine_FracLEACH_DrylotMMS_Source">_xlfn.LAMBDA("VEERG 2026: 4.5.2.3 CONSTANT")</definedName>
    <definedName name="SourceData_Swine.SourceData_Swine_FracLEACH_DrylotMMS_Title">_xlfn.LAMBDA("Fraction of nitrogen lost through leaching and runoff for drylot MMS")</definedName>
    <definedName name="SourceData_Swine.SourceData_Swine_FracLEACH_DrylotMMS_Unit">_xlfn.LAMBDA("fraction")</definedName>
    <definedName name="SourceData_Swine.SourceData_Swine_FracLEACH_DrylotMMS_Variable">_xlfn.LAMBDA("FracLEACH_MS")</definedName>
    <definedName name="SourceData_Swine.SourceData_Swine_FracLEACH_DrylotMMS_Variation">_xlfn.LAMBDA("VARIATION ON SOURCE: Text refers to 'solid storage' MMS, but equation refers to 'drylot' MMS.")</definedName>
    <definedName name="SourceData_Swine.SourceData_Swine_FractionNVolatilised_Data">_xlfn.LAMBDA(_xlfn.MAKEARRAY(7, 3, _xlfn.LAMBDA(_xlpm.r,_xlpm.c, INDEX({"MMSm","FracGASMmT","NIR reference";"Outdoor (Dry lot)",0.3,"Drylot (feed pad)";"Deep litter",0.125,"Deep litter";"Stockpile (Solid storage)",0.2,"Solid storage";"Effluent pond (Uncovered anaerobic lagoon)",0.55,"Anaerobic lagoon";"Anaerobic digester / Covered lagoon",0,"Digester / covered lagoons";"Short HRT tank storage &lt; 1 month (pit storage)",0.25,"Pit storage"}, _xlpm.r, _xlpm.c))))</definedName>
    <definedName name="SourceData_Swine.SourceData_Swine_FractionNVolatilised_Source">_xlfn.LAMBDA("VEERG 2026: Table A.1.6.2: Swine - Fraction of N volatilised by MMS ((kg NH3-N + NOx-N)/kgN) (FracGASMmT)")</definedName>
    <definedName name="SourceData_Swine.SourceData_Swine_FractionNVolatilised_Title">_xlfn.LAMBDA("Swine - Fraction of nitrogen volatilised (FracGASMmT)")</definedName>
    <definedName name="SourceData_Swine.SourceData_Swine_FractionNVolatilised_Unit">_xlfn.LAMBDA("(kg NH3-N + NOx-N)/kgN")</definedName>
    <definedName name="SourceData_Swine.SourceData_Swine_FractionNVolatilised_Variation">_xlfn.LAMBDA("VARIATION ON SOURCE DATA: Added 'NIR reference column to aid lookup.")</definedName>
    <definedName name="SourceData_Swine.SourceData_Swine_MegajoulesPerKilogramMethane_Data">_xlfn.LAMBDA(55.22)</definedName>
    <definedName name="SourceData_Swine.SourceData_Swine_MegajoulesPerKilogramMethane_Source">_xlfn.LAMBDA("VEERG 2026: 3.5.2.3 CONSTANT")</definedName>
    <definedName name="SourceData_Swine.SourceData_Swine_MegajoulesPerKilogramMethane_Title">_xlfn.LAMBDA("Megajoules per kilogram of methane")</definedName>
    <definedName name="SourceData_Swine.SourceData_Swine_MegajoulesPerKilogramMethane_Unit">_xlfn.LAMBDA("MJ / kg CH4")</definedName>
    <definedName name="SourceData_Swine.SourceData_Swine_MegajoulesPerKilogramMethane_Variable">_xlfn.LAMBDA("F")</definedName>
    <definedName name="SourceData_Swine.SourceData_Swine_MegajoulesPerKilogramMethane_Variation">_xlfn.LAMBDA("")</definedName>
    <definedName name="SourceData_Swine.SourceData_Swine_MethaneVolatileSolidsEmissionsPotential_Data">_xlfn.LAMBDA(0.19)</definedName>
    <definedName name="SourceData_Swine.SourceData_Swine_MethaneVolatileSolidsEmissionsPotential_Title">_xlfn.LAMBDA("Emissions potential of methane per kilogram of volatile solids")</definedName>
    <definedName name="SourceData_Swine.SourceData_Swine_MethaneVolatileSolidsEmissionsPotential_Unit">_xlfn.LAMBDA("m3 CH4 / kg VS")</definedName>
    <definedName name="SourceData_Swine.SourceData_Swine_MethaneVolatileSolidsEmissionsPotential_Variable">_xlfn.LAMBDA("B0")</definedName>
    <definedName name="SourceData_Swine.SourceData_Swine_MethaneVolatileSolidsEmissionsPotential_Variation">_xlfn.LAMBDA("")</definedName>
    <definedName name="SourceData_Swine.SourceData_Swine_MMS_MCFs_Data">_xlfn.LAMBDA(
    _xlfn.MAKEARRAY(8, 10,
      _xlfn.LAMBDA(_xlpm.r,_xlpm.c,
        INDEX({"MMS","NSW","ACT","QLD","NT","SA","TAS","VIC","WA","NIR definition";"Outdoor (Dry lot)",0.01,0.01,0.03,0.03,0.01,0.01,0.01,0.01,"Drylot (feed pad)";"Deep litter",0.04,0.04,0.04,0.04,0.04,0.04,0.04,0.04,"Deep litter";"Stockpile (Solid storage)",0.02,0.02,0.02,0.02,0.02,0.02,0.02,0.02,"Solid storage";"Effluent pond (Uncovered anaerobic lagoon)",0.75,0.75,0.78,0.78,0.75,0.7,0.74,0.76,"Anaerobic lagoon";"Anaerobic digester / Covered lagoon",0.1,0.1,0.1,0.1,0.1,0.1,0.1,0.1,"Digester / covered lagoons";"Short HRT tank storage &lt; 1 month (pit storage)",0.03,0.03,0.03,0.03,0.03,0.03,0.03,0.03,"Pit storage";"Direct Application to soil",0,0,0,0,0,0,0,0,"Direct application"}, _xlpm.r, _xlpm.c)
      )
    )
  )</definedName>
    <definedName name="SourceData_Swine.SourceData_Swine_MMS_MCFs_Source">_xlfn.LAMBDA("VEERG 2026: Table A.1.6.4: Swine - MCFs (MCFim)")</definedName>
    <definedName name="SourceData_Swine.SourceData_Swine_MMS_MCFs_Title">_xlfn.LAMBDA("Methane conversion factor for temperature zone and manure management system.")</definedName>
    <definedName name="SourceData_Swine.SourceData_Swine_MMS_MCFs_Unit">_xlfn.LAMBDA("")</definedName>
    <definedName name="SourceData_Swine.SourceData_Swine_MMS_MCFs_Variation">_xlfn.LAMBDA("VARIATION ON SOURCE DATA: Added columns for ACT, split QLD and NT. Added extra column with MMS names that match NIR definitions")</definedName>
    <definedName name="SourceData_Swine.SourceData_Swine_NitrogenInWaste_Data">_xlfn.LAMBDA(_xlfn.MAKEARRAY(5, 4, _xlfn.LAMBDA(_xlpm.r,_xlpm.c, INDEX({"Class","NWj","NWj daily","Class name";"Boars",0.046,0.046,"Boars";"Sows",0.049,0.049,"Sows";"Gilts",0.046,0.046,"Gilts";"Others (kg/head/year)",11.4,0.0312,"Others"}, _xlpm.r, _xlpm.c))))</definedName>
    <definedName name="SourceData_Swine.SourceData_Swine_NitrogenInWaste_Source">_xlfn.LAMBDA("VEERG 2026: Table A.1.6.1: Swine - Intake and manure characteristics derived from PigBal")</definedName>
    <definedName name="SourceData_Swine.SourceData_Swine_NitrogenInWaste_Title">_xlfn.LAMBDA("Swine - Nitrogen in waste (NWj) - 2020 to 2024")</definedName>
    <definedName name="SourceData_Swine.SourceData_Swine_NitrogenInWaste_Unit">_xlfn.LAMBDA("kg/head/day")</definedName>
    <definedName name="SourceData_Swine.SourceData_Swine_NitrogenInWaste_Variation">_xlfn.LAMBDA("VARIATION ON SOURCE DATA: Only uses data for 2020-2024. Use 'Slaughter pigs' data for 'Other j=4' class. Added 'NWj daily' column to provide daily value for Others class. Added 'Class name' column to aid lookup.")</definedName>
    <definedName name="SourceData_Swine.SourceData_Swine_NitrousOxideEFs_Data">_xlfn.LAMBDA(_xlfn.MAKEARRAY(7, 3, _xlfn.LAMBDA(_xlpm.r,_xlpm.c, INDEX({"MMSm","EFmT","NIR reference";"Outdoor (Dry lot)",0.02,"Drylot (feed pad)";"Deep litter",0.01,"Deep litter";"Stockpile (Solid storage)",0.005,"Solid storage";"Effluent pond (Uncovered anaerobic lagoon)",0,"Anaerobic lagoon";"Anaerobic digestor / Covered lagoon",0,"Digester / covered lagoons";"Short HRT tank storage &lt; 1 month (pit storage)",0.002,"Pit storage"}, _xlpm.r, _xlpm.c))))</definedName>
    <definedName name="SourceData_Swine.SourceData_Swine_NitrousOxideEFs_Source">_xlfn.LAMBDA("VEERG 2026: Table A.1.6.3: Swine - Nitrous oxide EFs by MMS (kgN2O-N/kgN) (EFmT)")</definedName>
    <definedName name="SourceData_Swine.SourceData_Swine_NitrousOxideEFs_Title">_xlfn.LAMBDA("Swine - Nitrous oxide EFs by MMS (EFmT)")</definedName>
    <definedName name="SourceData_Swine.SourceData_Swine_NitrousOxideEFs_Unit">_xlfn.LAMBDA("kgN2O - N / kgN")</definedName>
    <definedName name="SourceData_Swine.SourceData_Swine_NitrousOxideEFs_Variation">_xlfn.LAMBDA("VARIATION ON SOURCE DATA: Added 'NIR reference column to aid lookup.")</definedName>
    <definedName name="SourceData_Swine.SourceData_Swine_ProductionSystems_Data">_xlfn.LAMBDA(_xlfn.MAKEARRAY(4, 1, _xlfn.LAMBDA(_xlpm.r,_xlpm.c, INDEX({"Production system";"Conventional housing";"Deep litter housing";"Outdoor/free range"}, _xlpm.r, _xlpm.c))))</definedName>
    <definedName name="SourceData_Swine.SourceData_Swine_ProductionSystems_Source">_xlfn.LAMBDA("VEERG 2026: 4.5 Swine Figure 4.8")</definedName>
    <definedName name="SourceData_Swine.SourceData_Swine_ProductionSystems_Title">_xlfn.LAMBDA("Swine production systems")</definedName>
    <definedName name="SourceData_Swine.SourceData_Swine_ProductionSystems_Unit">_xlfn.LAMBDA("")</definedName>
    <definedName name="SourceData_Swine.SourceData_Swine_ProductionSystems_Variation">_xlfn.LAMBDA("")</definedName>
    <definedName name="SourceData_Swine.SourceData_Swine_VolatileSolids_Data">_xlfn.LAMBDA(
    _xlfn.MAKEARRAY(5, 2,
      _xlfn.LAMBDA(_xlpm.r,_xlpm.c,
        INDEX({"Class","VSj";"Boars",0.4;"Sows",0.46;"Gilts",0.55;"Others",0.39}, _xlpm.r, _xlpm.c)
      )
    )
  )</definedName>
    <definedName name="SourceData_Swine.SourceData_Swine_VolatileSolids_Source">_xlfn.LAMBDA("VEERG 2026: Table A.1.6.1: Swine - Intake and manure characteristics derived from PigBal")</definedName>
    <definedName name="SourceData_Swine.SourceData_Swine_VolatileSolids_Title">_xlfn.LAMBDA("Swine - Volatile solids (VSj) - 2020 to 2024")</definedName>
    <definedName name="SourceData_Swine.SourceData_Swine_VolatileSolids_Unit">_xlfn.LAMBDA("kg/head/day")</definedName>
    <definedName name="SourceData_Swine.SourceData_Swine_VolatileSolids_Variation">_xlfn.LAMBDA("VARIATION ON SOURCE DATA: Only uses data for 2020-2024. Use 'Slaughter pigs' data for 'Other j=4' class.")</definedName>
    <definedName name="Table_A_j">'4.6.1.1-2 Methane'!$D$29:$G$30</definedName>
    <definedName name="Table_B_0_j">'4.6.1.1-2 Methane'!$D$67:$G$68</definedName>
    <definedName name="Table_D_j_k">'4.6.1.3-4 Direct N20'!$D$76:$G$77</definedName>
    <definedName name="Table_D_j_k_Consumer_1">'4.6.1.1-2 Methane'!$D$191:$G$192</definedName>
    <definedName name="Table_E_ad_inorganic">'5.4.1.1-4 Atmos deposition'!$D$58:$F$77</definedName>
    <definedName name="Table_E_ad_organic">'5.4.1.1-4 Atmos deposition'!$D$133:$F$136</definedName>
    <definedName name="Table_E_g">'8.2.1.1-2 Stationary fuel'!$D$24:$Q$40</definedName>
    <definedName name="Table_E_g_Consumer_1">'8.1.1.1-2 Transport fuel'!$D$24:$Q$39</definedName>
    <definedName name="Table_E_g_offsite">'10.1.1-2 Solid waste treatment'!$D$156:$E$190</definedName>
    <definedName name="Table_E_g_onsite">'10.1.1-2 Solid waste treatment'!$D$115:$E$149</definedName>
    <definedName name="Table_E_lime">'5.3.1.1-2 Lime CO2'!$D$24:$H$27</definedName>
    <definedName name="Table_EF_m">'4.6.1.9 Manure applied to soils'!$D$40:$E$49</definedName>
    <definedName name="Table_EF_m_Consumer_1">'4.6.1.3-4 Direct N20'!$D$137:$E$145</definedName>
    <definedName name="Table_FracGASM_m_T">'4.6.1.9 Manure applied to soils'!$D$53:$E$62</definedName>
    <definedName name="Table_FracGASM_m_T_Consumer_1">'4.6.1.5-6 Atmos Dep'!$D$44:$E$52</definedName>
    <definedName name="Table_FracGASM_m_T1">'4.6.1.3-4 Direct N20'!$D$129:$E$133</definedName>
    <definedName name="Table_M_leach_inorganic_j">'5.5.1.1-2 Leaching and runoff'!$D$22:$F$41</definedName>
    <definedName name="Table_M_leach_organic_j">'5.5.1.1-2 Leaching and runoff'!$D$64:$F$75</definedName>
    <definedName name="Table_M_vol_inorganic_j_f">'5.4.1.1-4 Atmos deposition'!$D$18:$H$37</definedName>
    <definedName name="Table_M_vol_organic_j_f">'5.4.1.1-4 Atmos deposition'!$D$101:$F$104</definedName>
    <definedName name="Table_MMS_j_m_T1">'4.6.1.3-4 Direct N20'!$D$99:$H$103</definedName>
    <definedName name="Table_MMS_j_m_T1_Consumer_1">'4.6.1.1-2 Methane'!$D$59:$H$63</definedName>
    <definedName name="Table_MMS_j_m_T2">'4.6.1.3-4 Direct N20'!$D$169:$I$170</definedName>
    <definedName name="Table_MMS_j_m_T2_Consumer_1">'4.6.1.1-2 Methane'!$D$139:$I$140</definedName>
    <definedName name="Table_MN_j_f">'5.1.1.1-2 Inorganic fert N2O'!$D$18:$G$37</definedName>
    <definedName name="Table_MNSoil_j_f">'5.2.1.1-2 Organic Fert N2O'!$D$19:$I$22</definedName>
    <definedName name="Table_MU_j_f">'5.1.1.3-4 Inorganic fert CO2'!$D$18:$G$37</definedName>
    <definedName name="Table_N_j_k">'4.6.1.3-4 Direct N20'!$D$71:$G$72</definedName>
    <definedName name="Table_N_j_k_Consumer_1">'4.6.1.1-2 Methane'!$D$196:$G$197</definedName>
    <definedName name="Table_NR_j_k">'4.6.1.3-4 Direct N20'!$D$47:$G$48</definedName>
    <definedName name="Table_PF">'4.6.1.9 Manure applied to soils'!$D$85:$F$86</definedName>
    <definedName name="Table_V_w_t_offsite">'10.1.1-2 Solid waste treatment'!$D$58:$E$92</definedName>
    <definedName name="Table_V_w_t_onsite">'10.1.1-2 Solid waste treatment'!$D$20:$E$54</definedName>
    <definedName name="ValidLivestockClass">_xlfn.UNIQUE(_xlfn._xlws.FILTER(#REF!,#REF! =#REF!))</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VEERG_15_1_1_1__1_EmissionsFromPurchasedLivestock_BeefCattle_Result_Method1">'15 Scope 3'!$E$34</definedName>
    <definedName name="VEERG_15_1_1_1__1_EmissionsFromPurchasedLivestock_BeefCattle_Result_Method2">'15 Scope 3'!$E$35</definedName>
    <definedName name="VEERG_15_1_1_1__1_EmissionsFromPurchasedLivestock_DairyCattle_Result_Method1">'15 Scope 3'!$E$53</definedName>
    <definedName name="VEERG_15_1_1_1__1_EmissionsFromPurchasedLivestock_DairyCattle_Result_Method2">'15 Scope 3'!$E$54</definedName>
    <definedName name="VEERG_15_1_1_1__1_EmissionsFromPurchasedLivestock_Pigs_Result_Method1">'15 Scope 3'!$E$72</definedName>
    <definedName name="VEERG_15_1_1_1__1_EmissionsFromPurchasedLivestock_Pigs_Result_Method2">'15 Scope 3'!$E$73</definedName>
    <definedName name="VEERG_15_1_1_1__1_EmissionsFromPurchasedLivestock_Poultry_Result_Method1">'15 Scope 3'!$E$90</definedName>
    <definedName name="VEERG_15_1_1_1__1_EmissionsFromPurchasedLivestock_Poultry_Result_Method2">'15 Scope 3'!$E$91</definedName>
    <definedName name="VEERG_15_1_1_1__1_EmissionsFromPurchasedLivestock_Result_Method1">'15 Scope 3'!$E$93</definedName>
    <definedName name="VEERG_15_1_1_1__1_EmissionsFromPurchasedLivestock_Result_Method2">'15 Scope 3'!$E$94</definedName>
    <definedName name="VEERG_15_10_1_1__1_OtherPurchasedGoodsAndServices_CleaningChemicals_Result_Method1">'15 Scope 3'!$E$456</definedName>
    <definedName name="VEERG_15_10_1_1__1_OtherPurchasedGoodsAndServices_CleaningChemicals_Result_Method2">'15 Scope 3'!$E$457</definedName>
    <definedName name="VEERG_15_10_1_1__1_OtherPurchasedGoodsAndServices_Misc_Result_Method1">'15 Scope 3'!$E$498</definedName>
    <definedName name="VEERG_15_10_1_1__1_OtherPurchasedGoodsAndServices_Misc_Result_Method2">'15 Scope 3'!$E$499</definedName>
    <definedName name="VEERG_15_10_1_1__1_OtherPurchasedGoodsAndServices_PharmacyChemicals_Result_Method1">'15 Scope 3'!$E$474</definedName>
    <definedName name="VEERG_15_10_1_1__1_OtherPurchasedGoodsAndServices_PharmacyChemicals_Result_Method2">'15 Scope 3'!$E$475</definedName>
    <definedName name="VEERG_15_10_1_1__1_OtherPurchasedGoodsAndServices_Seed_Result_Method1">'15 Scope 3'!$E$487</definedName>
    <definedName name="VEERG_15_10_1_1__1_OtherPurchasedGoodsAndServices_Seed_Result_Method2">'15 Scope 3'!$E$488</definedName>
    <definedName name="VEERG_15_10_1_1__1_OtherPurchasedGoodsAndServices_Uncategorised_Result_Method1">'15 Scope 3'!$E$516</definedName>
    <definedName name="VEERG_15_10_1_1__1_OtherPurchasedGoodsAndServices_Uncategorised_Result_Method2">'15 Scope 3'!$E$517</definedName>
    <definedName name="VEERG_15_11_1_1__1_TotalUpstreamEmissionsFromFuel_Result">'15 Scope 3'!$E$533</definedName>
    <definedName name="VEERG_15_12_1_1__1_UpstreamPurchasedElectricityLocationBased_Result">'15 Scope 3'!$E$548</definedName>
    <definedName name="VEERG_15_12_1_2__1_UpstreamPurchasedElectricityMarketBasedVariation_Result">'15 Scope 3'!$E$570</definedName>
    <definedName name="VEERG_15_13_1_1__1_EmissionsFromManureSentOffSite_Result_Method1_CO2e">'15 Scope 3'!$E$593</definedName>
    <definedName name="VEERG_15_13_1_1__1_EmissionsFromManureSentOffSite_Result_Method2_CO2e">'15 Scope 3'!$M$593</definedName>
    <definedName name="VEERG_15_14_1_1__1_EmbeddedEmissionsFromUpstreamFreight_Incoming_Result_Method1">'15 Scope 3'!$E$635</definedName>
    <definedName name="VEERG_15_14_1_1__1_EmbeddedEmissionsFromUpstreamFreight_Incoming_Result_Method2">'15 Scope 3'!$E$636</definedName>
    <definedName name="VEERG_15_14_1_1__1_EmbeddedEmissionsFromUpstreamFreight_Outgoing_Result_Method1">'15 Scope 3'!$E$653</definedName>
    <definedName name="VEERG_15_14_1_1__1_EmbeddedEmissionsFromUpstreamFreight_Outgoing_Result_Method2">'15 Scope 3'!$E$654</definedName>
    <definedName name="VEERG_15_2_1_1__1_EmissionsFromPurchasedFeed_Result_Method1">'15 Scope 3'!$E$159</definedName>
    <definedName name="VEERG_15_2_1_1__1_EmissionsFromPurchasedFeed_Result_Method2">'15 Scope 3'!$E$160</definedName>
    <definedName name="VEERG_15_3_1_1__1_EmissionsFromPurchasedMineralSupplements_Result_Method1">'15 Scope 3'!$E$181</definedName>
    <definedName name="VEERG_15_3_1_1__1_EmissionsFromPurchasedMineralSupplements_Result_Method2">'15 Scope 3'!$E$182</definedName>
    <definedName name="VEERG_15_4_1_1__2_EmissionsFromPurchasedFertiliserComponentsVariation_Result_Method1">'15 Scope 3'!$E$266</definedName>
    <definedName name="VEERG_15_4_1_1__2_EmissionsFromPurchasedFertiliserComponentsVariation_Result_Method2">'15 Scope 3'!$E$267</definedName>
    <definedName name="VEERG_15_5_1_1__1_EmissionsFromPurchasedAgrichemicals_Result_Method1">'15 Scope 3'!$E$298</definedName>
    <definedName name="VEERG_15_5_1_1__1_EmissionsFromPurchasedAgrichemicals_Result_Method2">'15 Scope 3'!$E$299</definedName>
    <definedName name="VEERG_15_6_1_1__1_EmissionsFromPurchasedLime_Result_Method1">'15 Scope 3'!$E$331</definedName>
    <definedName name="VEERG_15_6_1_1__1_EmissionsFromPurchasedLime_Result_Method2">'15 Scope 3'!$E$332</definedName>
    <definedName name="VEERG_15_7_1_1__1_EmissionsFromPurchasedServices_Result_Method1">'15 Scope 3'!$E$362</definedName>
    <definedName name="VEERG_15_7_1_1__1_EmissionsFromPurchasedServices_Result_Method2">'15 Scope 3'!$E$363</definedName>
    <definedName name="VEERG_15_8_1_1__1_EmissionsFromPurchasedPackaging_Result_Method1">'15 Scope 3'!$E$393</definedName>
    <definedName name="VEERG_15_8_1_1__1_EmissionsFromPurchasedPackaging_Result_Method2">'15 Scope 3'!$E$394</definedName>
    <definedName name="VEERG_15_9_1_1__1_EmissionsFromPurchasedGrowMedia_Result_Method1">'15 Scope 3'!$E$425</definedName>
    <definedName name="VEERG_15_9_1_1__1_EmissionsFromPurchasedGrowMedia_Result_Method2">'15 Scope 3'!$E$426</definedName>
    <definedName name="VEERG_4_6_1_1__1_TotalAnnualMethaneEmissions_Result_Method1">'4.6.1.1-2 Methane'!$E$222</definedName>
    <definedName name="VEERG_4_6_1_1__1_TotalAnnualMethaneEmissions_Result_Method2">'4.6.1.1-2 Methane'!$O$222</definedName>
    <definedName name="VEERG_4_6_1_10__1_DirectNitrousOxideEmissionsFromPoultryManure_Result_Method1">'4.6.1.10-11 Soil direct N2O'!$E$27</definedName>
    <definedName name="VEERG_4_6_1_10__1_DirectNitrousOxideEmissionsFromPoultryManure_Result_Method2">'4.6.1.10-11 Soil direct N2O'!$O$27</definedName>
    <definedName name="VEERG_4_6_1_12__1_AtmosphericDepositionEmissionsFromPoultryManureOnPasture_Result_Method1">'4.6.1.12-13 Soil atmos dep'!$E$45</definedName>
    <definedName name="VEERG_4_6_1_12__1_AtmosphericDepositionEmissionsFromPoultryManureOnPasture_Result_Method2">'4.6.1.12-13 Soil atmos dep'!$N$45</definedName>
    <definedName name="VEERG_4_6_1_14__1_LeachingAndRunoffEmissionsFromPoultryManureOnPasture_Result_Method1">'4.6.1.14-15 Soil leach runoff'!$E$47</definedName>
    <definedName name="VEERG_4_6_1_14__1_LeachingAndRunoffEmissionsFromPoultryManureOnPasture_Result_Method2">'4.6.1.14-15 Soil leach runoff'!$O$47</definedName>
    <definedName name="VEERG_4_6_1_3__1_TotalAnnualDirectNitrousOxideEmissionsFromMMS_Result_Method1">'4.6.1.3-4 Direct N20'!$E$245</definedName>
    <definedName name="VEERG_4_6_1_3__1_TotalAnnualDirectNitrousOxideEmissionsFromMMS_Result_Method2">'4.6.1.3-4 Direct N20'!$O$245</definedName>
    <definedName name="VEERG_4_6_1_5__1_TotalAnnualAtmosphericDepositionEmissionsFromMMS_Result_Method1">'4.6.1.5-6 Atmos Dep'!$E$96</definedName>
    <definedName name="VEERG_4_6_1_5__1_TotalAnnualAtmosphericDepositionEmissionsFromMMS_Result_Method2">'4.6.1.5-6 Atmos Dep'!$O$96</definedName>
    <definedName name="VEERG_4_6_1_7__1_AnnualEmissionsFromLeachingAndRunoffFromMMS_Result_Method1">'4.6.1.7-8 Leaching and runoff'!$E$59</definedName>
    <definedName name="VEERG_4_6_1_7__1_AnnualEmissionsFromLeachingAndRunoffFromMMS_Result_Method2">'4.6.1.7-8 Leaching and runoff'!$O$59</definedName>
    <definedName name="VEERG_4_6_1_9__1_MassOfNitrogenAppliedToSoilsScope1_Result_Method1">'4.6.1.9 Manure applied to soils'!$E$121</definedName>
    <definedName name="VEERG_4_6_1_9__1_MassOfNitrogenAppliedToSoilsScope1_Result_Method2">'4.6.1.9 Manure applied to soils'!$O$121</definedName>
    <definedName name="VEERG_4_6_1_9__2_MassOfNitrogenAppliedToSoilsScope3_Result_Method1">'4.6.1.9 Manure applied to soils'!$E$158</definedName>
    <definedName name="VEERG_4_6_1_9__2_MassOfNitrogenAppliedToSoilsScope3_Result_Method2">'4.6.1.9 Manure applied to soils'!$O$158</definedName>
    <definedName name="VEERG_5_1_1_1__1_InorganicFertiliserApplicationN2OEmissions_Result_Method1">'5.1.1.1-2 Inorganic fert N2O'!$E$80</definedName>
    <definedName name="VEERG_5_1_1_1__1_InorganicFertiliserApplicationN2OEmissions_Result_Method2">'5.1.1.1-2 Inorganic fert N2O'!$N$110</definedName>
    <definedName name="VEERG_5_1_1_3__1_InorganicFertiliserApplicationCO2Emissions_Result_Method1">'5.1.1.3-4 Inorganic fert CO2'!$E$78</definedName>
    <definedName name="VEERG_5_2_1_1__1_OrganicFertiliserApplicationN2OEmissions_Result_Method1">'Calcs - Manure sent off-site'!$E$19</definedName>
    <definedName name="VEERG_5_2_1_1__1_OrganicFertiliserApplicationN2OEmissions_Result_Method2">'Calcs - Manure sent off-site'!$O$19</definedName>
    <definedName name="VEERG_5_2_1_1__2_MassOfNitrogenInOrganicFertiliser_Result_Method1">'5.2.1.1-2 Organic Fert N2O'!$E$50</definedName>
    <definedName name="VEERG_5_3_1_1__1_LimeApplicationCO2Emissions_Result_Method1">'5.3.1.1-2 Lime CO2'!$E$31</definedName>
    <definedName name="VEERG_5_4_1_1__1_InorganicFertiliserAtmosphericDepositionN2OEmissions_Result_Method1">'5.4.1.1-4 Atmos deposition'!$E$79</definedName>
    <definedName name="VEERG_5_4_1_3__1_OrganicFertiliserAtmosphericDepositionN2OEmissions_Result_Method1">'5.4.1.1-4 Atmos deposition'!$E$146</definedName>
    <definedName name="VEERG_5_4_1_3__1_OrganicFertiliserAtmosphericDepositionN2OEmissions_Result_Method2">'Calcs - Manure sent off-site'!$O$55</definedName>
    <definedName name="VEERG_5_5_1_1__1_FertiliserLeachingAndRunoffN2OEmissions_Result_Method1">'5.5.1.1-2 Leaching and runoff'!$E$94</definedName>
    <definedName name="VEERG_5_5_1_1__1_FertiliserLeachingAndRunoffN2OEmissions_Result_Method2">'Calcs - Manure sent off-site'!$O$90</definedName>
    <definedName name="VEERG_8_1_1_1__1_FuelCombustionTransport_Result">'8.1.1.1-2 Transport fuel'!$E$70</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'8.2.1.1-2 Stationary fuel'!$E$58</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Enterprise_BirdsSold">'Input - Enterprise'!$E$22</definedName>
    <definedName name="X_Cell_Enterprise_EggsProduced">'Input - Enterprise'!$E$23</definedName>
    <definedName name="X_Cell_Enterprise_ManureProduced">'Input - Enterprise'!$E$24</definedName>
    <definedName name="X_Cell_Enterprise_PercentIncomeFromBirdsSold">'Input - Enterprise'!$E$28</definedName>
    <definedName name="X_Cell_Enterprise_PercentIncomeFromEggsSold">'Input - Enterprise'!$E$29</definedName>
    <definedName name="X_Cell_Enterprise_PercentIncomeFromManureSold">'Input - Enterprise'!$E$30</definedName>
    <definedName name="X_Cell_Enterprise_PercentManureFertiliserOwnFarm">'Input - Enterprise'!$E$26</definedName>
    <definedName name="X_Cell_Enterprise_PercentManureSold">'Input - Enterprise'!$E$25</definedName>
    <definedName name="X_Cell_Enterprise_ProductionTimeframeEnd">'Input - Enterprise'!$E$19</definedName>
    <definedName name="X_Cell_Enterprise_ProductionTimeframeStart">'Input - Enterprise'!$E$18</definedName>
    <definedName name="X_Cell_FarmInputs_FeedRations_Chickens">'Input - Livestock farm Inputs'!$E$12</definedName>
    <definedName name="X_Cell_FarmInputs_FeedRations_DairyCalves">'Input - Livestock farm Inputs'!$E$13</definedName>
    <definedName name="X_Cell_FarmInputs_FeedRations_DairyCows">'Input - Livestock farm Inputs'!$E$14</definedName>
    <definedName name="X_Cell_FarmInputs_FeedRations_Pigs">'Input - Livestock farm Inputs'!$E$15</definedName>
    <definedName name="X_Cell_FarmInputs_LickBlocks_DrySeasonMix">'Input - Livestock farm Inputs'!$E$7</definedName>
    <definedName name="X_Cell_FarmInputs_LickBlocks_Mineral">'Input - Livestock farm Inputs'!$E$8</definedName>
    <definedName name="X_Cell_FarmInputs_LickBlocks_Weaner">'Input - Livestock farm Inputs'!$E$9</definedName>
    <definedName name="X_Cell_FarmInputs_Misc_AnimalEarTagsLarge">'Input - Livestock farm Inputs'!$E$47</definedName>
    <definedName name="X_Cell_FarmInputs_Misc_AnimalEarTagsSmall">'Input - Livestock farm Inputs'!$E$48</definedName>
    <definedName name="X_Cell_Fertiliser_AreaUnderCropping">'Input - Fert Prod System'!$E$8</definedName>
    <definedName name="X_Cell_Fertiliser_CropType">'Input - Fert Prod System'!$E$6</definedName>
    <definedName name="X_Cell_Fertiliser_IrrigationMethod">'Input - Fert Prod System'!$E$7</definedName>
    <definedName name="X_Cell_Fertiliser_ProductionSystem">'Input - Fert Prod System'!$E$5</definedName>
    <definedName name="X_Cell_Fuel_IsMetroLocation">'Input - Fuel'!$E$11</definedName>
    <definedName name="X_Cell_ManureSentOffsite_ManureIrrigationMethod">'Input - Manure sent off-site'!$F$14</definedName>
    <definedName name="X_Cell_ManureSentOffsite_ManureProductionSystem">'Input - Manure sent off-site'!$F$13</definedName>
    <definedName name="X_Cell_ManureSentOffsite_MassNitrogenManure_Method1">'Input - Manure sent off-site'!$F$10</definedName>
    <definedName name="X_Cell_ManureSentOffsite_MassNitrogenManure_Method2">'Input - Manure sent off-site'!$F$11</definedName>
    <definedName name="X_Cell_Poultry_ManureAppliedIrrigationMethod">'Input - Poultry'!$E$60</definedName>
    <definedName name="X_Cell_Poultry_ManureAppliedProductionSystem">'Input - Poultry'!$E$59</definedName>
    <definedName name="X_Cell_Poultry_ProductionSystem">'Input - Poultry'!$E$27</definedName>
    <definedName name="X_Cell_Site_AverageTemperature">'Input - Site'!$E$14</definedName>
    <definedName name="X_Cell_Site_ClimateZone">'Input - Site'!$E$20</definedName>
    <definedName name="X_Cell_Site_Elevation">'Input - Site'!$E$13</definedName>
    <definedName name="X_Cell_Site_EndDate">'Input - Enterprise'!$E$13</definedName>
    <definedName name="X_Cell_Site_FarmName">'Input - Enterprise'!$E$7</definedName>
    <definedName name="X_Cell_Site_FrostDays">'Input - Site'!$E$17</definedName>
    <definedName name="X_Cell_Site_LeachingZone">'Input - Site'!$E$12</definedName>
    <definedName name="X_Cell_Site_MapPetRatio">'Input - Site'!$E$18</definedName>
    <definedName name="X_Cell_Site_PotentialEvapotranspiration">'Input - Site'!$E$16</definedName>
    <definedName name="X_Cell_Site_RainfallZone">'Input - Site'!$E$19</definedName>
    <definedName name="X_Cell_Site_Region">'Input - Site'!$E$11</definedName>
    <definedName name="X_Cell_Site_ReportingEntityName">'Input - Enterprise'!$E$8</definedName>
    <definedName name="X_Cell_Site_StartDate">'Input - Enterprise'!$E$12</definedName>
    <definedName name="X_Cell_Site_State">'Input - Site'!$E$10</definedName>
    <definedName name="X_Cell_Site_TemperatureZone">'Input - Site'!$E$22</definedName>
    <definedName name="X_Cell_Site_TotalRainfall">'Input - Site'!$E$15</definedName>
    <definedName name="X_Cell_Site_WetOrDryClimateZone">'Input - Site'!$E$21</definedName>
    <definedName name="X_Cell_TotalElegibleRECsForElectricityProducedOnSite">'Input - Electricity'!$E$50</definedName>
    <definedName name="X_Cell_TotalElegibleVoluntarilySurrenderedRECs">'Input - Electricity'!$E$41</definedName>
    <definedName name="X_Table_Poultry_Diet_Method1">'Input - Poultry'!$D$15:$H$18</definedName>
    <definedName name="X_Table_Poultry_Diet_Method2">'Input - Poultry'!$D$20:$H$23</definedName>
    <definedName name="X_Table_Poultry_Movement">'Input - Poultry'!$D$9:$H$11</definedName>
    <definedName name="X_Table_Poultry_Stage1MMS">'Input - Poultry'!$D$29:$H$33</definedName>
    <definedName name="X_Table_Poultry_Stage2MMS_BeltManureRemoval">'Input - Poultry'!$D$44:$H$49</definedName>
    <definedName name="X_Table_Poultry_Stage2MMS_BeltManureRemoval_Destinations">'Input - Poultry'!$J$44:$M$49</definedName>
    <definedName name="X_Table_Poultry_Stage2MMS_ManureStoredInHouse">'Input - Poultry'!$D$51:$H$56</definedName>
    <definedName name="X_Table_Poultry_Stage2MMS_ManureStoredInHouse_Destinations">'Input - Poultry'!$J$51:$M$56</definedName>
    <definedName name="X_Table_Poultry_Stage2MMS_PoultryManureWithBedding">'Input - Poultry'!$D$37:$H$42</definedName>
    <definedName name="X_Table_Poultry_Stage2MMS_PoultryManureWithBedding_Destinations">'Input - Poultry'!$J$37:$M$42</definedName>
    <definedName name="X_Table_Result_ActivityPeriodEmissions_RowsToCols">'Results - Activity period'!$D$29:$F$34</definedName>
    <definedName name="X_Table_Result_CarbonRemovalsFromPlantings_RowsToCols">'Results - Activity period'!$D$39:$E$45</definedName>
  </definedNames>
  <calcPr calcId="191029" fullCalcOn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98" i="106" l="1"/>
  <c r="A68" i="106"/>
  <c r="A57" i="106"/>
  <c r="A56" i="106"/>
  <c r="A55" i="106"/>
  <c r="A54" i="106"/>
  <c r="A53" i="106"/>
  <c r="A52" i="106"/>
  <c r="A51" i="106"/>
  <c r="A50" i="106"/>
  <c r="A46" i="106"/>
  <c r="A45" i="106"/>
  <c r="A44" i="106"/>
  <c r="A43" i="106"/>
  <c r="A42" i="106"/>
  <c r="A41" i="106"/>
  <c r="A40" i="106"/>
  <c r="A39" i="106"/>
  <c r="A38" i="106"/>
  <c r="A37" i="106"/>
  <c r="A36" i="106"/>
  <c r="A35" i="106"/>
  <c r="A34" i="106"/>
  <c r="A33" i="106"/>
  <c r="A32" i="106"/>
  <c r="A31" i="106"/>
  <c r="A30" i="106"/>
  <c r="A29" i="106"/>
  <c r="A28" i="106"/>
  <c r="A27" i="106"/>
  <c r="A23" i="106"/>
  <c r="A22" i="106"/>
  <c r="A21" i="106"/>
  <c r="A20" i="106"/>
  <c r="A19" i="106"/>
  <c r="A18" i="106"/>
  <c r="A17" i="106"/>
  <c r="A16" i="106"/>
  <c r="A15" i="106"/>
  <c r="A14" i="106"/>
  <c r="A13" i="106"/>
  <c r="A12" i="106"/>
  <c r="A11" i="106"/>
  <c r="A10" i="106"/>
  <c r="A9" i="106"/>
  <c r="A5" i="106"/>
  <c r="A4" i="106"/>
  <c r="A3" i="106"/>
  <c r="A128" i="105"/>
  <c r="A98" i="105"/>
  <c r="A68" i="105"/>
  <c r="A57" i="105"/>
  <c r="A56" i="105"/>
  <c r="A55" i="105"/>
  <c r="A54" i="105"/>
  <c r="A53" i="105"/>
  <c r="A52" i="105"/>
  <c r="A51" i="105"/>
  <c r="A50" i="105"/>
  <c r="A46" i="105"/>
  <c r="A45" i="105"/>
  <c r="A44" i="105"/>
  <c r="A43" i="105"/>
  <c r="A42" i="105"/>
  <c r="A41" i="105"/>
  <c r="A40" i="105"/>
  <c r="A39" i="105"/>
  <c r="A38" i="105"/>
  <c r="A37" i="105"/>
  <c r="A36" i="105"/>
  <c r="A35" i="105"/>
  <c r="A34" i="105"/>
  <c r="A33" i="105"/>
  <c r="A32" i="105"/>
  <c r="A31" i="105"/>
  <c r="A30" i="105"/>
  <c r="A29" i="105"/>
  <c r="A28" i="105"/>
  <c r="A27" i="105"/>
  <c r="A23" i="105"/>
  <c r="A22" i="105"/>
  <c r="A21" i="105"/>
  <c r="A20" i="105"/>
  <c r="A19" i="105"/>
  <c r="A18" i="105"/>
  <c r="A17" i="105"/>
  <c r="A16" i="105"/>
  <c r="A15" i="105"/>
  <c r="A14" i="105"/>
  <c r="A13" i="105"/>
  <c r="A12" i="105"/>
  <c r="A11" i="105"/>
  <c r="A10" i="105"/>
  <c r="A9" i="105"/>
  <c r="A5" i="105"/>
  <c r="A4" i="105"/>
  <c r="A3" i="105"/>
  <c r="A57" i="104"/>
  <c r="A56" i="104"/>
  <c r="A55" i="104"/>
  <c r="A54" i="104"/>
  <c r="A53" i="104"/>
  <c r="A52" i="104"/>
  <c r="A51" i="104"/>
  <c r="A50" i="104"/>
  <c r="A46" i="104"/>
  <c r="A45" i="104"/>
  <c r="A44" i="104"/>
  <c r="A43" i="104"/>
  <c r="A42" i="104"/>
  <c r="A41" i="104"/>
  <c r="A40" i="104"/>
  <c r="A39" i="104"/>
  <c r="A38" i="104"/>
  <c r="A37" i="104"/>
  <c r="A36" i="104"/>
  <c r="A35" i="104"/>
  <c r="A34" i="104"/>
  <c r="A33" i="104"/>
  <c r="A32" i="104"/>
  <c r="A31" i="104"/>
  <c r="A30" i="104"/>
  <c r="A29" i="104"/>
  <c r="A28" i="104"/>
  <c r="A27" i="104"/>
  <c r="A23" i="104"/>
  <c r="A22" i="104"/>
  <c r="A21" i="104"/>
  <c r="A20" i="104"/>
  <c r="A19" i="104"/>
  <c r="A18" i="104"/>
  <c r="A17" i="104"/>
  <c r="A16" i="104"/>
  <c r="A15" i="104"/>
  <c r="A14" i="104"/>
  <c r="A13" i="104"/>
  <c r="A12" i="104"/>
  <c r="A11" i="104"/>
  <c r="A10" i="104"/>
  <c r="A9" i="104"/>
  <c r="A5" i="104"/>
  <c r="A4" i="104"/>
  <c r="A3" i="104"/>
  <c r="A57" i="103"/>
  <c r="A56" i="103"/>
  <c r="A55" i="103"/>
  <c r="A54" i="103"/>
  <c r="A53" i="103"/>
  <c r="A52" i="103"/>
  <c r="A51" i="103"/>
  <c r="A50" i="103"/>
  <c r="A46" i="103"/>
  <c r="A45" i="103"/>
  <c r="A44" i="103"/>
  <c r="A43" i="103"/>
  <c r="A42" i="103"/>
  <c r="A41" i="103"/>
  <c r="A40" i="103"/>
  <c r="A39" i="103"/>
  <c r="A38" i="103"/>
  <c r="A37" i="103"/>
  <c r="A36" i="103"/>
  <c r="A35" i="103"/>
  <c r="A34" i="103"/>
  <c r="A33" i="103"/>
  <c r="A32" i="103"/>
  <c r="A31" i="103"/>
  <c r="A30" i="103"/>
  <c r="A29" i="103"/>
  <c r="A28" i="103"/>
  <c r="A27" i="103"/>
  <c r="A23" i="103"/>
  <c r="A22" i="103"/>
  <c r="A21" i="103"/>
  <c r="A20" i="103"/>
  <c r="A19" i="103"/>
  <c r="A18" i="103"/>
  <c r="A17" i="103"/>
  <c r="A16" i="103"/>
  <c r="A15" i="103"/>
  <c r="A14" i="103"/>
  <c r="A13" i="103"/>
  <c r="A12" i="103"/>
  <c r="A11" i="103"/>
  <c r="A10" i="103"/>
  <c r="A9" i="103"/>
  <c r="A5" i="103"/>
  <c r="A4" i="103"/>
  <c r="A3" i="103"/>
  <c r="A68" i="102"/>
  <c r="A57" i="102"/>
  <c r="A56" i="102"/>
  <c r="A55" i="102"/>
  <c r="A54" i="102"/>
  <c r="A53" i="102"/>
  <c r="A52" i="102"/>
  <c r="A51" i="102"/>
  <c r="A50" i="102"/>
  <c r="A46" i="102"/>
  <c r="A45" i="102"/>
  <c r="A44" i="102"/>
  <c r="A43" i="102"/>
  <c r="A42" i="102"/>
  <c r="A41" i="102"/>
  <c r="A40" i="102"/>
  <c r="A39" i="102"/>
  <c r="A38" i="102"/>
  <c r="A37" i="102"/>
  <c r="A36" i="102"/>
  <c r="A35" i="102"/>
  <c r="A34" i="102"/>
  <c r="A33" i="102"/>
  <c r="A32" i="102"/>
  <c r="A31" i="102"/>
  <c r="A30" i="102"/>
  <c r="A29" i="102"/>
  <c r="A28" i="102"/>
  <c r="A27" i="102"/>
  <c r="A23" i="102"/>
  <c r="A22" i="102"/>
  <c r="A21" i="102"/>
  <c r="A20" i="102"/>
  <c r="A19" i="102"/>
  <c r="A18" i="102"/>
  <c r="A17" i="102"/>
  <c r="A16" i="102"/>
  <c r="A15" i="102"/>
  <c r="A14" i="102"/>
  <c r="A13" i="102"/>
  <c r="A12" i="102"/>
  <c r="A11" i="102"/>
  <c r="A10" i="102"/>
  <c r="A9" i="102"/>
  <c r="A5" i="102"/>
  <c r="A4" i="102"/>
  <c r="A3" i="102"/>
  <c r="A98" i="101"/>
  <c r="A68" i="101"/>
  <c r="A57" i="101"/>
  <c r="A56" i="101"/>
  <c r="A55" i="101"/>
  <c r="A54" i="101"/>
  <c r="A53" i="101"/>
  <c r="A52" i="101"/>
  <c r="A51" i="101"/>
  <c r="A50" i="101"/>
  <c r="A46" i="101"/>
  <c r="A45" i="101"/>
  <c r="A44" i="101"/>
  <c r="A43" i="101"/>
  <c r="A42" i="101"/>
  <c r="A41" i="101"/>
  <c r="A40" i="101"/>
  <c r="A39" i="101"/>
  <c r="A38" i="101"/>
  <c r="A37" i="101"/>
  <c r="A36" i="101"/>
  <c r="A35" i="101"/>
  <c r="A34" i="101"/>
  <c r="A33" i="101"/>
  <c r="A32" i="101"/>
  <c r="A31" i="101"/>
  <c r="A30" i="101"/>
  <c r="A29" i="101"/>
  <c r="A28" i="101"/>
  <c r="A27" i="101"/>
  <c r="A23" i="101"/>
  <c r="A22" i="101"/>
  <c r="A21" i="101"/>
  <c r="A20" i="101"/>
  <c r="A19" i="101"/>
  <c r="A18" i="101"/>
  <c r="A17" i="101"/>
  <c r="A16" i="101"/>
  <c r="A15" i="101"/>
  <c r="A14" i="101"/>
  <c r="A13" i="101"/>
  <c r="A12" i="101"/>
  <c r="A11" i="101"/>
  <c r="A10" i="101"/>
  <c r="A9" i="101"/>
  <c r="A5" i="101"/>
  <c r="A4" i="101"/>
  <c r="A3" i="101"/>
  <c r="A57" i="100"/>
  <c r="A56" i="100"/>
  <c r="A55" i="100"/>
  <c r="A54" i="100"/>
  <c r="A53" i="100"/>
  <c r="A52" i="100"/>
  <c r="A51" i="100"/>
  <c r="A50" i="100"/>
  <c r="A46" i="100"/>
  <c r="A45" i="100"/>
  <c r="A44" i="100"/>
  <c r="A43" i="100"/>
  <c r="A42" i="100"/>
  <c r="A41" i="100"/>
  <c r="A40" i="100"/>
  <c r="A39" i="100"/>
  <c r="A38" i="100"/>
  <c r="A37" i="100"/>
  <c r="A36" i="100"/>
  <c r="A35" i="100"/>
  <c r="A34" i="100"/>
  <c r="A33" i="100"/>
  <c r="A32" i="100"/>
  <c r="A31" i="100"/>
  <c r="A30" i="100"/>
  <c r="A29" i="100"/>
  <c r="A28" i="100"/>
  <c r="A27" i="100"/>
  <c r="A23" i="100"/>
  <c r="A22" i="100"/>
  <c r="A21" i="100"/>
  <c r="A20" i="100"/>
  <c r="A19" i="100"/>
  <c r="A18" i="100"/>
  <c r="A17" i="100"/>
  <c r="A16" i="100"/>
  <c r="A15" i="100"/>
  <c r="A14" i="100"/>
  <c r="A13" i="100"/>
  <c r="A12" i="100"/>
  <c r="A11" i="100"/>
  <c r="A10" i="100"/>
  <c r="A9" i="100"/>
  <c r="A5" i="100"/>
  <c r="A4" i="100"/>
  <c r="A3" i="100"/>
  <c r="A57" i="99"/>
  <c r="A56" i="99"/>
  <c r="A55" i="99"/>
  <c r="A54" i="99"/>
  <c r="A53" i="99"/>
  <c r="A52" i="99"/>
  <c r="A51" i="99"/>
  <c r="A50" i="99"/>
  <c r="A46" i="99"/>
  <c r="A45" i="99"/>
  <c r="A44" i="99"/>
  <c r="A43" i="99"/>
  <c r="A42" i="99"/>
  <c r="A41" i="99"/>
  <c r="A40" i="99"/>
  <c r="A39" i="99"/>
  <c r="A38" i="99"/>
  <c r="A37" i="99"/>
  <c r="A36" i="99"/>
  <c r="A35" i="99"/>
  <c r="A34" i="99"/>
  <c r="A33" i="99"/>
  <c r="A32" i="99"/>
  <c r="A31" i="99"/>
  <c r="A30" i="99"/>
  <c r="A29" i="99"/>
  <c r="A28" i="99"/>
  <c r="A27" i="99"/>
  <c r="A23" i="99"/>
  <c r="A22" i="99"/>
  <c r="A21" i="99"/>
  <c r="A20" i="99"/>
  <c r="A19" i="99"/>
  <c r="A18" i="99"/>
  <c r="A17" i="99"/>
  <c r="A16" i="99"/>
  <c r="A15" i="99"/>
  <c r="A14" i="99"/>
  <c r="A13" i="99"/>
  <c r="A12" i="99"/>
  <c r="A11" i="99"/>
  <c r="A10" i="99"/>
  <c r="A9" i="99"/>
  <c r="A5" i="99"/>
  <c r="A4" i="99"/>
  <c r="A3" i="99"/>
  <c r="A278" i="79"/>
  <c r="A248" i="79"/>
  <c r="A218" i="79"/>
  <c r="A188" i="79"/>
  <c r="A158" i="79"/>
  <c r="A128" i="79"/>
  <c r="A98" i="79"/>
  <c r="A68" i="79"/>
  <c r="A57" i="79"/>
  <c r="A56" i="79"/>
  <c r="A55" i="79"/>
  <c r="A54" i="79"/>
  <c r="A53" i="79"/>
  <c r="A52" i="79"/>
  <c r="A51" i="79"/>
  <c r="A50" i="79"/>
  <c r="A46" i="79"/>
  <c r="A45" i="79"/>
  <c r="A44" i="79"/>
  <c r="A43" i="79"/>
  <c r="A42" i="79"/>
  <c r="A41" i="79"/>
  <c r="A40" i="79"/>
  <c r="A39" i="79"/>
  <c r="A38" i="79"/>
  <c r="A37" i="79"/>
  <c r="A36" i="79"/>
  <c r="A35" i="79"/>
  <c r="A34" i="79"/>
  <c r="A33" i="79"/>
  <c r="A32" i="79"/>
  <c r="A31" i="79"/>
  <c r="A30" i="79"/>
  <c r="A29" i="79"/>
  <c r="A28" i="79"/>
  <c r="A27" i="79"/>
  <c r="A23" i="79"/>
  <c r="A22" i="79"/>
  <c r="A21" i="79"/>
  <c r="A20" i="79"/>
  <c r="A19" i="79"/>
  <c r="A18" i="79"/>
  <c r="A17" i="79"/>
  <c r="A16" i="79"/>
  <c r="A15" i="79"/>
  <c r="A14" i="79"/>
  <c r="A13" i="79"/>
  <c r="A12" i="79"/>
  <c r="A11" i="79"/>
  <c r="A10" i="79"/>
  <c r="A9" i="79"/>
  <c r="A5" i="79"/>
  <c r="A4" i="79"/>
  <c r="A3" i="79"/>
  <c r="A68" i="110"/>
  <c r="A57" i="110"/>
  <c r="A56" i="110"/>
  <c r="A55" i="110"/>
  <c r="A54" i="110"/>
  <c r="A53" i="110"/>
  <c r="A52" i="110"/>
  <c r="A51" i="110"/>
  <c r="A50" i="110"/>
  <c r="A46" i="110"/>
  <c r="A45" i="110"/>
  <c r="A44" i="110"/>
  <c r="A43" i="110"/>
  <c r="A42" i="110"/>
  <c r="A41" i="110"/>
  <c r="A40" i="110"/>
  <c r="A39" i="110"/>
  <c r="A38" i="110"/>
  <c r="A37" i="110"/>
  <c r="A36" i="110"/>
  <c r="A35" i="110"/>
  <c r="A34" i="110"/>
  <c r="A33" i="110"/>
  <c r="A32" i="110"/>
  <c r="A31" i="110"/>
  <c r="A30" i="110"/>
  <c r="A29" i="110"/>
  <c r="A28" i="110"/>
  <c r="A27" i="110"/>
  <c r="A23" i="110"/>
  <c r="A22" i="110"/>
  <c r="A21" i="110"/>
  <c r="A20" i="110"/>
  <c r="A19" i="110"/>
  <c r="A18" i="110"/>
  <c r="A17" i="110"/>
  <c r="A16" i="110"/>
  <c r="A15" i="110"/>
  <c r="A14" i="110"/>
  <c r="A13" i="110"/>
  <c r="A12" i="110"/>
  <c r="A11" i="110"/>
  <c r="A10" i="110"/>
  <c r="A9" i="110"/>
  <c r="A5" i="110"/>
  <c r="A4" i="110"/>
  <c r="A3" i="110"/>
  <c r="A218" i="118"/>
  <c r="A188" i="118"/>
  <c r="A158" i="118"/>
  <c r="A128" i="118"/>
  <c r="A98" i="118"/>
  <c r="A68" i="118"/>
  <c r="A57" i="118"/>
  <c r="A56" i="118"/>
  <c r="A55" i="118"/>
  <c r="A54" i="118"/>
  <c r="A53" i="118"/>
  <c r="A52" i="118"/>
  <c r="A51" i="118"/>
  <c r="A50" i="118"/>
  <c r="A46" i="118"/>
  <c r="A45" i="118"/>
  <c r="A44" i="118"/>
  <c r="A43" i="118"/>
  <c r="A42" i="118"/>
  <c r="A41" i="118"/>
  <c r="A40" i="118"/>
  <c r="A39" i="118"/>
  <c r="A38" i="118"/>
  <c r="A37" i="118"/>
  <c r="A36" i="118"/>
  <c r="A35" i="118"/>
  <c r="A34" i="118"/>
  <c r="A33" i="118"/>
  <c r="A32" i="118"/>
  <c r="A31" i="118"/>
  <c r="A30" i="118"/>
  <c r="A29" i="118"/>
  <c r="A28" i="118"/>
  <c r="A27" i="118"/>
  <c r="A23" i="118"/>
  <c r="A22" i="118"/>
  <c r="A21" i="118"/>
  <c r="A20" i="118"/>
  <c r="A19" i="118"/>
  <c r="A18" i="118"/>
  <c r="A17" i="118"/>
  <c r="A16" i="118"/>
  <c r="A15" i="118"/>
  <c r="A14" i="118"/>
  <c r="A13" i="118"/>
  <c r="A12" i="118"/>
  <c r="A11" i="118"/>
  <c r="A10" i="118"/>
  <c r="A9" i="118"/>
  <c r="A5" i="118"/>
  <c r="A4" i="118"/>
  <c r="A3" i="118"/>
  <c r="A158" i="98"/>
  <c r="A128" i="98"/>
  <c r="A98" i="98"/>
  <c r="A68" i="98"/>
  <c r="A57" i="98"/>
  <c r="A56" i="98"/>
  <c r="A55" i="98"/>
  <c r="A54" i="98"/>
  <c r="A53" i="98"/>
  <c r="A52" i="98"/>
  <c r="A51" i="98"/>
  <c r="A50" i="98"/>
  <c r="A46" i="98"/>
  <c r="A45" i="98"/>
  <c r="A44" i="98"/>
  <c r="A43" i="98"/>
  <c r="A42" i="98"/>
  <c r="A41" i="98"/>
  <c r="A40" i="98"/>
  <c r="A39" i="98"/>
  <c r="A38" i="98"/>
  <c r="A37" i="98"/>
  <c r="A36" i="98"/>
  <c r="A35" i="98"/>
  <c r="A34" i="98"/>
  <c r="A33" i="98"/>
  <c r="A32" i="98"/>
  <c r="A31" i="98"/>
  <c r="A30" i="98"/>
  <c r="A29" i="98"/>
  <c r="A28" i="98"/>
  <c r="A27" i="98"/>
  <c r="A23" i="98"/>
  <c r="A22" i="98"/>
  <c r="A21" i="98"/>
  <c r="A20" i="98"/>
  <c r="A19" i="98"/>
  <c r="A18" i="98"/>
  <c r="A17" i="98"/>
  <c r="A16" i="98"/>
  <c r="A15" i="98"/>
  <c r="A14" i="98"/>
  <c r="A13" i="98"/>
  <c r="A12" i="98"/>
  <c r="A11" i="98"/>
  <c r="A10" i="98"/>
  <c r="A9" i="98"/>
  <c r="A5" i="98"/>
  <c r="A4" i="98"/>
  <c r="A3" i="98"/>
  <c r="A218" i="107"/>
  <c r="A188" i="107"/>
  <c r="A158" i="107"/>
  <c r="A128" i="107"/>
  <c r="A98" i="107"/>
  <c r="A68" i="107"/>
  <c r="A57" i="107"/>
  <c r="A56" i="107"/>
  <c r="A55" i="107"/>
  <c r="A54" i="107"/>
  <c r="A53" i="107"/>
  <c r="A52" i="107"/>
  <c r="A51" i="107"/>
  <c r="A50" i="107"/>
  <c r="A46" i="107"/>
  <c r="A45" i="107"/>
  <c r="A44" i="107"/>
  <c r="A43" i="107"/>
  <c r="A42" i="107"/>
  <c r="A41" i="107"/>
  <c r="A40" i="107"/>
  <c r="A39" i="107"/>
  <c r="A38" i="107"/>
  <c r="A37" i="107"/>
  <c r="A36" i="107"/>
  <c r="A35" i="107"/>
  <c r="A34" i="107"/>
  <c r="A33" i="107"/>
  <c r="A32" i="107"/>
  <c r="A31" i="107"/>
  <c r="A30" i="107"/>
  <c r="A29" i="107"/>
  <c r="A28" i="107"/>
  <c r="A27" i="107"/>
  <c r="A23" i="107"/>
  <c r="A22" i="107"/>
  <c r="A21" i="107"/>
  <c r="A20" i="107"/>
  <c r="A19" i="107"/>
  <c r="A18" i="107"/>
  <c r="A17" i="107"/>
  <c r="A16" i="107"/>
  <c r="A15" i="107"/>
  <c r="A14" i="107"/>
  <c r="A13" i="107"/>
  <c r="A12" i="107"/>
  <c r="A11" i="107"/>
  <c r="A10" i="107"/>
  <c r="A9" i="107"/>
  <c r="A5" i="107"/>
  <c r="A4" i="107"/>
  <c r="A3" i="107"/>
  <c r="A57" i="94"/>
  <c r="A56" i="94"/>
  <c r="A55" i="94"/>
  <c r="A54" i="94"/>
  <c r="A53" i="94"/>
  <c r="A52" i="94"/>
  <c r="A51" i="94"/>
  <c r="A50" i="94"/>
  <c r="A46" i="94"/>
  <c r="A45" i="94"/>
  <c r="A44" i="94"/>
  <c r="A43" i="94"/>
  <c r="A42" i="94"/>
  <c r="A41" i="94"/>
  <c r="A40" i="94"/>
  <c r="A39" i="94"/>
  <c r="A38" i="94"/>
  <c r="A37" i="94"/>
  <c r="A36" i="94"/>
  <c r="A35" i="94"/>
  <c r="A34" i="94"/>
  <c r="A33" i="94"/>
  <c r="A32" i="94"/>
  <c r="A31" i="94"/>
  <c r="A30" i="94"/>
  <c r="A29" i="94"/>
  <c r="A28" i="94"/>
  <c r="A27" i="94"/>
  <c r="A23" i="94"/>
  <c r="A22" i="94"/>
  <c r="A21" i="94"/>
  <c r="A20" i="94"/>
  <c r="A19" i="94"/>
  <c r="A18" i="94"/>
  <c r="A17" i="94"/>
  <c r="A16" i="94"/>
  <c r="A15" i="94"/>
  <c r="A14" i="94"/>
  <c r="A13" i="94"/>
  <c r="A12" i="94"/>
  <c r="A11" i="94"/>
  <c r="A10" i="94"/>
  <c r="A9" i="94"/>
  <c r="A5" i="94"/>
  <c r="A4" i="94"/>
  <c r="A3" i="94"/>
  <c r="A57" i="119"/>
  <c r="A56" i="119"/>
  <c r="A55" i="119"/>
  <c r="A54" i="119"/>
  <c r="A53" i="119"/>
  <c r="A52" i="119"/>
  <c r="A51" i="119"/>
  <c r="A50" i="119"/>
  <c r="A46" i="119"/>
  <c r="A45" i="119"/>
  <c r="A44" i="119"/>
  <c r="A43" i="119"/>
  <c r="A42" i="119"/>
  <c r="A41" i="119"/>
  <c r="A40" i="119"/>
  <c r="A39" i="119"/>
  <c r="A38" i="119"/>
  <c r="A37" i="119"/>
  <c r="A36" i="119"/>
  <c r="A35" i="119"/>
  <c r="A34" i="119"/>
  <c r="A33" i="119"/>
  <c r="A32" i="119"/>
  <c r="A31" i="119"/>
  <c r="A30" i="119"/>
  <c r="A29" i="119"/>
  <c r="A28" i="119"/>
  <c r="A27" i="119"/>
  <c r="A23" i="119"/>
  <c r="A22" i="119"/>
  <c r="A21" i="119"/>
  <c r="A20" i="119"/>
  <c r="A19" i="119"/>
  <c r="A18" i="119"/>
  <c r="A17" i="119"/>
  <c r="A16" i="119"/>
  <c r="A15" i="119"/>
  <c r="A14" i="119"/>
  <c r="A13" i="119"/>
  <c r="A12" i="119"/>
  <c r="A11" i="119"/>
  <c r="A10" i="119"/>
  <c r="A9" i="119"/>
  <c r="A5" i="119"/>
  <c r="A4" i="119"/>
  <c r="A3" i="119"/>
  <c r="A98" i="91"/>
  <c r="A68" i="91"/>
  <c r="A57" i="91"/>
  <c r="A56" i="91"/>
  <c r="A55" i="91"/>
  <c r="A54" i="91"/>
  <c r="A53" i="91"/>
  <c r="A52" i="91"/>
  <c r="A51" i="91"/>
  <c r="A50" i="91"/>
  <c r="A46" i="91"/>
  <c r="A45" i="91"/>
  <c r="A44" i="91"/>
  <c r="A43" i="91"/>
  <c r="A42" i="91"/>
  <c r="A41" i="91"/>
  <c r="A40" i="91"/>
  <c r="A39" i="91"/>
  <c r="A38" i="91"/>
  <c r="A37" i="91"/>
  <c r="A36" i="91"/>
  <c r="A35" i="91"/>
  <c r="A34" i="91"/>
  <c r="A33" i="91"/>
  <c r="A32" i="91"/>
  <c r="A31" i="91"/>
  <c r="A30" i="91"/>
  <c r="A29" i="91"/>
  <c r="A28" i="91"/>
  <c r="A27" i="91"/>
  <c r="A23" i="91"/>
  <c r="A22" i="91"/>
  <c r="A21" i="91"/>
  <c r="A20" i="91"/>
  <c r="A19" i="91"/>
  <c r="A18" i="91"/>
  <c r="A17" i="91"/>
  <c r="A16" i="91"/>
  <c r="A15" i="91"/>
  <c r="A14" i="91"/>
  <c r="A13" i="91"/>
  <c r="A12" i="91"/>
  <c r="A11" i="91"/>
  <c r="A10" i="91"/>
  <c r="A9" i="91"/>
  <c r="A5" i="91"/>
  <c r="A4" i="91"/>
  <c r="A3" i="91"/>
  <c r="A68" i="117"/>
  <c r="A57" i="117"/>
  <c r="A56" i="117"/>
  <c r="A55" i="117"/>
  <c r="A54" i="117"/>
  <c r="A53" i="117"/>
  <c r="A52" i="117"/>
  <c r="A51" i="117"/>
  <c r="A50" i="117"/>
  <c r="A46" i="117"/>
  <c r="A45" i="117"/>
  <c r="A44" i="117"/>
  <c r="A43" i="117"/>
  <c r="A42" i="117"/>
  <c r="A41" i="117"/>
  <c r="A40" i="117"/>
  <c r="A39" i="117"/>
  <c r="A38" i="117"/>
  <c r="A37" i="117"/>
  <c r="A36" i="117"/>
  <c r="A35" i="117"/>
  <c r="A34" i="117"/>
  <c r="A33" i="117"/>
  <c r="A32" i="117"/>
  <c r="A31" i="117"/>
  <c r="A30" i="117"/>
  <c r="A29" i="117"/>
  <c r="A28" i="117"/>
  <c r="A27" i="117"/>
  <c r="A23" i="117"/>
  <c r="A22" i="117"/>
  <c r="A21" i="117"/>
  <c r="A20" i="117"/>
  <c r="A19" i="117"/>
  <c r="A18" i="117"/>
  <c r="A17" i="117"/>
  <c r="A16" i="117"/>
  <c r="A15" i="117"/>
  <c r="A14" i="117"/>
  <c r="A13" i="117"/>
  <c r="A12" i="117"/>
  <c r="A11" i="117"/>
  <c r="A10" i="117"/>
  <c r="A9" i="117"/>
  <c r="A5" i="117"/>
  <c r="A4" i="117"/>
  <c r="A3" i="117"/>
  <c r="A638" i="116"/>
  <c r="A608" i="116"/>
  <c r="A578" i="116"/>
  <c r="A548" i="116"/>
  <c r="A518" i="116"/>
  <c r="A488" i="116"/>
  <c r="A458" i="116"/>
  <c r="A428" i="116"/>
  <c r="A398" i="116"/>
  <c r="A368" i="116"/>
  <c r="A338" i="116"/>
  <c r="A308" i="116"/>
  <c r="A278" i="116"/>
  <c r="A248" i="116"/>
  <c r="A218" i="116"/>
  <c r="A188" i="116"/>
  <c r="A158" i="116"/>
  <c r="A128" i="116"/>
  <c r="A98" i="116"/>
  <c r="A68" i="116"/>
  <c r="A57" i="116"/>
  <c r="A56" i="116"/>
  <c r="A55" i="116"/>
  <c r="A54" i="116"/>
  <c r="A53" i="116"/>
  <c r="A52" i="116"/>
  <c r="A51" i="116"/>
  <c r="A50" i="116"/>
  <c r="A46" i="116"/>
  <c r="A45" i="116"/>
  <c r="A44" i="116"/>
  <c r="A43" i="116"/>
  <c r="A42" i="116"/>
  <c r="A41" i="116"/>
  <c r="A40" i="116"/>
  <c r="A39" i="116"/>
  <c r="A38" i="116"/>
  <c r="A37" i="116"/>
  <c r="A36" i="116"/>
  <c r="A35" i="116"/>
  <c r="A34" i="116"/>
  <c r="A33" i="116"/>
  <c r="A32" i="116"/>
  <c r="A31" i="116"/>
  <c r="A30" i="116"/>
  <c r="A29" i="116"/>
  <c r="A28" i="116"/>
  <c r="A27" i="116"/>
  <c r="A23" i="116"/>
  <c r="A22" i="116"/>
  <c r="A21" i="116"/>
  <c r="A20" i="116"/>
  <c r="A19" i="116"/>
  <c r="A18" i="116"/>
  <c r="A17" i="116"/>
  <c r="A16" i="116"/>
  <c r="A15" i="116"/>
  <c r="A14" i="116"/>
  <c r="A13" i="116"/>
  <c r="A12" i="116"/>
  <c r="A11" i="116"/>
  <c r="A10" i="116"/>
  <c r="A9" i="116"/>
  <c r="A5" i="116"/>
  <c r="A4" i="116"/>
  <c r="A3" i="116"/>
  <c r="A57" i="93"/>
  <c r="A56" i="93"/>
  <c r="A55" i="93"/>
  <c r="A54" i="93"/>
  <c r="A53" i="93"/>
  <c r="A52" i="93"/>
  <c r="A51" i="93"/>
  <c r="A50" i="93"/>
  <c r="A46" i="93"/>
  <c r="A45" i="93"/>
  <c r="A44" i="93"/>
  <c r="A43" i="93"/>
  <c r="A42" i="93"/>
  <c r="A41" i="93"/>
  <c r="A40" i="93"/>
  <c r="A39" i="93"/>
  <c r="A38" i="93"/>
  <c r="A37" i="93"/>
  <c r="A36" i="93"/>
  <c r="A35" i="93"/>
  <c r="A34" i="93"/>
  <c r="A33" i="93"/>
  <c r="A32" i="93"/>
  <c r="A31" i="93"/>
  <c r="A30" i="93"/>
  <c r="A29" i="93"/>
  <c r="A28" i="93"/>
  <c r="A27" i="93"/>
  <c r="A23" i="93"/>
  <c r="A22" i="93"/>
  <c r="A21" i="93"/>
  <c r="A20" i="93"/>
  <c r="A19" i="93"/>
  <c r="A18" i="93"/>
  <c r="A17" i="93"/>
  <c r="A16" i="93"/>
  <c r="A15" i="93"/>
  <c r="A14" i="93"/>
  <c r="A13" i="93"/>
  <c r="A12" i="93"/>
  <c r="A11" i="93"/>
  <c r="A10" i="93"/>
  <c r="A9" i="93"/>
  <c r="A5" i="93"/>
  <c r="A4" i="93"/>
  <c r="A3" i="93"/>
  <c r="A188" i="109"/>
  <c r="A158" i="109"/>
  <c r="A128" i="109"/>
  <c r="A98" i="109"/>
  <c r="A68" i="109"/>
  <c r="A57" i="109"/>
  <c r="A56" i="109"/>
  <c r="A55" i="109"/>
  <c r="A54" i="109"/>
  <c r="A53" i="109"/>
  <c r="A52" i="109"/>
  <c r="A51" i="109"/>
  <c r="A50" i="109"/>
  <c r="A46" i="109"/>
  <c r="A45" i="109"/>
  <c r="A44" i="109"/>
  <c r="A43" i="109"/>
  <c r="A42" i="109"/>
  <c r="A41" i="109"/>
  <c r="A40" i="109"/>
  <c r="A39" i="109"/>
  <c r="A38" i="109"/>
  <c r="A37" i="109"/>
  <c r="A36" i="109"/>
  <c r="A35" i="109"/>
  <c r="A34" i="109"/>
  <c r="A33" i="109"/>
  <c r="A32" i="109"/>
  <c r="A31" i="109"/>
  <c r="A30" i="109"/>
  <c r="A29" i="109"/>
  <c r="A28" i="109"/>
  <c r="A27" i="109"/>
  <c r="A23" i="109"/>
  <c r="A22" i="109"/>
  <c r="A21" i="109"/>
  <c r="A20" i="109"/>
  <c r="A19" i="109"/>
  <c r="A18" i="109"/>
  <c r="A17" i="109"/>
  <c r="A16" i="109"/>
  <c r="A15" i="109"/>
  <c r="A14" i="109"/>
  <c r="A13" i="109"/>
  <c r="A12" i="109"/>
  <c r="A11" i="109"/>
  <c r="A10" i="109"/>
  <c r="A9" i="109"/>
  <c r="A5" i="109"/>
  <c r="A4" i="109"/>
  <c r="A3" i="109"/>
  <c r="A57" i="97"/>
  <c r="A56" i="97"/>
  <c r="A55" i="97"/>
  <c r="A54" i="97"/>
  <c r="A53" i="97"/>
  <c r="A52" i="97"/>
  <c r="A51" i="97"/>
  <c r="A50" i="97"/>
  <c r="A46" i="97"/>
  <c r="A45" i="97"/>
  <c r="A44" i="97"/>
  <c r="A43" i="97"/>
  <c r="A42" i="97"/>
  <c r="A41" i="97"/>
  <c r="A40" i="97"/>
  <c r="A39" i="97"/>
  <c r="A38" i="97"/>
  <c r="A37" i="97"/>
  <c r="A36" i="97"/>
  <c r="A35" i="97"/>
  <c r="A34" i="97"/>
  <c r="A33" i="97"/>
  <c r="A32" i="97"/>
  <c r="A31" i="97"/>
  <c r="A30" i="97"/>
  <c r="A29" i="97"/>
  <c r="A28" i="97"/>
  <c r="A27" i="97"/>
  <c r="A23" i="97"/>
  <c r="A22" i="97"/>
  <c r="A21" i="97"/>
  <c r="A20" i="97"/>
  <c r="A19" i="97"/>
  <c r="A18" i="97"/>
  <c r="A17" i="97"/>
  <c r="A16" i="97"/>
  <c r="A15" i="97"/>
  <c r="A14" i="97"/>
  <c r="A13" i="97"/>
  <c r="A12" i="97"/>
  <c r="A11" i="97"/>
  <c r="A10" i="97"/>
  <c r="A9" i="97"/>
  <c r="A5" i="97"/>
  <c r="A4" i="97"/>
  <c r="A3" i="97"/>
  <c r="A68" i="96"/>
  <c r="A57" i="96"/>
  <c r="A56" i="96"/>
  <c r="A55" i="96"/>
  <c r="A54" i="96"/>
  <c r="A53" i="96"/>
  <c r="A52" i="96"/>
  <c r="A51" i="96"/>
  <c r="A50" i="96"/>
  <c r="A46" i="96"/>
  <c r="A45" i="96"/>
  <c r="A44" i="96"/>
  <c r="A43" i="96"/>
  <c r="A42" i="96"/>
  <c r="A41" i="96"/>
  <c r="A40" i="96"/>
  <c r="A39" i="96"/>
  <c r="A38" i="96"/>
  <c r="A37" i="96"/>
  <c r="A36" i="96"/>
  <c r="A35" i="96"/>
  <c r="A34" i="96"/>
  <c r="A33" i="96"/>
  <c r="A32" i="96"/>
  <c r="A31" i="96"/>
  <c r="A30" i="96"/>
  <c r="A29" i="96"/>
  <c r="A28" i="96"/>
  <c r="A27" i="96"/>
  <c r="A23" i="96"/>
  <c r="A22" i="96"/>
  <c r="A21" i="96"/>
  <c r="A20" i="96"/>
  <c r="A19" i="96"/>
  <c r="A18" i="96"/>
  <c r="A17" i="96"/>
  <c r="A16" i="96"/>
  <c r="A15" i="96"/>
  <c r="A14" i="96"/>
  <c r="A13" i="96"/>
  <c r="A12" i="96"/>
  <c r="A11" i="96"/>
  <c r="A10" i="96"/>
  <c r="A9" i="96"/>
  <c r="A5" i="96"/>
  <c r="A4" i="96"/>
  <c r="A3" i="96"/>
  <c r="A57" i="90"/>
  <c r="A56" i="90"/>
  <c r="A55" i="90"/>
  <c r="A54" i="90"/>
  <c r="A53" i="90"/>
  <c r="A52" i="90"/>
  <c r="A51" i="90"/>
  <c r="A50" i="90"/>
  <c r="A46" i="90"/>
  <c r="A45" i="90"/>
  <c r="A44" i="90"/>
  <c r="A43" i="90"/>
  <c r="A42" i="90"/>
  <c r="A41" i="90"/>
  <c r="A40" i="90"/>
  <c r="A39" i="90"/>
  <c r="A38" i="90"/>
  <c r="A37" i="90"/>
  <c r="A36" i="90"/>
  <c r="A35" i="90"/>
  <c r="A34" i="90"/>
  <c r="A33" i="90"/>
  <c r="A32" i="90"/>
  <c r="A31" i="90"/>
  <c r="A30" i="90"/>
  <c r="A29" i="90"/>
  <c r="A28" i="90"/>
  <c r="A27" i="90"/>
  <c r="A23" i="90"/>
  <c r="A22" i="90"/>
  <c r="A21" i="90"/>
  <c r="A20" i="90"/>
  <c r="A19" i="90"/>
  <c r="A18" i="90"/>
  <c r="A17" i="90"/>
  <c r="A16" i="90"/>
  <c r="A15" i="90"/>
  <c r="A14" i="90"/>
  <c r="A13" i="90"/>
  <c r="A12" i="90"/>
  <c r="A11" i="90"/>
  <c r="A10" i="90"/>
  <c r="A9" i="90"/>
  <c r="A5" i="90"/>
  <c r="A4" i="90"/>
  <c r="A3" i="90"/>
  <c r="A57" i="89"/>
  <c r="A56" i="89"/>
  <c r="A55" i="89"/>
  <c r="A54" i="89"/>
  <c r="A53" i="89"/>
  <c r="A52" i="89"/>
  <c r="A51" i="89"/>
  <c r="A50" i="89"/>
  <c r="A46" i="89"/>
  <c r="A45" i="89"/>
  <c r="A44" i="89"/>
  <c r="A43" i="89"/>
  <c r="A42" i="89"/>
  <c r="A41" i="89"/>
  <c r="A40" i="89"/>
  <c r="A39" i="89"/>
  <c r="A38" i="89"/>
  <c r="A37" i="89"/>
  <c r="A36" i="89"/>
  <c r="A35" i="89"/>
  <c r="A34" i="89"/>
  <c r="A33" i="89"/>
  <c r="A32" i="89"/>
  <c r="A31" i="89"/>
  <c r="A30" i="89"/>
  <c r="A29" i="89"/>
  <c r="A28" i="89"/>
  <c r="A27" i="89"/>
  <c r="A23" i="89"/>
  <c r="A22" i="89"/>
  <c r="A21" i="89"/>
  <c r="A20" i="89"/>
  <c r="A19" i="89"/>
  <c r="A18" i="89"/>
  <c r="A17" i="89"/>
  <c r="A16" i="89"/>
  <c r="A15" i="89"/>
  <c r="A14" i="89"/>
  <c r="A13" i="89"/>
  <c r="A12" i="89"/>
  <c r="A11" i="89"/>
  <c r="A10" i="89"/>
  <c r="A9" i="89"/>
  <c r="A5" i="89"/>
  <c r="A4" i="89"/>
  <c r="A3" i="89"/>
  <c r="A57" i="88"/>
  <c r="A56" i="88"/>
  <c r="A55" i="88"/>
  <c r="A54" i="88"/>
  <c r="A53" i="88"/>
  <c r="A52" i="88"/>
  <c r="A51" i="88"/>
  <c r="A50" i="88"/>
  <c r="A46" i="88"/>
  <c r="A45" i="88"/>
  <c r="A44" i="88"/>
  <c r="A43" i="88"/>
  <c r="A42" i="88"/>
  <c r="A41" i="88"/>
  <c r="A40" i="88"/>
  <c r="A39" i="88"/>
  <c r="A38" i="88"/>
  <c r="A37" i="88"/>
  <c r="A36" i="88"/>
  <c r="A35" i="88"/>
  <c r="A34" i="88"/>
  <c r="A33" i="88"/>
  <c r="A32" i="88"/>
  <c r="A31" i="88"/>
  <c r="A30" i="88"/>
  <c r="A29" i="88"/>
  <c r="A28" i="88"/>
  <c r="A27" i="88"/>
  <c r="A23" i="88"/>
  <c r="A22" i="88"/>
  <c r="A21" i="88"/>
  <c r="A20" i="88"/>
  <c r="A19" i="88"/>
  <c r="A18" i="88"/>
  <c r="A17" i="88"/>
  <c r="A16" i="88"/>
  <c r="A15" i="88"/>
  <c r="A14" i="88"/>
  <c r="A13" i="88"/>
  <c r="A12" i="88"/>
  <c r="A11" i="88"/>
  <c r="A10" i="88"/>
  <c r="A9" i="88"/>
  <c r="A5" i="88"/>
  <c r="A4" i="88"/>
  <c r="A3" i="88"/>
  <c r="A188" i="87"/>
  <c r="A158" i="87"/>
  <c r="A128" i="87"/>
  <c r="A98" i="87"/>
  <c r="A68" i="87"/>
  <c r="A57" i="87"/>
  <c r="A56" i="87"/>
  <c r="A55" i="87"/>
  <c r="A54" i="87"/>
  <c r="A53" i="87"/>
  <c r="A52" i="87"/>
  <c r="A51" i="87"/>
  <c r="A50" i="87"/>
  <c r="A46" i="87"/>
  <c r="A45" i="87"/>
  <c r="A44" i="87"/>
  <c r="A43" i="87"/>
  <c r="A42" i="87"/>
  <c r="A41" i="87"/>
  <c r="A40" i="87"/>
  <c r="A39" i="87"/>
  <c r="A38" i="87"/>
  <c r="A37" i="87"/>
  <c r="A36" i="87"/>
  <c r="A35" i="87"/>
  <c r="A34" i="87"/>
  <c r="A33" i="87"/>
  <c r="A32" i="87"/>
  <c r="A31" i="87"/>
  <c r="A30" i="87"/>
  <c r="A29" i="87"/>
  <c r="A28" i="87"/>
  <c r="A27" i="87"/>
  <c r="A23" i="87"/>
  <c r="A22" i="87"/>
  <c r="A21" i="87"/>
  <c r="A20" i="87"/>
  <c r="A19" i="87"/>
  <c r="A18" i="87"/>
  <c r="A17" i="87"/>
  <c r="A16" i="87"/>
  <c r="A15" i="87"/>
  <c r="A14" i="87"/>
  <c r="A13" i="87"/>
  <c r="A12" i="87"/>
  <c r="A11" i="87"/>
  <c r="A10" i="87"/>
  <c r="A9" i="87"/>
  <c r="A5" i="87"/>
  <c r="A4" i="87"/>
  <c r="A3" i="87"/>
  <c r="A57" i="86"/>
  <c r="A56" i="86"/>
  <c r="A55" i="86"/>
  <c r="A54" i="86"/>
  <c r="A53" i="86"/>
  <c r="A52" i="86"/>
  <c r="A51" i="86"/>
  <c r="A50" i="86"/>
  <c r="A46" i="86"/>
  <c r="A45" i="86"/>
  <c r="A44" i="86"/>
  <c r="A43" i="86"/>
  <c r="A42" i="86"/>
  <c r="A41" i="86"/>
  <c r="A40" i="86"/>
  <c r="A39" i="86"/>
  <c r="A38" i="86"/>
  <c r="A37" i="86"/>
  <c r="A36" i="86"/>
  <c r="A35" i="86"/>
  <c r="A34" i="86"/>
  <c r="A33" i="86"/>
  <c r="A32" i="86"/>
  <c r="A31" i="86"/>
  <c r="A30" i="86"/>
  <c r="A29" i="86"/>
  <c r="A28" i="86"/>
  <c r="A27" i="86"/>
  <c r="A23" i="86"/>
  <c r="A22" i="86"/>
  <c r="A21" i="86"/>
  <c r="A20" i="86"/>
  <c r="A19" i="86"/>
  <c r="A18" i="86"/>
  <c r="A17" i="86"/>
  <c r="A16" i="86"/>
  <c r="A15" i="86"/>
  <c r="A14" i="86"/>
  <c r="A13" i="86"/>
  <c r="A12" i="86"/>
  <c r="A11" i="86"/>
  <c r="A10" i="86"/>
  <c r="A9" i="86"/>
  <c r="A5" i="86"/>
  <c r="A4" i="86"/>
  <c r="A3" i="86"/>
  <c r="A98" i="85"/>
  <c r="A68" i="85"/>
  <c r="A57" i="85"/>
  <c r="A56" i="85"/>
  <c r="A55" i="85"/>
  <c r="A54" i="85"/>
  <c r="A53" i="85"/>
  <c r="A52" i="85"/>
  <c r="A51" i="85"/>
  <c r="A50" i="85"/>
  <c r="A46" i="85"/>
  <c r="A45" i="85"/>
  <c r="A44" i="85"/>
  <c r="A43" i="85"/>
  <c r="A42" i="85"/>
  <c r="A41" i="85"/>
  <c r="A40" i="85"/>
  <c r="A39" i="85"/>
  <c r="A38" i="85"/>
  <c r="A37" i="85"/>
  <c r="A36" i="85"/>
  <c r="A35" i="85"/>
  <c r="A34" i="85"/>
  <c r="A33" i="85"/>
  <c r="A32" i="85"/>
  <c r="A31" i="85"/>
  <c r="A30" i="85"/>
  <c r="A29" i="85"/>
  <c r="A28" i="85"/>
  <c r="A27" i="85"/>
  <c r="A23" i="85"/>
  <c r="A22" i="85"/>
  <c r="A21" i="85"/>
  <c r="A20" i="85"/>
  <c r="A19" i="85"/>
  <c r="A18" i="85"/>
  <c r="A17" i="85"/>
  <c r="A16" i="85"/>
  <c r="A15" i="85"/>
  <c r="A14" i="85"/>
  <c r="A13" i="85"/>
  <c r="A12" i="85"/>
  <c r="A11" i="85"/>
  <c r="A10" i="85"/>
  <c r="A9" i="85"/>
  <c r="A5" i="85"/>
  <c r="A4" i="85"/>
  <c r="A3" i="85"/>
  <c r="A248" i="84"/>
  <c r="A218" i="84"/>
  <c r="A188" i="84"/>
  <c r="A158" i="84"/>
  <c r="A128" i="84"/>
  <c r="A98" i="84"/>
  <c r="A68" i="84"/>
  <c r="A57" i="84"/>
  <c r="A56" i="84"/>
  <c r="A55" i="84"/>
  <c r="A54" i="84"/>
  <c r="A53" i="84"/>
  <c r="A52" i="84"/>
  <c r="A51" i="84"/>
  <c r="A50" i="84"/>
  <c r="A46" i="84"/>
  <c r="A45" i="84"/>
  <c r="A44" i="84"/>
  <c r="A43" i="84"/>
  <c r="A42" i="84"/>
  <c r="A41" i="84"/>
  <c r="A40" i="84"/>
  <c r="A39" i="84"/>
  <c r="A38" i="84"/>
  <c r="A37" i="84"/>
  <c r="A36" i="84"/>
  <c r="A35" i="84"/>
  <c r="A34" i="84"/>
  <c r="A33" i="84"/>
  <c r="A32" i="84"/>
  <c r="A31" i="84"/>
  <c r="A30" i="84"/>
  <c r="A29" i="84"/>
  <c r="A28" i="84"/>
  <c r="A27" i="84"/>
  <c r="A23" i="84"/>
  <c r="A22" i="84"/>
  <c r="A21" i="84"/>
  <c r="A20" i="84"/>
  <c r="A19" i="84"/>
  <c r="A18" i="84"/>
  <c r="A17" i="84"/>
  <c r="A16" i="84"/>
  <c r="A15" i="84"/>
  <c r="A14" i="84"/>
  <c r="A13" i="84"/>
  <c r="A12" i="84"/>
  <c r="A11" i="84"/>
  <c r="A10" i="84"/>
  <c r="A9" i="84"/>
  <c r="A5" i="84"/>
  <c r="A4" i="84"/>
  <c r="A3" i="84"/>
  <c r="A218" i="83"/>
  <c r="A188" i="83"/>
  <c r="A158" i="83"/>
  <c r="A128" i="83"/>
  <c r="A98" i="83"/>
  <c r="A68" i="83"/>
  <c r="A57" i="83"/>
  <c r="A56" i="83"/>
  <c r="A55" i="83"/>
  <c r="A54" i="83"/>
  <c r="A53" i="83"/>
  <c r="A52" i="83"/>
  <c r="A51" i="83"/>
  <c r="A50" i="83"/>
  <c r="A46" i="83"/>
  <c r="A45" i="83"/>
  <c r="A44" i="83"/>
  <c r="A43" i="83"/>
  <c r="A42" i="83"/>
  <c r="A41" i="83"/>
  <c r="A40" i="83"/>
  <c r="A39" i="83"/>
  <c r="A38" i="83"/>
  <c r="A37" i="83"/>
  <c r="A36" i="83"/>
  <c r="A35" i="83"/>
  <c r="A34" i="83"/>
  <c r="A33" i="83"/>
  <c r="A32" i="83"/>
  <c r="A31" i="83"/>
  <c r="A30" i="83"/>
  <c r="A29" i="83"/>
  <c r="A28" i="83"/>
  <c r="A27" i="83"/>
  <c r="A23" i="83"/>
  <c r="A22" i="83"/>
  <c r="A21" i="83"/>
  <c r="A20" i="83"/>
  <c r="A19" i="83"/>
  <c r="A18" i="83"/>
  <c r="A17" i="83"/>
  <c r="A16" i="83"/>
  <c r="A15" i="83"/>
  <c r="A14" i="83"/>
  <c r="A13" i="83"/>
  <c r="A12" i="83"/>
  <c r="A11" i="83"/>
  <c r="A10" i="83"/>
  <c r="A9" i="83"/>
  <c r="A5" i="83"/>
  <c r="A4" i="83"/>
  <c r="A3" i="83"/>
  <c r="A57" i="78"/>
  <c r="A56" i="78"/>
  <c r="A55" i="78"/>
  <c r="A54" i="78"/>
  <c r="A53" i="78"/>
  <c r="A52" i="78"/>
  <c r="A51" i="78"/>
  <c r="A50" i="78"/>
  <c r="A46" i="78"/>
  <c r="A45" i="78"/>
  <c r="A44" i="78"/>
  <c r="A43" i="78"/>
  <c r="A42" i="78"/>
  <c r="A41" i="78"/>
  <c r="A40" i="78"/>
  <c r="A39" i="78"/>
  <c r="A38" i="78"/>
  <c r="A37" i="78"/>
  <c r="A36" i="78"/>
  <c r="A35" i="78"/>
  <c r="A34" i="78"/>
  <c r="A33" i="78"/>
  <c r="A32" i="78"/>
  <c r="A31" i="78"/>
  <c r="A30" i="78"/>
  <c r="A29" i="78"/>
  <c r="A28" i="78"/>
  <c r="A27" i="78"/>
  <c r="A23" i="78"/>
  <c r="A22" i="78"/>
  <c r="A21" i="78"/>
  <c r="A20" i="78"/>
  <c r="A19" i="78"/>
  <c r="A18" i="78"/>
  <c r="A17" i="78"/>
  <c r="A16" i="78"/>
  <c r="A15" i="78"/>
  <c r="A14" i="78"/>
  <c r="A13" i="78"/>
  <c r="A12" i="78"/>
  <c r="A11" i="78"/>
  <c r="A10" i="78"/>
  <c r="A9" i="78"/>
  <c r="A5" i="78"/>
  <c r="A4" i="78"/>
  <c r="A3" i="78"/>
  <c r="A57" i="115"/>
  <c r="A56" i="115"/>
  <c r="A55" i="115"/>
  <c r="A54" i="115"/>
  <c r="A53" i="115"/>
  <c r="A52" i="115"/>
  <c r="A51" i="115"/>
  <c r="A50" i="115"/>
  <c r="A46" i="115"/>
  <c r="A45" i="115"/>
  <c r="A44" i="115"/>
  <c r="A43" i="115"/>
  <c r="A42" i="115"/>
  <c r="A41" i="115"/>
  <c r="A40" i="115"/>
  <c r="A39" i="115"/>
  <c r="A38" i="115"/>
  <c r="A37" i="115"/>
  <c r="A36" i="115"/>
  <c r="A35" i="115"/>
  <c r="A34" i="115"/>
  <c r="A33" i="115"/>
  <c r="A32" i="115"/>
  <c r="A31" i="115"/>
  <c r="A30" i="115"/>
  <c r="A29" i="115"/>
  <c r="A28" i="115"/>
  <c r="A27" i="115"/>
  <c r="A23" i="115"/>
  <c r="A22" i="115"/>
  <c r="A21" i="115"/>
  <c r="A20" i="115"/>
  <c r="A19" i="115"/>
  <c r="A18" i="115"/>
  <c r="A17" i="115"/>
  <c r="A16" i="115"/>
  <c r="A15" i="115"/>
  <c r="A14" i="115"/>
  <c r="A13" i="115"/>
  <c r="A12" i="115"/>
  <c r="A11" i="115"/>
  <c r="A10" i="115"/>
  <c r="A9" i="115"/>
  <c r="A5" i="115"/>
  <c r="A4" i="115"/>
  <c r="A3" i="115"/>
  <c r="A57" i="108"/>
  <c r="A56" i="108"/>
  <c r="A55" i="108"/>
  <c r="A54" i="108"/>
  <c r="A53" i="108"/>
  <c r="A52" i="108"/>
  <c r="A51" i="108"/>
  <c r="A50" i="108"/>
  <c r="A46" i="108"/>
  <c r="A45" i="108"/>
  <c r="A44" i="108"/>
  <c r="A43" i="108"/>
  <c r="A42" i="108"/>
  <c r="A41" i="108"/>
  <c r="A40" i="108"/>
  <c r="A39" i="108"/>
  <c r="A38" i="108"/>
  <c r="A37" i="108"/>
  <c r="A36" i="108"/>
  <c r="A35" i="108"/>
  <c r="A34" i="108"/>
  <c r="A33" i="108"/>
  <c r="A32" i="108"/>
  <c r="A31" i="108"/>
  <c r="A30" i="108"/>
  <c r="A29" i="108"/>
  <c r="A28" i="108"/>
  <c r="A27" i="108"/>
  <c r="A23" i="108"/>
  <c r="A22" i="108"/>
  <c r="A21" i="108"/>
  <c r="A20" i="108"/>
  <c r="A19" i="108"/>
  <c r="A18" i="108"/>
  <c r="A17" i="108"/>
  <c r="A16" i="108"/>
  <c r="A15" i="108"/>
  <c r="A14" i="108"/>
  <c r="A13" i="108"/>
  <c r="A12" i="108"/>
  <c r="A11" i="108"/>
  <c r="A10" i="108"/>
  <c r="A9" i="108"/>
  <c r="A5" i="108"/>
  <c r="A4" i="108"/>
  <c r="A3" i="108"/>
  <c r="A57" i="114"/>
  <c r="A56" i="114"/>
  <c r="A55" i="114"/>
  <c r="A54" i="114"/>
  <c r="A53" i="114"/>
  <c r="A52" i="114"/>
  <c r="A51" i="114"/>
  <c r="A50" i="114"/>
  <c r="A46" i="114"/>
  <c r="A45" i="114"/>
  <c r="A44" i="114"/>
  <c r="A43" i="114"/>
  <c r="A42" i="114"/>
  <c r="A41" i="114"/>
  <c r="A40" i="114"/>
  <c r="A39" i="114"/>
  <c r="A38" i="114"/>
  <c r="A37" i="114"/>
  <c r="A36" i="114"/>
  <c r="A35" i="114"/>
  <c r="A34" i="114"/>
  <c r="A33" i="114"/>
  <c r="A32" i="114"/>
  <c r="A31" i="114"/>
  <c r="A30" i="114"/>
  <c r="A29" i="114"/>
  <c r="A28" i="114"/>
  <c r="A27" i="114"/>
  <c r="A23" i="114"/>
  <c r="A22" i="114"/>
  <c r="A21" i="114"/>
  <c r="A20" i="114"/>
  <c r="A19" i="114"/>
  <c r="A18" i="114"/>
  <c r="A17" i="114"/>
  <c r="A16" i="114"/>
  <c r="A15" i="114"/>
  <c r="A14" i="114"/>
  <c r="A13" i="114"/>
  <c r="A12" i="114"/>
  <c r="A11" i="114"/>
  <c r="A10" i="114"/>
  <c r="A9" i="114"/>
  <c r="A5" i="114"/>
  <c r="A4" i="114"/>
  <c r="A3" i="114"/>
  <c r="A57" i="113"/>
  <c r="A56" i="113"/>
  <c r="A55" i="113"/>
  <c r="A54" i="113"/>
  <c r="A53" i="113"/>
  <c r="A52" i="113"/>
  <c r="A51" i="113"/>
  <c r="A50" i="113"/>
  <c r="A46" i="113"/>
  <c r="A45" i="113"/>
  <c r="A44" i="113"/>
  <c r="A43" i="113"/>
  <c r="A42" i="113"/>
  <c r="A41" i="113"/>
  <c r="A40" i="113"/>
  <c r="A39" i="113"/>
  <c r="A38" i="113"/>
  <c r="A37" i="113"/>
  <c r="A36" i="113"/>
  <c r="A35" i="113"/>
  <c r="A34" i="113"/>
  <c r="A33" i="113"/>
  <c r="A32" i="113"/>
  <c r="A31" i="113"/>
  <c r="A30" i="113"/>
  <c r="A29" i="113"/>
  <c r="A28" i="113"/>
  <c r="A27" i="113"/>
  <c r="A23" i="113"/>
  <c r="A22" i="113"/>
  <c r="A21" i="113"/>
  <c r="A20" i="113"/>
  <c r="A19" i="113"/>
  <c r="A18" i="113"/>
  <c r="A17" i="113"/>
  <c r="A16" i="113"/>
  <c r="A15" i="113"/>
  <c r="A14" i="113"/>
  <c r="A13" i="113"/>
  <c r="A12" i="113"/>
  <c r="A11" i="113"/>
  <c r="A10" i="113"/>
  <c r="A9" i="113"/>
  <c r="A5" i="113"/>
  <c r="A4" i="113"/>
  <c r="A3" i="113"/>
  <c r="A57" i="112"/>
  <c r="A56" i="112"/>
  <c r="A55" i="112"/>
  <c r="A54" i="112"/>
  <c r="A53" i="112"/>
  <c r="A52" i="112"/>
  <c r="A51" i="112"/>
  <c r="A50" i="112"/>
  <c r="A46" i="112"/>
  <c r="A45" i="112"/>
  <c r="A44" i="112"/>
  <c r="A43" i="112"/>
  <c r="A42" i="112"/>
  <c r="A41" i="112"/>
  <c r="A40" i="112"/>
  <c r="A39" i="112"/>
  <c r="A38" i="112"/>
  <c r="A37" i="112"/>
  <c r="A36" i="112"/>
  <c r="A35" i="112"/>
  <c r="A34" i="112"/>
  <c r="A33" i="112"/>
  <c r="A32" i="112"/>
  <c r="A31" i="112"/>
  <c r="A30" i="112"/>
  <c r="A29" i="112"/>
  <c r="A28" i="112"/>
  <c r="A27" i="112"/>
  <c r="A23" i="112"/>
  <c r="A22" i="112"/>
  <c r="A21" i="112"/>
  <c r="A20" i="112"/>
  <c r="A19" i="112"/>
  <c r="A18" i="112"/>
  <c r="A17" i="112"/>
  <c r="A16" i="112"/>
  <c r="A15" i="112"/>
  <c r="A14" i="112"/>
  <c r="A13" i="112"/>
  <c r="A12" i="112"/>
  <c r="A11" i="112"/>
  <c r="A10" i="112"/>
  <c r="A9" i="112"/>
  <c r="A5" i="112"/>
  <c r="A4" i="112"/>
  <c r="A3" i="112"/>
  <c r="A57" i="92"/>
  <c r="A56" i="92"/>
  <c r="A55" i="92"/>
  <c r="A54" i="92"/>
  <c r="A53" i="92"/>
  <c r="A52" i="92"/>
  <c r="A51" i="92"/>
  <c r="A50" i="92"/>
  <c r="A46" i="92"/>
  <c r="A45" i="92"/>
  <c r="A44" i="92"/>
  <c r="A43" i="92"/>
  <c r="A42" i="92"/>
  <c r="A41" i="92"/>
  <c r="A40" i="92"/>
  <c r="A39" i="92"/>
  <c r="A38" i="92"/>
  <c r="A37" i="92"/>
  <c r="A36" i="92"/>
  <c r="A35" i="92"/>
  <c r="A34" i="92"/>
  <c r="A33" i="92"/>
  <c r="A32" i="92"/>
  <c r="A31" i="92"/>
  <c r="A30" i="92"/>
  <c r="A29" i="92"/>
  <c r="A28" i="92"/>
  <c r="A27" i="92"/>
  <c r="A23" i="92"/>
  <c r="A22" i="92"/>
  <c r="A21" i="92"/>
  <c r="A20" i="92"/>
  <c r="A19" i="92"/>
  <c r="A18" i="92"/>
  <c r="A17" i="92"/>
  <c r="A16" i="92"/>
  <c r="A15" i="92"/>
  <c r="A14" i="92"/>
  <c r="A13" i="92"/>
  <c r="A12" i="92"/>
  <c r="A11" i="92"/>
  <c r="A10" i="92"/>
  <c r="A9" i="92"/>
  <c r="A5" i="92"/>
  <c r="A4" i="92"/>
  <c r="A3" i="92"/>
  <c r="A57" i="95"/>
  <c r="A56" i="95"/>
  <c r="A55" i="95"/>
  <c r="A54" i="95"/>
  <c r="A53" i="95"/>
  <c r="A52" i="95"/>
  <c r="A51" i="95"/>
  <c r="A50" i="95"/>
  <c r="A46" i="95"/>
  <c r="A45" i="95"/>
  <c r="A44" i="95"/>
  <c r="A43" i="95"/>
  <c r="A42" i="95"/>
  <c r="A41" i="95"/>
  <c r="A40" i="95"/>
  <c r="A39" i="95"/>
  <c r="A38" i="95"/>
  <c r="A37" i="95"/>
  <c r="A36" i="95"/>
  <c r="A35" i="95"/>
  <c r="A34" i="95"/>
  <c r="A33" i="95"/>
  <c r="A32" i="95"/>
  <c r="A31" i="95"/>
  <c r="A30" i="95"/>
  <c r="A29" i="95"/>
  <c r="A28" i="95"/>
  <c r="A27" i="95"/>
  <c r="A23" i="95"/>
  <c r="A22" i="95"/>
  <c r="A21" i="95"/>
  <c r="A20" i="95"/>
  <c r="A19" i="95"/>
  <c r="A18" i="95"/>
  <c r="A17" i="95"/>
  <c r="A16" i="95"/>
  <c r="A15" i="95"/>
  <c r="A14" i="95"/>
  <c r="A13" i="95"/>
  <c r="A12" i="95"/>
  <c r="A11" i="95"/>
  <c r="A10" i="95"/>
  <c r="A9" i="95"/>
  <c r="A5" i="95"/>
  <c r="A4" i="95"/>
  <c r="A3" i="95"/>
  <c r="A57" i="111"/>
  <c r="A56" i="111"/>
  <c r="A55" i="111"/>
  <c r="A54" i="111"/>
  <c r="A53" i="111"/>
  <c r="A52" i="111"/>
  <c r="A51" i="111"/>
  <c r="A50" i="111"/>
  <c r="A46" i="111"/>
  <c r="A45" i="111"/>
  <c r="A44" i="111"/>
  <c r="A43" i="111"/>
  <c r="A42" i="111"/>
  <c r="A41" i="111"/>
  <c r="A40" i="111"/>
  <c r="A39" i="111"/>
  <c r="A38" i="111"/>
  <c r="A37" i="111"/>
  <c r="A36" i="111"/>
  <c r="A35" i="111"/>
  <c r="A34" i="111"/>
  <c r="A33" i="111"/>
  <c r="A32" i="111"/>
  <c r="A31" i="111"/>
  <c r="A30" i="111"/>
  <c r="A29" i="111"/>
  <c r="A28" i="111"/>
  <c r="A27" i="111"/>
  <c r="A23" i="111"/>
  <c r="A22" i="111"/>
  <c r="A21" i="111"/>
  <c r="A20" i="111"/>
  <c r="A19" i="111"/>
  <c r="A18" i="111"/>
  <c r="A17" i="111"/>
  <c r="A16" i="111"/>
  <c r="A15" i="111"/>
  <c r="A14" i="111"/>
  <c r="A13" i="111"/>
  <c r="A12" i="111"/>
  <c r="A11" i="111"/>
  <c r="A10" i="111"/>
  <c r="A9" i="111"/>
  <c r="A5" i="111"/>
  <c r="A4" i="111"/>
  <c r="A3" i="111"/>
  <c r="A57" i="81"/>
  <c r="A56" i="81"/>
  <c r="A55" i="81"/>
  <c r="A54" i="81"/>
  <c r="A53" i="81"/>
  <c r="A52" i="81"/>
  <c r="A51" i="81"/>
  <c r="A50" i="81"/>
  <c r="A46" i="81"/>
  <c r="A45" i="81"/>
  <c r="A44" i="81"/>
  <c r="A43" i="81"/>
  <c r="A42" i="81"/>
  <c r="A41" i="81"/>
  <c r="A40" i="81"/>
  <c r="A39" i="81"/>
  <c r="A38" i="81"/>
  <c r="A37" i="81"/>
  <c r="A36" i="81"/>
  <c r="A35" i="81"/>
  <c r="A34" i="81"/>
  <c r="A33" i="81"/>
  <c r="A32" i="81"/>
  <c r="A31" i="81"/>
  <c r="A30" i="81"/>
  <c r="A29" i="81"/>
  <c r="A28" i="81"/>
  <c r="A27" i="81"/>
  <c r="A23" i="81"/>
  <c r="A22" i="81"/>
  <c r="A21" i="81"/>
  <c r="A20" i="81"/>
  <c r="A19" i="81"/>
  <c r="A18" i="81"/>
  <c r="A17" i="81"/>
  <c r="A16" i="81"/>
  <c r="A15" i="81"/>
  <c r="A14" i="81"/>
  <c r="A13" i="81"/>
  <c r="A12" i="81"/>
  <c r="A11" i="81"/>
  <c r="A10" i="81"/>
  <c r="A9" i="81"/>
  <c r="A5" i="81"/>
  <c r="A4" i="81"/>
  <c r="A3" i="81"/>
  <c r="A57" i="82"/>
  <c r="A56" i="82"/>
  <c r="A55" i="82"/>
  <c r="A54" i="82"/>
  <c r="A53" i="82"/>
  <c r="A52" i="82"/>
  <c r="A51" i="82"/>
  <c r="A50" i="82"/>
  <c r="A46" i="82"/>
  <c r="A45" i="82"/>
  <c r="A44" i="82"/>
  <c r="A43" i="82"/>
  <c r="A42" i="82"/>
  <c r="A41" i="82"/>
  <c r="A40" i="82"/>
  <c r="A39" i="82"/>
  <c r="A38" i="82"/>
  <c r="A37" i="82"/>
  <c r="A36" i="82"/>
  <c r="A35" i="82"/>
  <c r="A34" i="82"/>
  <c r="A33" i="82"/>
  <c r="A32" i="82"/>
  <c r="A31" i="82"/>
  <c r="A30" i="82"/>
  <c r="A29" i="82"/>
  <c r="A28" i="82"/>
  <c r="A27" i="82"/>
  <c r="A23" i="82"/>
  <c r="A22" i="82"/>
  <c r="A21" i="82"/>
  <c r="A20" i="82"/>
  <c r="A19" i="82"/>
  <c r="A18" i="82"/>
  <c r="A17" i="82"/>
  <c r="A16" i="82"/>
  <c r="A15" i="82"/>
  <c r="A14" i="82"/>
  <c r="A13" i="82"/>
  <c r="A12" i="82"/>
  <c r="A11" i="82"/>
  <c r="A10" i="82"/>
  <c r="A9" i="82"/>
  <c r="A5" i="82"/>
  <c r="A4" i="82"/>
  <c r="A3" i="82"/>
  <c r="A57" i="75"/>
  <c r="A56" i="75"/>
  <c r="A55" i="75"/>
  <c r="A54" i="75"/>
  <c r="A53" i="75"/>
  <c r="A52" i="75"/>
  <c r="A51" i="75"/>
  <c r="A50" i="75"/>
  <c r="A46" i="75"/>
  <c r="A45" i="75"/>
  <c r="A44" i="75"/>
  <c r="A43" i="75"/>
  <c r="A42" i="75"/>
  <c r="A41" i="75"/>
  <c r="A40" i="75"/>
  <c r="A39" i="75"/>
  <c r="A38" i="75"/>
  <c r="A37" i="75"/>
  <c r="A36" i="75"/>
  <c r="A35" i="75"/>
  <c r="A34" i="75"/>
  <c r="A33" i="75"/>
  <c r="A32" i="75"/>
  <c r="A31" i="75"/>
  <c r="A30" i="75"/>
  <c r="A29" i="75"/>
  <c r="A28" i="75"/>
  <c r="A27" i="75"/>
  <c r="A23" i="75"/>
  <c r="A22" i="75"/>
  <c r="A21" i="75"/>
  <c r="A20" i="75"/>
  <c r="A19" i="75"/>
  <c r="A18" i="75"/>
  <c r="A17" i="75"/>
  <c r="A16" i="75"/>
  <c r="A15" i="75"/>
  <c r="A14" i="75"/>
  <c r="A13" i="75"/>
  <c r="A12" i="75"/>
  <c r="A11" i="75"/>
  <c r="A10" i="75"/>
  <c r="A9" i="75"/>
  <c r="A5" i="75"/>
  <c r="A4" i="75"/>
  <c r="A3" i="75"/>
  <c r="A68" i="72"/>
  <c r="A57" i="72"/>
  <c r="A56" i="72"/>
  <c r="A55" i="72"/>
  <c r="A54" i="72"/>
  <c r="A53" i="72"/>
  <c r="A52" i="72"/>
  <c r="A51" i="72"/>
  <c r="A50" i="72"/>
  <c r="A46" i="72"/>
  <c r="A45" i="72"/>
  <c r="A44" i="72"/>
  <c r="A43" i="72"/>
  <c r="A42" i="72"/>
  <c r="A41" i="72"/>
  <c r="A40" i="72"/>
  <c r="A39" i="72"/>
  <c r="A38" i="72"/>
  <c r="A37" i="72"/>
  <c r="A36" i="72"/>
  <c r="A35" i="72"/>
  <c r="A34" i="72"/>
  <c r="A33" i="72"/>
  <c r="A32" i="72"/>
  <c r="A31" i="72"/>
  <c r="A30" i="72"/>
  <c r="A29" i="72"/>
  <c r="A28" i="72"/>
  <c r="A27" i="72"/>
  <c r="A23" i="72"/>
  <c r="A22" i="72"/>
  <c r="A21" i="72"/>
  <c r="A20" i="72"/>
  <c r="A19" i="72"/>
  <c r="A18" i="72"/>
  <c r="A17" i="72"/>
  <c r="A16" i="72"/>
  <c r="A15" i="72"/>
  <c r="A14" i="72"/>
  <c r="A13" i="72"/>
  <c r="A12" i="72"/>
  <c r="A11" i="72"/>
  <c r="A10" i="72"/>
  <c r="A9" i="72"/>
  <c r="A5" i="72"/>
  <c r="A4" i="72"/>
  <c r="A3" i="72"/>
  <c r="A57" i="80"/>
  <c r="A56" i="80"/>
  <c r="A55" i="80"/>
  <c r="A54" i="80"/>
  <c r="A53" i="80"/>
  <c r="A52" i="80"/>
  <c r="A51" i="80"/>
  <c r="A50" i="80"/>
  <c r="A46" i="80"/>
  <c r="A45" i="80"/>
  <c r="A44" i="80"/>
  <c r="A43" i="80"/>
  <c r="A42" i="80"/>
  <c r="A41" i="80"/>
  <c r="A40" i="80"/>
  <c r="A39" i="80"/>
  <c r="A38" i="80"/>
  <c r="A37" i="80"/>
  <c r="A36" i="80"/>
  <c r="A35" i="80"/>
  <c r="A34" i="80"/>
  <c r="A33" i="80"/>
  <c r="A32" i="80"/>
  <c r="A31" i="80"/>
  <c r="A30" i="80"/>
  <c r="A29" i="80"/>
  <c r="A28" i="80"/>
  <c r="A27" i="80"/>
  <c r="A23" i="80"/>
  <c r="A22" i="80"/>
  <c r="A21" i="80"/>
  <c r="A20" i="80"/>
  <c r="A19" i="80"/>
  <c r="A18" i="80"/>
  <c r="A17" i="80"/>
  <c r="A16" i="80"/>
  <c r="A15" i="80"/>
  <c r="A14" i="80"/>
  <c r="A13" i="80"/>
  <c r="A12" i="80"/>
  <c r="A11" i="80"/>
  <c r="A10" i="80"/>
  <c r="A9" i="80"/>
  <c r="A5" i="80"/>
  <c r="A4" i="80"/>
  <c r="A3" i="80"/>
  <c r="A57" i="13"/>
  <c r="A56" i="13"/>
  <c r="A55" i="13"/>
  <c r="A54" i="13"/>
  <c r="A53" i="13"/>
  <c r="A52" i="13"/>
  <c r="A51" i="13"/>
  <c r="A50" i="13"/>
  <c r="A46" i="13"/>
  <c r="A45" i="13"/>
  <c r="A44" i="13"/>
  <c r="A43" i="13"/>
  <c r="A42" i="13"/>
  <c r="A41" i="13"/>
  <c r="A40" i="13"/>
  <c r="A39" i="13"/>
  <c r="A38" i="13"/>
  <c r="A37" i="13"/>
  <c r="A36" i="13"/>
  <c r="A35" i="13"/>
  <c r="A34" i="13"/>
  <c r="A33" i="13"/>
  <c r="A32" i="13"/>
  <c r="A31" i="13"/>
  <c r="A30" i="13"/>
  <c r="A29" i="13"/>
  <c r="A28" i="13"/>
  <c r="A27" i="13"/>
  <c r="A23" i="13"/>
  <c r="A22" i="13"/>
  <c r="A21" i="13"/>
  <c r="A20" i="13"/>
  <c r="A19" i="13"/>
  <c r="A18" i="13"/>
  <c r="A17" i="13"/>
  <c r="A16" i="13"/>
  <c r="A15" i="13"/>
  <c r="A14" i="13"/>
  <c r="A13" i="13"/>
  <c r="A12" i="13"/>
  <c r="A11" i="13"/>
  <c r="A10" i="13"/>
  <c r="A9" i="13"/>
  <c r="A5" i="13"/>
  <c r="A4" i="13"/>
  <c r="A3" i="13"/>
  <c r="A57" i="71"/>
  <c r="A56" i="71"/>
  <c r="A55" i="71"/>
  <c r="A54" i="71"/>
  <c r="A53" i="71"/>
  <c r="A52" i="71"/>
  <c r="A51" i="71"/>
  <c r="A50" i="71"/>
  <c r="A46" i="71"/>
  <c r="A45" i="71"/>
  <c r="A44" i="71"/>
  <c r="A43" i="71"/>
  <c r="A42" i="71"/>
  <c r="A41" i="71"/>
  <c r="A40" i="71"/>
  <c r="A39" i="71"/>
  <c r="A38" i="71"/>
  <c r="A37" i="71"/>
  <c r="A36" i="71"/>
  <c r="A35" i="71"/>
  <c r="A34" i="71"/>
  <c r="A33" i="71"/>
  <c r="A32" i="71"/>
  <c r="A31" i="71"/>
  <c r="A30" i="71"/>
  <c r="A29" i="71"/>
  <c r="A28" i="71"/>
  <c r="A27" i="71"/>
  <c r="A23" i="71"/>
  <c r="A22" i="71"/>
  <c r="A21" i="71"/>
  <c r="A20" i="71"/>
  <c r="A19" i="71"/>
  <c r="A18" i="71"/>
  <c r="A17" i="71"/>
  <c r="A16" i="71"/>
  <c r="A15" i="71"/>
  <c r="A14" i="71"/>
  <c r="A13" i="71"/>
  <c r="A12" i="71"/>
  <c r="A11" i="71"/>
  <c r="A10" i="71"/>
  <c r="A9" i="71"/>
  <c r="A5" i="71"/>
  <c r="A4" i="71"/>
  <c r="A3" i="71"/>
  <c r="G97" i="106"/>
  <c r="J92" i="106"/>
  <c r="E75" i="106"/>
  <c r="D75" i="106"/>
  <c r="E74" i="106"/>
  <c r="D74" i="106"/>
  <c r="E73" i="106"/>
  <c r="D73" i="106"/>
  <c r="E72" i="106"/>
  <c r="D72" i="106"/>
  <c r="E71" i="106"/>
  <c r="D71" i="106"/>
  <c r="E70" i="106"/>
  <c r="D70" i="106"/>
  <c r="E69" i="106"/>
  <c r="D69" i="106"/>
  <c r="E68" i="106"/>
  <c r="D68" i="106"/>
  <c r="D23" i="106" a="1"/>
  <c r="D23" i="106" s="1"/>
  <c r="G149" i="105"/>
  <c r="D134" i="105" a="1"/>
  <c r="D134" i="105" s="1"/>
  <c r="I126" i="105"/>
  <c r="E112" i="105"/>
  <c r="E111" i="105"/>
  <c r="E110" i="105"/>
  <c r="E109" i="105"/>
  <c r="E108" i="105"/>
  <c r="E107" i="105"/>
  <c r="E106" i="105"/>
  <c r="E105" i="105"/>
  <c r="D102" i="105" a="1"/>
  <c r="D102" i="105" s="1"/>
  <c r="G82" i="105"/>
  <c r="D59" i="105" a="1"/>
  <c r="D59" i="105" s="1"/>
  <c r="J51" i="105"/>
  <c r="G37" i="105" a="1"/>
  <c r="G37" i="105" s="1"/>
  <c r="F37" i="105" a="1"/>
  <c r="F37" i="105" s="1"/>
  <c r="G36" i="105" a="1"/>
  <c r="G36" i="105" s="1"/>
  <c r="F36" i="105" a="1"/>
  <c r="F36" i="105" s="1"/>
  <c r="G35" i="105" a="1"/>
  <c r="G35" i="105" s="1"/>
  <c r="F35" i="105" a="1"/>
  <c r="F35" i="105" s="1"/>
  <c r="G34" i="105" a="1"/>
  <c r="G34" i="105" s="1"/>
  <c r="F34" i="105" a="1"/>
  <c r="F34" i="105" s="1"/>
  <c r="G33" i="105" a="1"/>
  <c r="G33" i="105" s="1"/>
  <c r="F33" i="105" a="1"/>
  <c r="F33" i="105" s="1"/>
  <c r="G32" i="105" a="1"/>
  <c r="G32" i="105" s="1"/>
  <c r="F32" i="105" a="1"/>
  <c r="F32" i="105" s="1"/>
  <c r="G31" i="105" a="1"/>
  <c r="G31" i="105" s="1"/>
  <c r="F31" i="105" a="1"/>
  <c r="F31" i="105" s="1"/>
  <c r="G30" i="105" a="1"/>
  <c r="G30" i="105" s="1"/>
  <c r="F30" i="105" a="1"/>
  <c r="F30" i="105" s="1"/>
  <c r="G29" i="105" a="1"/>
  <c r="G29" i="105" s="1"/>
  <c r="F29" i="105" a="1"/>
  <c r="F29" i="105" s="1"/>
  <c r="G28" i="105" a="1"/>
  <c r="G28" i="105" s="1"/>
  <c r="F28" i="105" a="1"/>
  <c r="F28" i="105" s="1"/>
  <c r="G27" i="105" a="1"/>
  <c r="G27" i="105" s="1"/>
  <c r="F27" i="105" a="1"/>
  <c r="F27" i="105" s="1"/>
  <c r="G26" i="105" a="1"/>
  <c r="G26" i="105" s="1"/>
  <c r="F26" i="105" a="1"/>
  <c r="F26" i="105" s="1"/>
  <c r="G25" i="105" a="1"/>
  <c r="G25" i="105" s="1"/>
  <c r="F25" i="105" a="1"/>
  <c r="F25" i="105" s="1"/>
  <c r="G24" i="105" a="1"/>
  <c r="G24" i="105" s="1"/>
  <c r="F24" i="105" a="1"/>
  <c r="F24" i="105" s="1"/>
  <c r="G23" i="105" a="1"/>
  <c r="G23" i="105" s="1"/>
  <c r="F23" i="105" a="1"/>
  <c r="F23" i="105" s="1"/>
  <c r="G22" i="105" a="1"/>
  <c r="G22" i="105" s="1"/>
  <c r="F22" i="105" a="1"/>
  <c r="F22" i="105" s="1"/>
  <c r="G21" i="105" a="1"/>
  <c r="G21" i="105" s="1"/>
  <c r="F21" i="105" a="1"/>
  <c r="F21" i="105" s="1"/>
  <c r="G20" i="105" a="1"/>
  <c r="G20" i="105" s="1"/>
  <c r="F20" i="105" a="1"/>
  <c r="F20" i="105" s="1"/>
  <c r="G19" i="105" a="1"/>
  <c r="G19" i="105" s="1"/>
  <c r="F19" i="105" a="1"/>
  <c r="F19" i="105" s="1"/>
  <c r="D19" i="105" a="1"/>
  <c r="D19" i="105" s="1"/>
  <c r="G25" i="104" a="1"/>
  <c r="G25" i="104" s="1"/>
  <c r="F25" i="104" a="1"/>
  <c r="F25" i="104" s="1"/>
  <c r="D25" i="104" a="1"/>
  <c r="D25" i="104" s="1"/>
  <c r="I20" i="104"/>
  <c r="I19" i="104"/>
  <c r="I18" i="104"/>
  <c r="I16" i="104"/>
  <c r="I15" i="104"/>
  <c r="G53" i="103"/>
  <c r="K46" i="103"/>
  <c r="K45" i="103"/>
  <c r="H20" i="103" a="1"/>
  <c r="H20" i="103" s="1"/>
  <c r="E20" i="103" a="1"/>
  <c r="E20" i="103" s="1"/>
  <c r="D20" i="103" a="1"/>
  <c r="D20" i="103" s="1"/>
  <c r="D58" i="102" a="1"/>
  <c r="D58" i="102" s="1"/>
  <c r="I51" i="102"/>
  <c r="F37" i="102" a="1"/>
  <c r="F37" i="102" s="1"/>
  <c r="F36" i="102" a="1"/>
  <c r="F36" i="102" s="1"/>
  <c r="F35" i="102" a="1"/>
  <c r="F35" i="102" s="1"/>
  <c r="F34" i="102" a="1"/>
  <c r="F34" i="102" s="1"/>
  <c r="F33" i="102" a="1"/>
  <c r="F33" i="102" s="1"/>
  <c r="F32" i="102" a="1"/>
  <c r="F32" i="102" s="1"/>
  <c r="F31" i="102" a="1"/>
  <c r="F31" i="102" s="1"/>
  <c r="F30" i="102" a="1"/>
  <c r="F30" i="102" s="1"/>
  <c r="F29" i="102" a="1"/>
  <c r="F29" i="102" s="1"/>
  <c r="F28" i="102" a="1"/>
  <c r="F28" i="102" s="1"/>
  <c r="F27" i="102" a="1"/>
  <c r="F27" i="102" s="1"/>
  <c r="F26" i="102" a="1"/>
  <c r="F26" i="102" s="1"/>
  <c r="F25" i="102" a="1"/>
  <c r="F25" i="102" s="1"/>
  <c r="F24" i="102" a="1"/>
  <c r="F24" i="102" s="1"/>
  <c r="F23" i="102" a="1"/>
  <c r="F23" i="102" s="1"/>
  <c r="F22" i="102" a="1"/>
  <c r="F22" i="102" s="1"/>
  <c r="F21" i="102" a="1"/>
  <c r="F21" i="102" s="1"/>
  <c r="F20" i="102" a="1"/>
  <c r="F20" i="102" s="1"/>
  <c r="F19" i="102" a="1"/>
  <c r="F19" i="102" s="1"/>
  <c r="D19" i="102" a="1"/>
  <c r="D19" i="102" s="1"/>
  <c r="P113" i="101"/>
  <c r="S94" i="101"/>
  <c r="G83" i="101"/>
  <c r="D60" i="101" a="1"/>
  <c r="D60" i="101" s="1"/>
  <c r="I51" i="101"/>
  <c r="F37" i="101" a="1"/>
  <c r="F37" i="101" s="1"/>
  <c r="F36" i="101" a="1"/>
  <c r="F36" i="101" s="1"/>
  <c r="F35" i="101" a="1"/>
  <c r="F35" i="101" s="1"/>
  <c r="F34" i="101" a="1"/>
  <c r="F34" i="101" s="1"/>
  <c r="F33" i="101" a="1"/>
  <c r="F33" i="101" s="1"/>
  <c r="F32" i="101" a="1"/>
  <c r="F32" i="101" s="1"/>
  <c r="F31" i="101" a="1"/>
  <c r="F31" i="101" s="1"/>
  <c r="F30" i="101" a="1"/>
  <c r="F30" i="101" s="1"/>
  <c r="F29" i="101" a="1"/>
  <c r="F29" i="101" s="1"/>
  <c r="F28" i="101" a="1"/>
  <c r="F28" i="101" s="1"/>
  <c r="F27" i="101" a="1"/>
  <c r="F27" i="101" s="1"/>
  <c r="F26" i="101" a="1"/>
  <c r="F26" i="101" s="1"/>
  <c r="F25" i="101" a="1"/>
  <c r="F25" i="101" s="1"/>
  <c r="F24" i="101" a="1"/>
  <c r="F24" i="101" s="1"/>
  <c r="F23" i="101" a="1"/>
  <c r="F23" i="101" s="1"/>
  <c r="F22" i="101" a="1"/>
  <c r="F22" i="101" s="1"/>
  <c r="O21" i="101" a="1"/>
  <c r="O21" i="101" s="1"/>
  <c r="N21" i="101" a="1"/>
  <c r="N21" i="101" s="1"/>
  <c r="F21" i="101" a="1"/>
  <c r="F21" i="101" s="1"/>
  <c r="F20" i="101" a="1"/>
  <c r="F20" i="101" s="1"/>
  <c r="F19" i="101" a="1"/>
  <c r="F19" i="101" s="1"/>
  <c r="D19" i="101" a="1"/>
  <c r="D19" i="101" s="1"/>
  <c r="O11" i="101" a="1"/>
  <c r="O11" i="101" s="1"/>
  <c r="N11" i="101" a="1"/>
  <c r="N11" i="101" s="1"/>
  <c r="P34" i="100"/>
  <c r="P33" i="100"/>
  <c r="P32" i="100"/>
  <c r="P31" i="100"/>
  <c r="P30" i="100"/>
  <c r="P29" i="100"/>
  <c r="P28" i="100"/>
  <c r="P27" i="100"/>
  <c r="P26" i="100"/>
  <c r="P25" i="100"/>
  <c r="Z21" i="100"/>
  <c r="Y21" i="100"/>
  <c r="W21" i="100" a="1"/>
  <c r="W21" i="100" s="1"/>
  <c r="V21" i="100"/>
  <c r="U21" i="100" a="1"/>
  <c r="U21" i="100" s="1"/>
  <c r="T21" i="100" a="1"/>
  <c r="T21" i="100" s="1"/>
  <c r="S21" i="100" a="1"/>
  <c r="S21" i="100" s="1"/>
  <c r="R21" i="100" a="1"/>
  <c r="R21" i="100" s="1"/>
  <c r="Q21" i="100" a="1"/>
  <c r="Q21" i="100" s="1"/>
  <c r="P21" i="100" a="1"/>
  <c r="P21" i="100" s="1"/>
  <c r="O21" i="100" a="1"/>
  <c r="O21" i="100" s="1"/>
  <c r="N21" i="100" a="1"/>
  <c r="N21" i="100" s="1"/>
  <c r="M21" i="100" a="1"/>
  <c r="M21" i="100" s="1"/>
  <c r="L21" i="100" a="1"/>
  <c r="L21" i="100" s="1"/>
  <c r="K21" i="100" a="1"/>
  <c r="K21" i="100" s="1"/>
  <c r="J21" i="100" a="1"/>
  <c r="J21" i="100" s="1"/>
  <c r="H21" i="100"/>
  <c r="F21" i="100"/>
  <c r="Z20" i="100"/>
  <c r="Y20" i="100"/>
  <c r="W20" i="100" a="1"/>
  <c r="W20" i="100" s="1"/>
  <c r="V20" i="100"/>
  <c r="U20" i="100" a="1"/>
  <c r="U20" i="100" s="1"/>
  <c r="T20" i="100" a="1"/>
  <c r="T20" i="100" s="1"/>
  <c r="S20" i="100" a="1"/>
  <c r="S20" i="100" s="1"/>
  <c r="R20" i="100" a="1"/>
  <c r="R20" i="100" s="1"/>
  <c r="Q20" i="100" a="1"/>
  <c r="Q20" i="100" s="1"/>
  <c r="P20" i="100" a="1"/>
  <c r="P20" i="100" s="1"/>
  <c r="O20" i="100" a="1"/>
  <c r="O20" i="100" s="1"/>
  <c r="N20" i="100" a="1"/>
  <c r="N20" i="100" s="1"/>
  <c r="M20" i="100" a="1"/>
  <c r="M20" i="100" s="1"/>
  <c r="L20" i="100" a="1"/>
  <c r="L20" i="100" s="1"/>
  <c r="K20" i="100" a="1"/>
  <c r="K20" i="100" s="1"/>
  <c r="J20" i="100" a="1"/>
  <c r="J20" i="100" s="1"/>
  <c r="H20" i="100"/>
  <c r="F20" i="100"/>
  <c r="Z19" i="100"/>
  <c r="Y19" i="100"/>
  <c r="W19" i="100" a="1"/>
  <c r="W19" i="100" s="1"/>
  <c r="V19" i="100"/>
  <c r="U19" i="100" a="1"/>
  <c r="U19" i="100" s="1"/>
  <c r="T19" i="100" a="1"/>
  <c r="T19" i="100" s="1"/>
  <c r="S19" i="100" a="1"/>
  <c r="S19" i="100" s="1"/>
  <c r="R19" i="100" a="1"/>
  <c r="R19" i="100" s="1"/>
  <c r="Q19" i="100" a="1"/>
  <c r="Q19" i="100" s="1"/>
  <c r="P19" i="100" a="1"/>
  <c r="P19" i="100" s="1"/>
  <c r="O19" i="100" a="1"/>
  <c r="O19" i="100" s="1"/>
  <c r="N19" i="100" a="1"/>
  <c r="N19" i="100" s="1"/>
  <c r="M19" i="100" a="1"/>
  <c r="M19" i="100" s="1"/>
  <c r="L19" i="100" a="1"/>
  <c r="L19" i="100" s="1"/>
  <c r="K19" i="100" a="1"/>
  <c r="K19" i="100" s="1"/>
  <c r="J19" i="100" a="1"/>
  <c r="J19" i="100" s="1"/>
  <c r="H19" i="100"/>
  <c r="F19" i="100"/>
  <c r="Z18" i="100"/>
  <c r="Y18" i="100"/>
  <c r="W18" i="100" a="1"/>
  <c r="W18" i="100" s="1"/>
  <c r="V18" i="100"/>
  <c r="U18" i="100" a="1"/>
  <c r="U18" i="100" s="1"/>
  <c r="T18" i="100" a="1"/>
  <c r="T18" i="100" s="1"/>
  <c r="S18" i="100" a="1"/>
  <c r="S18" i="100" s="1"/>
  <c r="R18" i="100" a="1"/>
  <c r="R18" i="100" s="1"/>
  <c r="Q18" i="100" a="1"/>
  <c r="Q18" i="100" s="1"/>
  <c r="P18" i="100" a="1"/>
  <c r="P18" i="100" s="1"/>
  <c r="O18" i="100" a="1"/>
  <c r="O18" i="100" s="1"/>
  <c r="N18" i="100" a="1"/>
  <c r="N18" i="100" s="1"/>
  <c r="M18" i="100" a="1"/>
  <c r="M18" i="100" s="1"/>
  <c r="L18" i="100" a="1"/>
  <c r="L18" i="100" s="1"/>
  <c r="K18" i="100" a="1"/>
  <c r="K18" i="100" s="1"/>
  <c r="J18" i="100" a="1"/>
  <c r="J18" i="100" s="1"/>
  <c r="H18" i="100"/>
  <c r="F18" i="100"/>
  <c r="Z17" i="100"/>
  <c r="Y17" i="100"/>
  <c r="W17" i="100" a="1"/>
  <c r="W17" i="100" s="1"/>
  <c r="V17" i="100"/>
  <c r="U17" i="100" a="1"/>
  <c r="U17" i="100" s="1"/>
  <c r="T17" i="100" a="1"/>
  <c r="T17" i="100" s="1"/>
  <c r="S17" i="100" a="1"/>
  <c r="S17" i="100" s="1"/>
  <c r="R17" i="100" a="1"/>
  <c r="R17" i="100" s="1"/>
  <c r="Q17" i="100" a="1"/>
  <c r="Q17" i="100" s="1"/>
  <c r="P17" i="100" a="1"/>
  <c r="P17" i="100" s="1"/>
  <c r="O17" i="100" a="1"/>
  <c r="O17" i="100" s="1"/>
  <c r="N17" i="100" a="1"/>
  <c r="N17" i="100" s="1"/>
  <c r="M17" i="100" a="1"/>
  <c r="M17" i="100" s="1"/>
  <c r="L17" i="100" a="1"/>
  <c r="L17" i="100" s="1"/>
  <c r="K17" i="100" a="1"/>
  <c r="K17" i="100" s="1"/>
  <c r="J17" i="100" a="1"/>
  <c r="J17" i="100" s="1"/>
  <c r="H17" i="100"/>
  <c r="F17" i="100"/>
  <c r="Z16" i="100"/>
  <c r="Y16" i="100"/>
  <c r="W16" i="100" a="1"/>
  <c r="W16" i="100" s="1"/>
  <c r="V16" i="100"/>
  <c r="U16" i="100" a="1"/>
  <c r="U16" i="100" s="1"/>
  <c r="T16" i="100" a="1"/>
  <c r="T16" i="100" s="1"/>
  <c r="S16" i="100" a="1"/>
  <c r="S16" i="100" s="1"/>
  <c r="R16" i="100" a="1"/>
  <c r="R16" i="100" s="1"/>
  <c r="Q16" i="100" a="1"/>
  <c r="Q16" i="100" s="1"/>
  <c r="P16" i="100" a="1"/>
  <c r="P16" i="100" s="1"/>
  <c r="O16" i="100" a="1"/>
  <c r="O16" i="100" s="1"/>
  <c r="N16" i="100" a="1"/>
  <c r="N16" i="100" s="1"/>
  <c r="M16" i="100" a="1"/>
  <c r="M16" i="100" s="1"/>
  <c r="L16" i="100" a="1"/>
  <c r="L16" i="100" s="1"/>
  <c r="K16" i="100" a="1"/>
  <c r="K16" i="100" s="1"/>
  <c r="J16" i="100" a="1"/>
  <c r="J16" i="100" s="1"/>
  <c r="H16" i="100"/>
  <c r="F16" i="100"/>
  <c r="Z15" i="100"/>
  <c r="Y15" i="100"/>
  <c r="W15" i="100" a="1"/>
  <c r="W15" i="100" s="1"/>
  <c r="V15" i="100"/>
  <c r="U15" i="100" a="1"/>
  <c r="U15" i="100" s="1"/>
  <c r="T15" i="100" a="1"/>
  <c r="T15" i="100" s="1"/>
  <c r="S15" i="100" a="1"/>
  <c r="S15" i="100" s="1"/>
  <c r="R15" i="100" a="1"/>
  <c r="R15" i="100" s="1"/>
  <c r="Q15" i="100" a="1"/>
  <c r="Q15" i="100" s="1"/>
  <c r="P15" i="100" a="1"/>
  <c r="P15" i="100" s="1"/>
  <c r="O15" i="100" a="1"/>
  <c r="O15" i="100" s="1"/>
  <c r="N15" i="100" a="1"/>
  <c r="N15" i="100" s="1"/>
  <c r="M15" i="100" a="1"/>
  <c r="M15" i="100" s="1"/>
  <c r="L15" i="100" a="1"/>
  <c r="L15" i="100" s="1"/>
  <c r="K15" i="100" a="1"/>
  <c r="K15" i="100" s="1"/>
  <c r="J15" i="100" a="1"/>
  <c r="J15" i="100" s="1"/>
  <c r="H15" i="100"/>
  <c r="F15" i="100"/>
  <c r="Z14" i="100"/>
  <c r="Y14" i="100"/>
  <c r="W14" i="100" a="1"/>
  <c r="W14" i="100" s="1"/>
  <c r="X14" i="100" s="1"/>
  <c r="V14" i="100"/>
  <c r="U14" i="100" a="1"/>
  <c r="U14" i="100" s="1"/>
  <c r="T14" i="100" a="1"/>
  <c r="T14" i="100" s="1"/>
  <c r="S14" i="100" a="1"/>
  <c r="S14" i="100" s="1"/>
  <c r="R14" i="100" a="1"/>
  <c r="R14" i="100" s="1"/>
  <c r="Q14" i="100" a="1"/>
  <c r="Q14" i="100" s="1"/>
  <c r="P14" i="100" a="1"/>
  <c r="P14" i="100" s="1"/>
  <c r="O14" i="100" a="1"/>
  <c r="O14" i="100" s="1"/>
  <c r="N14" i="100" a="1"/>
  <c r="N14" i="100" s="1"/>
  <c r="M14" i="100" a="1"/>
  <c r="M14" i="100" s="1"/>
  <c r="L14" i="100" a="1"/>
  <c r="L14" i="100" s="1"/>
  <c r="K14" i="100" a="1"/>
  <c r="K14" i="100" s="1"/>
  <c r="J14" i="100" a="1"/>
  <c r="J14" i="100" s="1"/>
  <c r="H14" i="100"/>
  <c r="F14" i="100"/>
  <c r="Z13" i="100"/>
  <c r="Y13" i="100"/>
  <c r="W13" i="100" a="1"/>
  <c r="W13" i="100" s="1"/>
  <c r="V13" i="100"/>
  <c r="U13" i="100" a="1"/>
  <c r="U13" i="100" s="1"/>
  <c r="T13" i="100" a="1"/>
  <c r="T13" i="100" s="1"/>
  <c r="S13" i="100" a="1"/>
  <c r="S13" i="100" s="1"/>
  <c r="R13" i="100" a="1"/>
  <c r="R13" i="100" s="1"/>
  <c r="Q13" i="100" a="1"/>
  <c r="Q13" i="100" s="1"/>
  <c r="P13" i="100" a="1"/>
  <c r="P13" i="100" s="1"/>
  <c r="O13" i="100" a="1"/>
  <c r="O13" i="100" s="1"/>
  <c r="N13" i="100" a="1"/>
  <c r="N13" i="100" s="1"/>
  <c r="M13" i="100" a="1"/>
  <c r="M13" i="100" s="1"/>
  <c r="L13" i="100" a="1"/>
  <c r="L13" i="100" s="1"/>
  <c r="K13" i="100" a="1"/>
  <c r="K13" i="100" s="1"/>
  <c r="J13" i="100" a="1"/>
  <c r="J13" i="100" s="1"/>
  <c r="H13" i="100"/>
  <c r="F13" i="100"/>
  <c r="Z12" i="100"/>
  <c r="Y12" i="100"/>
  <c r="W12" i="100" a="1"/>
  <c r="W12" i="100" s="1"/>
  <c r="X12" i="100" s="1"/>
  <c r="V12" i="100"/>
  <c r="U12" i="100" a="1"/>
  <c r="U12" i="100" s="1"/>
  <c r="T12" i="100" a="1"/>
  <c r="T12" i="100" s="1"/>
  <c r="S12" i="100" a="1"/>
  <c r="S12" i="100" s="1"/>
  <c r="R12" i="100" a="1"/>
  <c r="R12" i="100" s="1"/>
  <c r="Q12" i="100" a="1"/>
  <c r="Q12" i="100" s="1"/>
  <c r="P12" i="100" a="1"/>
  <c r="P12" i="100" s="1"/>
  <c r="O12" i="100" a="1"/>
  <c r="O12" i="100" s="1"/>
  <c r="N12" i="100" a="1"/>
  <c r="N12" i="100" s="1"/>
  <c r="M12" i="100" a="1"/>
  <c r="M12" i="100" s="1"/>
  <c r="L12" i="100" a="1"/>
  <c r="L12" i="100" s="1"/>
  <c r="K12" i="100" a="1"/>
  <c r="K12" i="100" s="1"/>
  <c r="J12" i="100" a="1"/>
  <c r="J12" i="100" s="1"/>
  <c r="H12" i="100"/>
  <c r="F12" i="100"/>
  <c r="G198" i="118"/>
  <c r="H197" i="118"/>
  <c r="G197" i="118"/>
  <c r="H196" i="118"/>
  <c r="G196" i="118"/>
  <c r="H195" i="118"/>
  <c r="G195" i="118"/>
  <c r="H194" i="118"/>
  <c r="G194" i="118"/>
  <c r="G193" i="118"/>
  <c r="G192" i="118"/>
  <c r="G191" i="118"/>
  <c r="G190" i="118"/>
  <c r="G189" i="118"/>
  <c r="G188" i="118"/>
  <c r="G187" i="118"/>
  <c r="G186" i="118"/>
  <c r="G185" i="118"/>
  <c r="G184" i="118"/>
  <c r="G183" i="118"/>
  <c r="G182" i="118"/>
  <c r="G181" i="118"/>
  <c r="G180" i="118"/>
  <c r="G179" i="118"/>
  <c r="G178" i="118"/>
  <c r="I177" i="118"/>
  <c r="G177" i="118"/>
  <c r="I176" i="118"/>
  <c r="G176" i="118"/>
  <c r="I175" i="118"/>
  <c r="G175" i="118"/>
  <c r="I174" i="118"/>
  <c r="G174" i="118"/>
  <c r="J88" i="117"/>
  <c r="I50" i="117"/>
  <c r="J15" i="117"/>
  <c r="F642" i="116" a="1"/>
  <c r="F642" i="116" s="1"/>
  <c r="E642" i="116" a="1"/>
  <c r="E642" i="116" s="1"/>
  <c r="D642" i="116" a="1"/>
  <c r="D642" i="116" s="1"/>
  <c r="F624" i="116" a="1"/>
  <c r="F624" i="116" s="1"/>
  <c r="E624" i="116" a="1"/>
  <c r="E624" i="116" s="1"/>
  <c r="D624" i="116" a="1"/>
  <c r="D624" i="116" s="1"/>
  <c r="O591" i="116"/>
  <c r="G591" i="116"/>
  <c r="I567" i="116" a="1"/>
  <c r="I567" i="116" s="1"/>
  <c r="F505" i="116" a="1"/>
  <c r="F505" i="116" s="1"/>
  <c r="E505" i="116" a="1"/>
  <c r="E505" i="116" s="1"/>
  <c r="D505" i="116" a="1"/>
  <c r="D505" i="116" s="1"/>
  <c r="F496" i="116" a="1"/>
  <c r="F496" i="116" s="1"/>
  <c r="F495" i="116" a="1"/>
  <c r="F495" i="116" s="1"/>
  <c r="D495" i="116"/>
  <c r="F494" i="116" a="1"/>
  <c r="F494" i="116" s="1"/>
  <c r="D494" i="116"/>
  <c r="F485" i="116" a="1"/>
  <c r="F485" i="116" s="1"/>
  <c r="F484" i="116" a="1"/>
  <c r="F484" i="116" s="1"/>
  <c r="I484" i="116" s="1" a="1"/>
  <c r="I484" i="116" s="1"/>
  <c r="F483" i="116" a="1"/>
  <c r="F483" i="116" s="1"/>
  <c r="G483" i="116" s="1" a="1"/>
  <c r="G483" i="116" s="1"/>
  <c r="F482" i="116" a="1"/>
  <c r="F482" i="116" s="1"/>
  <c r="F481" i="116" a="1"/>
  <c r="F481" i="116" s="1"/>
  <c r="G472" i="116" a="1"/>
  <c r="G472" i="116" s="1"/>
  <c r="G471" i="116" a="1"/>
  <c r="G471" i="116" s="1"/>
  <c r="H471" i="116" s="1" a="1"/>
  <c r="H471" i="116" s="1"/>
  <c r="G470" i="116" a="1"/>
  <c r="G470" i="116" s="1"/>
  <c r="G469" i="116" a="1"/>
  <c r="G469" i="116" s="1"/>
  <c r="G468" i="116" a="1"/>
  <c r="G468" i="116" s="1"/>
  <c r="G467" i="116" a="1"/>
  <c r="G467" i="116" s="1"/>
  <c r="G466" i="116" a="1"/>
  <c r="G466" i="116" s="1"/>
  <c r="G465" i="116" a="1"/>
  <c r="G465" i="116" s="1"/>
  <c r="H465" i="116" s="1" a="1"/>
  <c r="H465" i="116" s="1"/>
  <c r="G464" i="116" a="1"/>
  <c r="G464" i="116" s="1"/>
  <c r="G463" i="116" a="1"/>
  <c r="G463" i="116" s="1"/>
  <c r="F463" i="116" a="1"/>
  <c r="F463" i="116" s="1"/>
  <c r="E463" i="116" a="1"/>
  <c r="E463" i="116" s="1"/>
  <c r="D463" i="116" a="1"/>
  <c r="D463" i="116" s="1"/>
  <c r="G454" i="116" a="1"/>
  <c r="G454" i="116" s="1"/>
  <c r="G453" i="116" a="1"/>
  <c r="G453" i="116" s="1"/>
  <c r="G452" i="116" a="1"/>
  <c r="G452" i="116" s="1"/>
  <c r="G451" i="116" a="1"/>
  <c r="G451" i="116" s="1"/>
  <c r="G450" i="116" a="1"/>
  <c r="G450" i="116" s="1"/>
  <c r="H450" i="116" s="1" a="1"/>
  <c r="H450" i="116" s="1"/>
  <c r="G449" i="116" a="1"/>
  <c r="G449" i="116" s="1"/>
  <c r="G448" i="116" a="1"/>
  <c r="G448" i="116" s="1"/>
  <c r="G447" i="116" a="1"/>
  <c r="G447" i="116" s="1"/>
  <c r="H447" i="116" s="1" a="1"/>
  <c r="H447" i="116" s="1"/>
  <c r="G446" i="116" a="1"/>
  <c r="G446" i="116" s="1"/>
  <c r="H446" i="116" s="1" a="1"/>
  <c r="H446" i="116" s="1"/>
  <c r="G445" i="116" a="1"/>
  <c r="G445" i="116" s="1"/>
  <c r="F445" i="116" a="1"/>
  <c r="F445" i="116" s="1"/>
  <c r="J445" i="116" s="1" a="1"/>
  <c r="J445" i="116" s="1"/>
  <c r="E445" i="116" a="1"/>
  <c r="E445" i="116" s="1"/>
  <c r="D445" i="116" a="1"/>
  <c r="D445" i="116" s="1"/>
  <c r="G391" i="116" a="1"/>
  <c r="G391" i="116" s="1"/>
  <c r="G390" i="116" a="1"/>
  <c r="G390" i="116" s="1"/>
  <c r="G389" i="116" a="1"/>
  <c r="G389" i="116" s="1"/>
  <c r="G388" i="116" a="1"/>
  <c r="G388" i="116" s="1"/>
  <c r="G387" i="116" a="1"/>
  <c r="G387" i="116" s="1"/>
  <c r="G386" i="116" a="1"/>
  <c r="G386" i="116" s="1"/>
  <c r="G385" i="116" a="1"/>
  <c r="G385" i="116" s="1"/>
  <c r="G384" i="116" a="1"/>
  <c r="G384" i="116" s="1"/>
  <c r="G383" i="116" a="1"/>
  <c r="G383" i="116" s="1"/>
  <c r="G382" i="116" a="1"/>
  <c r="G382" i="116" s="1"/>
  <c r="G351" i="116" a="1"/>
  <c r="G351" i="116" s="1"/>
  <c r="F351" i="116" a="1"/>
  <c r="F351" i="116" s="1"/>
  <c r="E351" i="116" a="1"/>
  <c r="E351" i="116" s="1"/>
  <c r="D351" i="116" a="1"/>
  <c r="D351" i="116" s="1"/>
  <c r="D320" i="116" a="1"/>
  <c r="D320" i="116" s="1"/>
  <c r="E317" i="116" a="1"/>
  <c r="E317" i="116" s="1"/>
  <c r="E316" i="116" a="1"/>
  <c r="E316" i="116" s="1"/>
  <c r="E315" i="116" a="1"/>
  <c r="E315" i="116" s="1"/>
  <c r="F296" i="116" a="1"/>
  <c r="F296" i="116" s="1"/>
  <c r="F295" i="116" a="1"/>
  <c r="F295" i="116" s="1"/>
  <c r="F294" i="116" a="1"/>
  <c r="F294" i="116" s="1"/>
  <c r="F293" i="116" a="1"/>
  <c r="F293" i="116" s="1"/>
  <c r="F292" i="116" a="1"/>
  <c r="F292" i="116" s="1"/>
  <c r="F291" i="116" a="1"/>
  <c r="F291" i="116" s="1"/>
  <c r="F290" i="116" a="1"/>
  <c r="F290" i="116" s="1"/>
  <c r="F289" i="116" a="1"/>
  <c r="F289" i="116" s="1"/>
  <c r="F288" i="116" a="1"/>
  <c r="F288" i="116" s="1"/>
  <c r="F287" i="116" a="1"/>
  <c r="F287" i="116" s="1"/>
  <c r="F286" i="116" a="1"/>
  <c r="F286" i="116" s="1"/>
  <c r="F285" i="116" a="1"/>
  <c r="F285" i="116" s="1"/>
  <c r="D285" i="116" a="1"/>
  <c r="D285" i="116" s="1"/>
  <c r="AE261" i="116" a="1"/>
  <c r="AE261" i="116" s="1"/>
  <c r="AA261" i="116" a="1"/>
  <c r="AA261" i="116" s="1"/>
  <c r="W261" i="116" a="1"/>
  <c r="W261" i="116" s="1"/>
  <c r="S261" i="116" a="1"/>
  <c r="S261" i="116" s="1"/>
  <c r="AE260" i="116" a="1"/>
  <c r="AE260" i="116" s="1"/>
  <c r="AA260" i="116" a="1"/>
  <c r="AA260" i="116" s="1"/>
  <c r="W260" i="116" a="1"/>
  <c r="W260" i="116" s="1"/>
  <c r="S260" i="116" a="1"/>
  <c r="S260" i="116" s="1"/>
  <c r="AE259" i="116" a="1"/>
  <c r="AE259" i="116" s="1"/>
  <c r="AA259" i="116" a="1"/>
  <c r="AA259" i="116" s="1"/>
  <c r="W259" i="116" a="1"/>
  <c r="W259" i="116" s="1"/>
  <c r="S259" i="116" a="1"/>
  <c r="S259" i="116" s="1"/>
  <c r="AE258" i="116" a="1"/>
  <c r="AE258" i="116" s="1"/>
  <c r="AA258" i="116" a="1"/>
  <c r="AA258" i="116" s="1"/>
  <c r="W258" i="116" a="1"/>
  <c r="W258" i="116" s="1"/>
  <c r="S258" i="116" a="1"/>
  <c r="S258" i="116" s="1"/>
  <c r="AE257" i="116" a="1"/>
  <c r="AE257" i="116" s="1"/>
  <c r="AA257" i="116" a="1"/>
  <c r="AA257" i="116" s="1"/>
  <c r="W257" i="116" a="1"/>
  <c r="W257" i="116" s="1"/>
  <c r="S257" i="116" a="1"/>
  <c r="S257" i="116" s="1"/>
  <c r="AE256" i="116" a="1"/>
  <c r="AE256" i="116" s="1"/>
  <c r="AA256" i="116" a="1"/>
  <c r="AA256" i="116" s="1"/>
  <c r="W256" i="116" a="1"/>
  <c r="W256" i="116" s="1"/>
  <c r="S256" i="116" a="1"/>
  <c r="S256" i="116" s="1"/>
  <c r="AE255" i="116" a="1"/>
  <c r="AE255" i="116" s="1"/>
  <c r="AA255" i="116" a="1"/>
  <c r="AA255" i="116" s="1"/>
  <c r="W255" i="116" a="1"/>
  <c r="W255" i="116" s="1"/>
  <c r="S255" i="116" a="1"/>
  <c r="S255" i="116" s="1"/>
  <c r="AE254" i="116" a="1"/>
  <c r="AE254" i="116" s="1"/>
  <c r="AA254" i="116" a="1"/>
  <c r="AA254" i="116" s="1"/>
  <c r="W254" i="116" a="1"/>
  <c r="W254" i="116" s="1"/>
  <c r="S254" i="116" a="1"/>
  <c r="S254" i="116" s="1"/>
  <c r="AE253" i="116" a="1"/>
  <c r="AE253" i="116" s="1"/>
  <c r="AA253" i="116" a="1"/>
  <c r="AA253" i="116" s="1"/>
  <c r="W253" i="116" a="1"/>
  <c r="W253" i="116" s="1"/>
  <c r="S253" i="116" a="1"/>
  <c r="S253" i="116" s="1"/>
  <c r="AE252" i="116" a="1"/>
  <c r="AE252" i="116" s="1"/>
  <c r="AD252" i="116" a="1"/>
  <c r="AD252" i="116" s="1"/>
  <c r="AC252" i="116" a="1"/>
  <c r="AC252" i="116" s="1"/>
  <c r="AA252" i="116" a="1"/>
  <c r="AA252" i="116" s="1"/>
  <c r="Z252" i="116" a="1"/>
  <c r="Z252" i="116" s="1"/>
  <c r="Y252" i="116" a="1"/>
  <c r="Y252" i="116" s="1"/>
  <c r="W252" i="116" a="1"/>
  <c r="W252" i="116" s="1"/>
  <c r="V252" i="116" a="1"/>
  <c r="V252" i="116" s="1"/>
  <c r="U252" i="116" a="1"/>
  <c r="U252" i="116" s="1"/>
  <c r="S252" i="116" a="1"/>
  <c r="S252" i="116" s="1"/>
  <c r="R252" i="116" a="1"/>
  <c r="R252" i="116" s="1"/>
  <c r="Q252" i="116" a="1"/>
  <c r="Q252" i="116" s="1"/>
  <c r="P252" i="116" a="1"/>
  <c r="P252" i="116" s="1"/>
  <c r="O252" i="116" a="1"/>
  <c r="O252" i="116" s="1"/>
  <c r="D252" i="116" a="1"/>
  <c r="D252" i="116" s="1"/>
  <c r="D236" i="116" a="1"/>
  <c r="D236" i="116" s="1"/>
  <c r="F179" i="116" a="1"/>
  <c r="F179" i="116" s="1"/>
  <c r="D179" i="116"/>
  <c r="F178" i="116" a="1"/>
  <c r="F178" i="116" s="1"/>
  <c r="D178" i="116"/>
  <c r="F177" i="116" a="1"/>
  <c r="F177" i="116" s="1"/>
  <c r="D177" i="116"/>
  <c r="F153" i="116" a="1"/>
  <c r="F153" i="116" s="1"/>
  <c r="F152" i="116" a="1"/>
  <c r="F152" i="116" s="1"/>
  <c r="F151" i="116" a="1"/>
  <c r="F151" i="116" s="1"/>
  <c r="F150" i="116" a="1"/>
  <c r="F150" i="116" s="1"/>
  <c r="F149" i="116" a="1"/>
  <c r="F149" i="116" s="1"/>
  <c r="F148" i="116" a="1"/>
  <c r="F148" i="116" s="1"/>
  <c r="F140" i="116" a="1"/>
  <c r="F140" i="116" s="1"/>
  <c r="D140" i="116"/>
  <c r="F139" i="116" a="1"/>
  <c r="F139" i="116" s="1"/>
  <c r="D139" i="116"/>
  <c r="F138" i="116" a="1"/>
  <c r="F138" i="116" s="1"/>
  <c r="D138" i="116"/>
  <c r="F137" i="116" a="1"/>
  <c r="F137" i="116" s="1"/>
  <c r="G137" i="116" s="1" a="1"/>
  <c r="G137" i="116" s="1"/>
  <c r="D137" i="116"/>
  <c r="AB129" i="116" a="1"/>
  <c r="AB129" i="116" s="1"/>
  <c r="X129" i="116" a="1"/>
  <c r="X129" i="116" s="1"/>
  <c r="T129" i="116" a="1"/>
  <c r="T129" i="116" s="1"/>
  <c r="P129" i="116" a="1"/>
  <c r="P129" i="116" s="1"/>
  <c r="AB128" i="116" a="1"/>
  <c r="AB128" i="116" s="1"/>
  <c r="X128" i="116" a="1"/>
  <c r="X128" i="116" s="1"/>
  <c r="T128" i="116" a="1"/>
  <c r="T128" i="116" s="1"/>
  <c r="P128" i="116" a="1"/>
  <c r="P128" i="116" s="1"/>
  <c r="AB127" i="116" a="1"/>
  <c r="AB127" i="116" s="1"/>
  <c r="X127" i="116" a="1"/>
  <c r="X127" i="116" s="1"/>
  <c r="T127" i="116" a="1"/>
  <c r="T127" i="116" s="1"/>
  <c r="P127" i="116" a="1"/>
  <c r="P127" i="116" s="1"/>
  <c r="AB126" i="116" a="1"/>
  <c r="AB126" i="116" s="1"/>
  <c r="X126" i="116" a="1"/>
  <c r="X126" i="116" s="1"/>
  <c r="T126" i="116" a="1"/>
  <c r="T126" i="116" s="1"/>
  <c r="P126" i="116" a="1"/>
  <c r="P126" i="116" s="1"/>
  <c r="AB125" i="116" a="1"/>
  <c r="AB125" i="116" s="1"/>
  <c r="X125" i="116" a="1"/>
  <c r="X125" i="116" s="1"/>
  <c r="T125" i="116" a="1"/>
  <c r="T125" i="116" s="1"/>
  <c r="P125" i="116" a="1"/>
  <c r="P125" i="116" s="1"/>
  <c r="AB124" i="116" a="1"/>
  <c r="AB124" i="116" s="1"/>
  <c r="X124" i="116" a="1"/>
  <c r="X124" i="116" s="1"/>
  <c r="T124" i="116" a="1"/>
  <c r="T124" i="116" s="1"/>
  <c r="P124" i="116" a="1"/>
  <c r="P124" i="116" s="1"/>
  <c r="AB123" i="116" a="1"/>
  <c r="AB123" i="116" s="1"/>
  <c r="X123" i="116" a="1"/>
  <c r="X123" i="116" s="1"/>
  <c r="T123" i="116" a="1"/>
  <c r="T123" i="116" s="1"/>
  <c r="P123" i="116" a="1"/>
  <c r="P123" i="116" s="1"/>
  <c r="AB122" i="116" a="1"/>
  <c r="AB122" i="116" s="1"/>
  <c r="X122" i="116" a="1"/>
  <c r="X122" i="116" s="1"/>
  <c r="T122" i="116" a="1"/>
  <c r="T122" i="116" s="1"/>
  <c r="P122" i="116" a="1"/>
  <c r="P122" i="116" s="1"/>
  <c r="AB121" i="116" a="1"/>
  <c r="AB121" i="116" s="1"/>
  <c r="X121" i="116" a="1"/>
  <c r="X121" i="116" s="1"/>
  <c r="T121" i="116" a="1"/>
  <c r="T121" i="116" s="1"/>
  <c r="P121" i="116" a="1"/>
  <c r="P121" i="116" s="1"/>
  <c r="AB120" i="116" a="1"/>
  <c r="AB120" i="116" s="1"/>
  <c r="AA120" i="116" a="1"/>
  <c r="AA120" i="116" s="1"/>
  <c r="Z120" i="116" a="1"/>
  <c r="Z120" i="116" s="1"/>
  <c r="Y120" i="116" a="1"/>
  <c r="Y120" i="116" s="1"/>
  <c r="X120" i="116" a="1"/>
  <c r="X120" i="116" s="1"/>
  <c r="W120" i="116" a="1"/>
  <c r="W120" i="116" s="1"/>
  <c r="V120" i="116" a="1"/>
  <c r="V120" i="116" s="1"/>
  <c r="U120" i="116" a="1"/>
  <c r="U120" i="116" s="1"/>
  <c r="T120" i="116" a="1"/>
  <c r="T120" i="116" s="1"/>
  <c r="S120" i="116" a="1"/>
  <c r="S120" i="116" s="1"/>
  <c r="R120" i="116" a="1"/>
  <c r="R120" i="116" s="1"/>
  <c r="Q120" i="116" a="1"/>
  <c r="Q120" i="116" s="1"/>
  <c r="P120" i="116" a="1"/>
  <c r="P120" i="116" s="1"/>
  <c r="O120" i="116" a="1"/>
  <c r="O120" i="116" s="1"/>
  <c r="N120" i="116" a="1"/>
  <c r="N120" i="116" s="1"/>
  <c r="M120" i="116" a="1"/>
  <c r="M120" i="116" s="1"/>
  <c r="E120" i="116" a="1"/>
  <c r="E120" i="116" s="1"/>
  <c r="D120" i="116" a="1"/>
  <c r="D120" i="116" s="1"/>
  <c r="H79" i="116" a="1"/>
  <c r="H79" i="116" s="1"/>
  <c r="F79" i="116" a="1"/>
  <c r="F79" i="116" s="1"/>
  <c r="E79" i="116" a="1"/>
  <c r="E79" i="116" s="1"/>
  <c r="D79" i="116" a="1"/>
  <c r="D79" i="116" s="1"/>
  <c r="E76" i="116" a="1"/>
  <c r="E76" i="116" s="1"/>
  <c r="E58" i="116" a="1"/>
  <c r="E58" i="116" s="1"/>
  <c r="E39" i="116" a="1"/>
  <c r="E39" i="116" s="1"/>
  <c r="G51" i="116" s="1" a="1"/>
  <c r="G51" i="116" s="1"/>
  <c r="I32" i="116" a="1"/>
  <c r="I32" i="116" s="1"/>
  <c r="I31" i="116" a="1"/>
  <c r="I31" i="116" s="1"/>
  <c r="I30" i="116" a="1"/>
  <c r="I30" i="116" s="1"/>
  <c r="I29" i="116" a="1"/>
  <c r="I29" i="116" s="1"/>
  <c r="I28" i="116" a="1"/>
  <c r="I28" i="116" s="1"/>
  <c r="I27" i="116" a="1"/>
  <c r="I27" i="116" s="1"/>
  <c r="I26" i="116" a="1"/>
  <c r="I26" i="116"/>
  <c r="I25" i="116" a="1"/>
  <c r="I25" i="116" s="1"/>
  <c r="J25" i="116" s="1" a="1"/>
  <c r="J25" i="116" s="1"/>
  <c r="I24" i="116" a="1"/>
  <c r="I24" i="116" s="1"/>
  <c r="I23" i="116" a="1"/>
  <c r="I23" i="116" s="1"/>
  <c r="J36" i="93" a="1"/>
  <c r="J36" i="93" s="1"/>
  <c r="G190" i="109" a="1"/>
  <c r="G190" i="109" s="1"/>
  <c r="G189" i="109" a="1"/>
  <c r="G189" i="109" s="1"/>
  <c r="G188" i="109" a="1"/>
  <c r="G188" i="109" s="1"/>
  <c r="G187" i="109" a="1"/>
  <c r="G187" i="109" s="1"/>
  <c r="G186" i="109" a="1"/>
  <c r="G186" i="109" s="1"/>
  <c r="J185" i="109" a="1"/>
  <c r="J185" i="109" s="1"/>
  <c r="G184" i="109" a="1"/>
  <c r="G184" i="109" s="1"/>
  <c r="G183" i="109" a="1"/>
  <c r="G183" i="109" s="1"/>
  <c r="G182" i="109" a="1"/>
  <c r="G182" i="109" s="1"/>
  <c r="G181" i="109" a="1"/>
  <c r="G181" i="109" s="1"/>
  <c r="G180" i="109" a="1"/>
  <c r="G180" i="109" s="1"/>
  <c r="J179" i="109" a="1"/>
  <c r="J179" i="109" s="1"/>
  <c r="J178" i="109" a="1"/>
  <c r="J178" i="109" s="1"/>
  <c r="G178" i="109" a="1"/>
  <c r="G178" i="109" s="1"/>
  <c r="J177" i="109" a="1"/>
  <c r="J177" i="109" s="1"/>
  <c r="G177" i="109" a="1"/>
  <c r="G177" i="109" s="1"/>
  <c r="J176" i="109" a="1"/>
  <c r="J176" i="109" s="1"/>
  <c r="G176" i="109" a="1"/>
  <c r="G176" i="109" s="1"/>
  <c r="J175" i="109" a="1"/>
  <c r="J175" i="109" s="1"/>
  <c r="G175" i="109" a="1"/>
  <c r="G175" i="109" s="1"/>
  <c r="J174" i="109" a="1"/>
  <c r="J174" i="109" s="1"/>
  <c r="G174" i="109" a="1"/>
  <c r="G174" i="109" s="1"/>
  <c r="J173" i="109" a="1"/>
  <c r="J173" i="109" s="1"/>
  <c r="G173" i="109" a="1"/>
  <c r="G173" i="109" s="1"/>
  <c r="G172" i="109" a="1"/>
  <c r="G172" i="109" s="1"/>
  <c r="G171" i="109" a="1"/>
  <c r="G171" i="109" s="1"/>
  <c r="G170" i="109" a="1"/>
  <c r="G170" i="109" s="1"/>
  <c r="G169" i="109" a="1"/>
  <c r="G169" i="109" s="1"/>
  <c r="J168" i="109" a="1"/>
  <c r="J168" i="109" s="1"/>
  <c r="J167" i="109" a="1"/>
  <c r="J167" i="109" s="1"/>
  <c r="G167" i="109" a="1"/>
  <c r="G167" i="109" s="1"/>
  <c r="J166" i="109" a="1"/>
  <c r="J166" i="109" s="1"/>
  <c r="G166" i="109" a="1"/>
  <c r="G166" i="109" s="1"/>
  <c r="J165" i="109" a="1"/>
  <c r="J165" i="109" s="1"/>
  <c r="G165" i="109" a="1"/>
  <c r="G165" i="109" s="1"/>
  <c r="J164" i="109" a="1"/>
  <c r="J164" i="109" s="1"/>
  <c r="G164" i="109" a="1"/>
  <c r="G164" i="109" s="1"/>
  <c r="J163" i="109" a="1"/>
  <c r="J163" i="109" s="1"/>
  <c r="G163" i="109" a="1"/>
  <c r="G163" i="109" s="1"/>
  <c r="J162" i="109" a="1"/>
  <c r="J162" i="109" s="1"/>
  <c r="G162" i="109" a="1"/>
  <c r="G162" i="109" s="1"/>
  <c r="J161" i="109" a="1"/>
  <c r="J161" i="109" s="1"/>
  <c r="G161" i="109" a="1"/>
  <c r="G161" i="109" s="1"/>
  <c r="J160" i="109" a="1"/>
  <c r="J160" i="109" s="1"/>
  <c r="G160" i="109" a="1"/>
  <c r="G160" i="109" s="1"/>
  <c r="J159" i="109" a="1"/>
  <c r="J159" i="109" s="1"/>
  <c r="G159" i="109" a="1"/>
  <c r="G159" i="109" s="1"/>
  <c r="J158" i="109" a="1"/>
  <c r="J158" i="109" s="1"/>
  <c r="G158" i="109" a="1"/>
  <c r="G158" i="109" s="1"/>
  <c r="J157" i="109" a="1"/>
  <c r="J157" i="109" s="1"/>
  <c r="G157" i="109" a="1"/>
  <c r="G157" i="109" s="1"/>
  <c r="E157" i="109" a="1"/>
  <c r="E157" i="109" s="1"/>
  <c r="D157" i="109" a="1"/>
  <c r="D157" i="109" s="1"/>
  <c r="G149" i="109" a="1"/>
  <c r="G149" i="109" s="1"/>
  <c r="G148" i="109" a="1"/>
  <c r="G148" i="109" s="1"/>
  <c r="G147" i="109" a="1"/>
  <c r="G147" i="109" s="1"/>
  <c r="G146" i="109" a="1"/>
  <c r="G146" i="109" s="1"/>
  <c r="G145" i="109" a="1"/>
  <c r="G145" i="109" s="1"/>
  <c r="J144" i="109" a="1"/>
  <c r="J144" i="109" s="1"/>
  <c r="G143" i="109" a="1"/>
  <c r="G143" i="109" s="1"/>
  <c r="G142" i="109" a="1"/>
  <c r="G142" i="109" s="1"/>
  <c r="G141" i="109" a="1"/>
  <c r="G141" i="109" s="1"/>
  <c r="G140" i="109" a="1"/>
  <c r="G140" i="109" s="1"/>
  <c r="G139" i="109" a="1"/>
  <c r="G139" i="109" s="1"/>
  <c r="J138" i="109" a="1"/>
  <c r="J138" i="109" s="1"/>
  <c r="J137" i="109" a="1"/>
  <c r="J137" i="109" s="1"/>
  <c r="G137" i="109" a="1"/>
  <c r="G137" i="109" s="1"/>
  <c r="J136" i="109" a="1"/>
  <c r="J136" i="109" s="1"/>
  <c r="G136" i="109" a="1"/>
  <c r="G136" i="109" s="1"/>
  <c r="J135" i="109" a="1"/>
  <c r="J135" i="109" s="1"/>
  <c r="G135" i="109" a="1"/>
  <c r="G135" i="109" s="1"/>
  <c r="J134" i="109" a="1"/>
  <c r="J134" i="109" s="1"/>
  <c r="G134" i="109" a="1"/>
  <c r="G134" i="109" s="1"/>
  <c r="J133" i="109" a="1"/>
  <c r="J133" i="109" s="1"/>
  <c r="G133" i="109" a="1"/>
  <c r="G133" i="109" s="1"/>
  <c r="J132" i="109" a="1"/>
  <c r="J132" i="109" s="1"/>
  <c r="G132" i="109" a="1"/>
  <c r="G132" i="109" s="1"/>
  <c r="G131" i="109" a="1"/>
  <c r="G131" i="109" s="1"/>
  <c r="G130" i="109" a="1"/>
  <c r="G130" i="109" s="1"/>
  <c r="G129" i="109" a="1"/>
  <c r="G129" i="109" s="1"/>
  <c r="G128" i="109" a="1"/>
  <c r="G128" i="109" s="1"/>
  <c r="J127" i="109" a="1"/>
  <c r="J127" i="109" s="1"/>
  <c r="J126" i="109" a="1"/>
  <c r="J126" i="109" s="1"/>
  <c r="G126" i="109" a="1"/>
  <c r="G126" i="109" s="1"/>
  <c r="J125" i="109" a="1"/>
  <c r="J125" i="109" s="1"/>
  <c r="G125" i="109" a="1"/>
  <c r="G125" i="109" s="1"/>
  <c r="J124" i="109" a="1"/>
  <c r="J124" i="109" s="1"/>
  <c r="G124" i="109" a="1"/>
  <c r="G124" i="109" s="1"/>
  <c r="J123" i="109" a="1"/>
  <c r="J123" i="109" s="1"/>
  <c r="G123" i="109" a="1"/>
  <c r="G123" i="109" s="1"/>
  <c r="J122" i="109" a="1"/>
  <c r="J122" i="109" s="1"/>
  <c r="G122" i="109" a="1"/>
  <c r="G122" i="109" s="1"/>
  <c r="J121" i="109" a="1"/>
  <c r="J121" i="109" s="1"/>
  <c r="G121" i="109" a="1"/>
  <c r="G121" i="109" s="1"/>
  <c r="J120" i="109" a="1"/>
  <c r="J120" i="109" s="1"/>
  <c r="G120" i="109" a="1"/>
  <c r="G120" i="109" s="1"/>
  <c r="J119" i="109" a="1"/>
  <c r="J119" i="109" s="1"/>
  <c r="G119" i="109" a="1"/>
  <c r="G119" i="109" s="1"/>
  <c r="J118" i="109" a="1"/>
  <c r="J118" i="109" s="1"/>
  <c r="G118" i="109" a="1"/>
  <c r="G118" i="109" s="1"/>
  <c r="J117" i="109" a="1"/>
  <c r="J117" i="109" s="1"/>
  <c r="G117" i="109" a="1"/>
  <c r="G117" i="109" s="1"/>
  <c r="J116" i="109" a="1"/>
  <c r="J116" i="109" s="1"/>
  <c r="G116" i="109" a="1"/>
  <c r="G116" i="109" s="1"/>
  <c r="E116" i="109" a="1"/>
  <c r="E116" i="109" s="1"/>
  <c r="D116" i="109" a="1"/>
  <c r="D116" i="109" s="1"/>
  <c r="H92" i="109" a="1"/>
  <c r="H92" i="109" s="1"/>
  <c r="G92" i="109" a="1"/>
  <c r="G92" i="109" s="1"/>
  <c r="H91" i="109" a="1"/>
  <c r="H91" i="109" s="1"/>
  <c r="G91" i="109" a="1"/>
  <c r="G91" i="109" s="1"/>
  <c r="H90" i="109" a="1"/>
  <c r="H90" i="109" s="1"/>
  <c r="G90" i="109" a="1"/>
  <c r="G90" i="109" s="1"/>
  <c r="H89" i="109" a="1"/>
  <c r="H89" i="109" s="1"/>
  <c r="G89" i="109" a="1"/>
  <c r="G89" i="109" s="1"/>
  <c r="H88" i="109" a="1"/>
  <c r="H88" i="109" s="1"/>
  <c r="G88" i="109" a="1"/>
  <c r="G88" i="109" s="1"/>
  <c r="H86" i="109" a="1"/>
  <c r="H86" i="109" s="1"/>
  <c r="G86" i="109" a="1"/>
  <c r="G86" i="109" s="1"/>
  <c r="H85" i="109" a="1"/>
  <c r="H85" i="109" s="1"/>
  <c r="G85" i="109" a="1"/>
  <c r="G85" i="109" s="1"/>
  <c r="H84" i="109" a="1"/>
  <c r="H84" i="109" s="1"/>
  <c r="G84" i="109" a="1"/>
  <c r="G84" i="109" s="1"/>
  <c r="H83" i="109" a="1"/>
  <c r="H83" i="109" s="1"/>
  <c r="G83" i="109" a="1"/>
  <c r="G83" i="109" s="1"/>
  <c r="H82" i="109" a="1"/>
  <c r="H82" i="109" s="1"/>
  <c r="G82" i="109" a="1"/>
  <c r="G82" i="109" s="1"/>
  <c r="H80" i="109" a="1"/>
  <c r="H80" i="109" s="1"/>
  <c r="G80" i="109" a="1"/>
  <c r="G80" i="109" s="1"/>
  <c r="H79" i="109" a="1"/>
  <c r="H79" i="109" s="1"/>
  <c r="G79" i="109" a="1"/>
  <c r="G79" i="109" s="1"/>
  <c r="H78" i="109" a="1"/>
  <c r="H78" i="109" s="1"/>
  <c r="G78" i="109" a="1"/>
  <c r="G78" i="109" s="1"/>
  <c r="H77" i="109" a="1"/>
  <c r="H77" i="109" s="1"/>
  <c r="G77" i="109" a="1"/>
  <c r="G77" i="109" s="1"/>
  <c r="H76" i="109" a="1"/>
  <c r="H76" i="109" s="1"/>
  <c r="G76" i="109" a="1"/>
  <c r="G76" i="109" s="1"/>
  <c r="H75" i="109" a="1"/>
  <c r="H75" i="109" s="1"/>
  <c r="G75" i="109" a="1"/>
  <c r="G75" i="109" s="1"/>
  <c r="H74" i="109" a="1"/>
  <c r="H74" i="109" s="1"/>
  <c r="G74" i="109" a="1"/>
  <c r="G74" i="109" s="1"/>
  <c r="H73" i="109" a="1"/>
  <c r="H73" i="109" s="1"/>
  <c r="G73" i="109" a="1"/>
  <c r="G73" i="109" s="1"/>
  <c r="H72" i="109" a="1"/>
  <c r="H72" i="109" s="1"/>
  <c r="G72" i="109" a="1"/>
  <c r="G72" i="109" s="1"/>
  <c r="H71" i="109" a="1"/>
  <c r="H71" i="109" s="1"/>
  <c r="G71" i="109" a="1"/>
  <c r="G71" i="109" s="1"/>
  <c r="H69" i="109" a="1"/>
  <c r="H69" i="109" s="1"/>
  <c r="G69" i="109" a="1"/>
  <c r="G69" i="109" s="1"/>
  <c r="H68" i="109" a="1"/>
  <c r="H68" i="109" s="1"/>
  <c r="G68" i="109" a="1"/>
  <c r="G68" i="109" s="1"/>
  <c r="H67" i="109" a="1"/>
  <c r="H67" i="109" s="1"/>
  <c r="G67" i="109" a="1"/>
  <c r="G67" i="109" s="1"/>
  <c r="H66" i="109" a="1"/>
  <c r="H66" i="109" s="1"/>
  <c r="G66" i="109" a="1"/>
  <c r="G66" i="109" s="1"/>
  <c r="H65" i="109" a="1"/>
  <c r="H65" i="109" s="1"/>
  <c r="G65" i="109" a="1"/>
  <c r="G65" i="109" s="1"/>
  <c r="H64" i="109" a="1"/>
  <c r="H64" i="109" s="1"/>
  <c r="G64" i="109" a="1"/>
  <c r="G64" i="109" s="1"/>
  <c r="H63" i="109" a="1"/>
  <c r="H63" i="109" s="1"/>
  <c r="G63" i="109" a="1"/>
  <c r="G63" i="109" s="1"/>
  <c r="H62" i="109" a="1"/>
  <c r="H62" i="109" s="1"/>
  <c r="G62" i="109" a="1"/>
  <c r="G62" i="109" s="1"/>
  <c r="H61" i="109" a="1"/>
  <c r="H61" i="109" s="1"/>
  <c r="G61" i="109" a="1"/>
  <c r="G61" i="109" s="1"/>
  <c r="H60" i="109" a="1"/>
  <c r="H60" i="109" s="1"/>
  <c r="G60" i="109" a="1"/>
  <c r="G60" i="109" s="1"/>
  <c r="H59" i="109" a="1"/>
  <c r="H59" i="109" s="1"/>
  <c r="G59" i="109" a="1"/>
  <c r="G59" i="109" s="1"/>
  <c r="E59" i="109" a="1"/>
  <c r="E59" i="109" s="1"/>
  <c r="D59" i="109" a="1"/>
  <c r="D59" i="109" s="1"/>
  <c r="H54" i="109" a="1"/>
  <c r="H54" i="109" s="1"/>
  <c r="G54" i="109" a="1"/>
  <c r="G54" i="109" s="1"/>
  <c r="H53" i="109" a="1"/>
  <c r="H53" i="109" s="1"/>
  <c r="G53" i="109" a="1"/>
  <c r="G53" i="109" s="1"/>
  <c r="H52" i="109" a="1"/>
  <c r="H52" i="109" s="1"/>
  <c r="G52" i="109" a="1"/>
  <c r="G52" i="109" s="1"/>
  <c r="H51" i="109" a="1"/>
  <c r="H51" i="109" s="1"/>
  <c r="G51" i="109" a="1"/>
  <c r="G51" i="109" s="1"/>
  <c r="H50" i="109" a="1"/>
  <c r="H50" i="109" s="1"/>
  <c r="G50" i="109" a="1"/>
  <c r="G50" i="109" s="1"/>
  <c r="H48" i="109" a="1"/>
  <c r="H48" i="109" s="1"/>
  <c r="G48" i="109" a="1"/>
  <c r="G48" i="109" s="1"/>
  <c r="H47" i="109" a="1"/>
  <c r="H47" i="109" s="1"/>
  <c r="G47" i="109" a="1"/>
  <c r="G47" i="109" s="1"/>
  <c r="H46" i="109" a="1"/>
  <c r="H46" i="109" s="1"/>
  <c r="G46" i="109" a="1"/>
  <c r="G46" i="109" s="1"/>
  <c r="H45" i="109" a="1"/>
  <c r="H45" i="109" s="1"/>
  <c r="G45" i="109" a="1"/>
  <c r="G45" i="109" s="1"/>
  <c r="H44" i="109" a="1"/>
  <c r="H44" i="109" s="1"/>
  <c r="G44" i="109" a="1"/>
  <c r="G44" i="109" s="1"/>
  <c r="H42" i="109" a="1"/>
  <c r="H42" i="109" s="1"/>
  <c r="G42" i="109" a="1"/>
  <c r="G42" i="109" s="1"/>
  <c r="H41" i="109" a="1"/>
  <c r="H41" i="109" s="1"/>
  <c r="G41" i="109" a="1"/>
  <c r="G41" i="109" s="1"/>
  <c r="H40" i="109" a="1"/>
  <c r="H40" i="109" s="1"/>
  <c r="G40" i="109" a="1"/>
  <c r="G40" i="109" s="1"/>
  <c r="H39" i="109" a="1"/>
  <c r="H39" i="109" s="1"/>
  <c r="G39" i="109" a="1"/>
  <c r="G39" i="109" s="1"/>
  <c r="H38" i="109" a="1"/>
  <c r="H38" i="109" s="1"/>
  <c r="G38" i="109" a="1"/>
  <c r="G38" i="109" s="1"/>
  <c r="H37" i="109" a="1"/>
  <c r="H37" i="109" s="1"/>
  <c r="G37" i="109" a="1"/>
  <c r="G37" i="109" s="1"/>
  <c r="H36" i="109" a="1"/>
  <c r="H36" i="109" s="1"/>
  <c r="G36" i="109" a="1"/>
  <c r="G36" i="109" s="1"/>
  <c r="H35" i="109" a="1"/>
  <c r="H35" i="109" s="1"/>
  <c r="G35" i="109" a="1"/>
  <c r="G35" i="109" s="1"/>
  <c r="H34" i="109" a="1"/>
  <c r="H34" i="109" s="1"/>
  <c r="G34" i="109" a="1"/>
  <c r="G34" i="109" s="1"/>
  <c r="H33" i="109" a="1"/>
  <c r="H33" i="109" s="1"/>
  <c r="G33" i="109" a="1"/>
  <c r="G33" i="109" s="1"/>
  <c r="H31" i="109" a="1"/>
  <c r="H31" i="109" s="1"/>
  <c r="G31" i="109" a="1"/>
  <c r="G31" i="109" s="1"/>
  <c r="H30" i="109" a="1"/>
  <c r="H30" i="109" s="1"/>
  <c r="G30" i="109" a="1"/>
  <c r="G30" i="109" s="1"/>
  <c r="H29" i="109" a="1"/>
  <c r="H29" i="109" s="1"/>
  <c r="G29" i="109" a="1"/>
  <c r="G29" i="109" s="1"/>
  <c r="H28" i="109" a="1"/>
  <c r="H28" i="109" s="1"/>
  <c r="G28" i="109" a="1"/>
  <c r="G28" i="109" s="1"/>
  <c r="H27" i="109" a="1"/>
  <c r="H27" i="109" s="1"/>
  <c r="G27" i="109" a="1"/>
  <c r="G27" i="109" s="1"/>
  <c r="H26" i="109" a="1"/>
  <c r="H26" i="109" s="1"/>
  <c r="G26" i="109" a="1"/>
  <c r="G26" i="109" s="1"/>
  <c r="H25" i="109" a="1"/>
  <c r="H25" i="109" s="1"/>
  <c r="G25" i="109" a="1"/>
  <c r="G25" i="109" s="1"/>
  <c r="H24" i="109" a="1"/>
  <c r="H24" i="109" s="1"/>
  <c r="G24" i="109" a="1"/>
  <c r="G24" i="109" s="1"/>
  <c r="H23" i="109" a="1"/>
  <c r="H23" i="109" s="1"/>
  <c r="G23" i="109" a="1"/>
  <c r="G23" i="109" s="1"/>
  <c r="H22" i="109" a="1"/>
  <c r="H22" i="109" s="1"/>
  <c r="G22" i="109" a="1"/>
  <c r="G22" i="109" s="1"/>
  <c r="H21" i="109" a="1"/>
  <c r="H21" i="109" s="1"/>
  <c r="G21" i="109" a="1"/>
  <c r="G21" i="109" s="1"/>
  <c r="E21" i="109" a="1"/>
  <c r="E21" i="109" s="1"/>
  <c r="D21" i="109" a="1"/>
  <c r="D21" i="109" s="1"/>
  <c r="M40" i="97" a="1"/>
  <c r="M40" i="97" s="1"/>
  <c r="L40" i="97" a="1"/>
  <c r="L40" i="97" s="1"/>
  <c r="J40" i="97"/>
  <c r="I40" i="97"/>
  <c r="H40" i="97"/>
  <c r="G40" i="97"/>
  <c r="F40" i="97"/>
  <c r="E40" i="97"/>
  <c r="M39" i="97" a="1"/>
  <c r="M39" i="97" s="1"/>
  <c r="L39" i="97" a="1"/>
  <c r="L39" i="97" s="1"/>
  <c r="J39" i="97"/>
  <c r="I39" i="97"/>
  <c r="H39" i="97"/>
  <c r="G39" i="97"/>
  <c r="F39" i="97"/>
  <c r="E39" i="97"/>
  <c r="M38" i="97" a="1"/>
  <c r="M38" i="97" s="1"/>
  <c r="L38" i="97" a="1"/>
  <c r="L38" i="97" s="1"/>
  <c r="K38" i="97"/>
  <c r="J38" i="97"/>
  <c r="I38" i="97"/>
  <c r="H38" i="97"/>
  <c r="G38" i="97"/>
  <c r="F38" i="97"/>
  <c r="E38" i="97"/>
  <c r="M37" i="97" a="1"/>
  <c r="M37" i="97" s="1"/>
  <c r="L37" i="97" a="1"/>
  <c r="L37" i="97" s="1"/>
  <c r="K37" i="97"/>
  <c r="J37" i="97"/>
  <c r="I37" i="97"/>
  <c r="H37" i="97"/>
  <c r="G37" i="97"/>
  <c r="F37" i="97"/>
  <c r="E37" i="97"/>
  <c r="M36" i="97" a="1"/>
  <c r="M36" i="97" s="1"/>
  <c r="L36" i="97" a="1"/>
  <c r="L36" i="97" s="1"/>
  <c r="K36" i="97"/>
  <c r="J36" i="97"/>
  <c r="I36" i="97"/>
  <c r="H36" i="97"/>
  <c r="G36" i="97"/>
  <c r="F36" i="97"/>
  <c r="E36" i="97"/>
  <c r="M35" i="97" a="1"/>
  <c r="M35" i="97" s="1"/>
  <c r="L35" i="97" a="1"/>
  <c r="L35" i="97" s="1"/>
  <c r="K35" i="97"/>
  <c r="J35" i="97"/>
  <c r="I35" i="97"/>
  <c r="H35" i="97"/>
  <c r="G35" i="97"/>
  <c r="F35" i="97"/>
  <c r="E35" i="97"/>
  <c r="M34" i="97" a="1"/>
  <c r="M34" i="97" s="1"/>
  <c r="L34" i="97" a="1"/>
  <c r="L34" i="97" s="1"/>
  <c r="K34" i="97"/>
  <c r="J34" i="97"/>
  <c r="I34" i="97"/>
  <c r="H34" i="97"/>
  <c r="G34" i="97"/>
  <c r="F34" i="97"/>
  <c r="E34" i="97"/>
  <c r="M33" i="97" a="1"/>
  <c r="M33" i="97" s="1"/>
  <c r="L33" i="97" a="1"/>
  <c r="L33" i="97" s="1"/>
  <c r="K33" i="97"/>
  <c r="J33" i="97"/>
  <c r="I33" i="97"/>
  <c r="H33" i="97"/>
  <c r="G33" i="97"/>
  <c r="F33" i="97"/>
  <c r="E33" i="97"/>
  <c r="M32" i="97" a="1"/>
  <c r="M32" i="97" s="1"/>
  <c r="L32" i="97" a="1"/>
  <c r="L32" i="97" s="1"/>
  <c r="K32" i="97"/>
  <c r="J32" i="97"/>
  <c r="I32" i="97"/>
  <c r="H32" i="97"/>
  <c r="G32" i="97"/>
  <c r="F32" i="97"/>
  <c r="E32" i="97"/>
  <c r="D32" i="97"/>
  <c r="M31" i="97" a="1"/>
  <c r="M31" i="97" s="1"/>
  <c r="L31" i="97" a="1"/>
  <c r="L31" i="97" s="1"/>
  <c r="K31" i="97"/>
  <c r="J31" i="97"/>
  <c r="I31" i="97"/>
  <c r="H31" i="97"/>
  <c r="G31" i="97"/>
  <c r="F31" i="97"/>
  <c r="E31" i="97"/>
  <c r="M30" i="97" a="1"/>
  <c r="M30" i="97" s="1"/>
  <c r="L30" i="97" a="1"/>
  <c r="L30" i="97" s="1"/>
  <c r="K30" i="97"/>
  <c r="J30" i="97"/>
  <c r="I30" i="97"/>
  <c r="H30" i="97"/>
  <c r="G30" i="97"/>
  <c r="F30" i="97"/>
  <c r="E30" i="97"/>
  <c r="M29" i="97" a="1"/>
  <c r="M29" i="97" s="1"/>
  <c r="L29" i="97" a="1"/>
  <c r="L29" i="97" s="1"/>
  <c r="K29" i="97"/>
  <c r="J29" i="97"/>
  <c r="I29" i="97"/>
  <c r="H29" i="97"/>
  <c r="G29" i="97"/>
  <c r="F29" i="97"/>
  <c r="E29" i="97"/>
  <c r="M28" i="97" a="1"/>
  <c r="M28" i="97" s="1"/>
  <c r="L28" i="97" a="1"/>
  <c r="L28" i="97" s="1"/>
  <c r="K28" i="97"/>
  <c r="J28" i="97"/>
  <c r="I28" i="97"/>
  <c r="H28" i="97"/>
  <c r="G28" i="97"/>
  <c r="F28" i="97"/>
  <c r="E28" i="97"/>
  <c r="M27" i="97" a="1"/>
  <c r="M27" i="97" s="1"/>
  <c r="L27" i="97" a="1"/>
  <c r="L27" i="97" s="1"/>
  <c r="K27" i="97"/>
  <c r="J27" i="97"/>
  <c r="I27" i="97"/>
  <c r="H27" i="97"/>
  <c r="G27" i="97"/>
  <c r="F27" i="97"/>
  <c r="E27" i="97"/>
  <c r="M26" i="97" a="1"/>
  <c r="M26" i="97" s="1"/>
  <c r="L26" i="97" a="1"/>
  <c r="L26" i="97" s="1"/>
  <c r="K26" i="97"/>
  <c r="J26" i="97"/>
  <c r="I26" i="97"/>
  <c r="H26" i="97"/>
  <c r="G26" i="97"/>
  <c r="F26" i="97"/>
  <c r="E26" i="97"/>
  <c r="M25" i="97" a="1"/>
  <c r="M25" i="97" s="1"/>
  <c r="L25" i="97" a="1"/>
  <c r="L25" i="97" s="1"/>
  <c r="K25" i="97"/>
  <c r="J25" i="97"/>
  <c r="I25" i="97"/>
  <c r="H25" i="97"/>
  <c r="G25" i="97"/>
  <c r="F25" i="97"/>
  <c r="E25" i="97"/>
  <c r="D25" i="97"/>
  <c r="M39" i="96" a="1"/>
  <c r="M39" i="96" s="1"/>
  <c r="L39" i="96" a="1"/>
  <c r="L39" i="96" s="1"/>
  <c r="K39" i="96" a="1"/>
  <c r="K39" i="96" s="1"/>
  <c r="J39" i="96" a="1"/>
  <c r="J39" i="96" s="1"/>
  <c r="I39" i="96" a="1"/>
  <c r="I39" i="96" s="1"/>
  <c r="H39" i="96" a="1"/>
  <c r="H39" i="96" s="1"/>
  <c r="G39" i="96" a="1"/>
  <c r="G39" i="96" s="1"/>
  <c r="F39" i="96"/>
  <c r="E39" i="96"/>
  <c r="M38" i="96" a="1"/>
  <c r="M38" i="96" s="1"/>
  <c r="L38" i="96" a="1"/>
  <c r="L38" i="96" s="1"/>
  <c r="K38" i="96" a="1"/>
  <c r="K38" i="96" s="1"/>
  <c r="J38" i="96" a="1"/>
  <c r="J38" i="96" s="1"/>
  <c r="I38" i="96" a="1"/>
  <c r="I38" i="96" s="1"/>
  <c r="H38" i="96" a="1"/>
  <c r="H38" i="96" s="1"/>
  <c r="G38" i="96" a="1"/>
  <c r="G38" i="96" s="1"/>
  <c r="F38" i="96"/>
  <c r="E38" i="96"/>
  <c r="M37" i="96" a="1"/>
  <c r="M37" i="96" s="1"/>
  <c r="L37" i="96" a="1"/>
  <c r="L37" i="96" s="1"/>
  <c r="K37" i="96" a="1"/>
  <c r="K37" i="96" s="1"/>
  <c r="J37" i="96" a="1"/>
  <c r="J37" i="96" s="1"/>
  <c r="I37" i="96" a="1"/>
  <c r="I37" i="96" s="1"/>
  <c r="H37" i="96" a="1"/>
  <c r="H37" i="96" s="1"/>
  <c r="G37" i="96" a="1"/>
  <c r="G37" i="96" s="1"/>
  <c r="F37" i="96"/>
  <c r="E37" i="96"/>
  <c r="D37" i="96"/>
  <c r="M36" i="96" a="1"/>
  <c r="M36" i="96" s="1"/>
  <c r="L36" i="96" a="1"/>
  <c r="L36" i="96" s="1"/>
  <c r="K36" i="96" a="1"/>
  <c r="K36" i="96" s="1"/>
  <c r="J36" i="96" a="1"/>
  <c r="J36" i="96" s="1"/>
  <c r="I36" i="96" a="1"/>
  <c r="I36" i="96" s="1"/>
  <c r="H36" i="96" a="1"/>
  <c r="H36" i="96" s="1"/>
  <c r="G36" i="96" a="1"/>
  <c r="G36" i="96" s="1"/>
  <c r="F36" i="96"/>
  <c r="E36" i="96"/>
  <c r="M35" i="96" a="1"/>
  <c r="M35" i="96" s="1"/>
  <c r="L35" i="96" a="1"/>
  <c r="L35" i="96" s="1"/>
  <c r="K35" i="96" a="1"/>
  <c r="K35" i="96" s="1"/>
  <c r="J35" i="96" a="1"/>
  <c r="J35" i="96" s="1"/>
  <c r="I35" i="96" a="1"/>
  <c r="I35" i="96" s="1"/>
  <c r="H35" i="96" a="1"/>
  <c r="H35" i="96" s="1"/>
  <c r="G35" i="96" a="1"/>
  <c r="G35" i="96" s="1"/>
  <c r="F35" i="96"/>
  <c r="E35" i="96"/>
  <c r="M34" i="96" a="1"/>
  <c r="M34" i="96" s="1"/>
  <c r="L34" i="96" a="1"/>
  <c r="L34" i="96" s="1"/>
  <c r="K34" i="96" a="1"/>
  <c r="K34" i="96" s="1"/>
  <c r="J34" i="96" a="1"/>
  <c r="J34" i="96" s="1"/>
  <c r="I34" i="96" a="1"/>
  <c r="I34" i="96" s="1"/>
  <c r="H34" i="96" a="1"/>
  <c r="H34" i="96" s="1"/>
  <c r="G34" i="96" a="1"/>
  <c r="G34" i="96" s="1"/>
  <c r="F34" i="96"/>
  <c r="E34" i="96"/>
  <c r="D34" i="96"/>
  <c r="M33" i="96" a="1"/>
  <c r="M33" i="96" s="1"/>
  <c r="L33" i="96" a="1"/>
  <c r="L33" i="96" s="1"/>
  <c r="K33" i="96" a="1"/>
  <c r="K33" i="96" s="1"/>
  <c r="J33" i="96" a="1"/>
  <c r="J33" i="96" s="1"/>
  <c r="I33" i="96" a="1"/>
  <c r="I33" i="96" s="1"/>
  <c r="H33" i="96" a="1"/>
  <c r="H33" i="96" s="1"/>
  <c r="G33" i="96" a="1"/>
  <c r="G33" i="96" s="1"/>
  <c r="F33" i="96"/>
  <c r="E33" i="96"/>
  <c r="D33" i="96"/>
  <c r="M32" i="96" a="1"/>
  <c r="M32" i="96" s="1"/>
  <c r="L32" i="96" a="1"/>
  <c r="L32" i="96" s="1"/>
  <c r="K32" i="96" a="1"/>
  <c r="K32" i="96" s="1"/>
  <c r="J32" i="96" a="1"/>
  <c r="J32" i="96" s="1"/>
  <c r="I32" i="96" a="1"/>
  <c r="I32" i="96" s="1"/>
  <c r="H32" i="96" a="1"/>
  <c r="H32" i="96" s="1"/>
  <c r="G32" i="96" a="1"/>
  <c r="G32" i="96" s="1"/>
  <c r="F32" i="96"/>
  <c r="E32" i="96"/>
  <c r="M31" i="96" a="1"/>
  <c r="M31" i="96" s="1"/>
  <c r="L31" i="96" a="1"/>
  <c r="L31" i="96" s="1"/>
  <c r="K31" i="96" a="1"/>
  <c r="K31" i="96" s="1"/>
  <c r="J31" i="96" a="1"/>
  <c r="J31" i="96" s="1"/>
  <c r="I31" i="96" a="1"/>
  <c r="I31" i="96" s="1"/>
  <c r="H31" i="96" a="1"/>
  <c r="H31" i="96" s="1"/>
  <c r="G31" i="96" a="1"/>
  <c r="G31" i="96" s="1"/>
  <c r="F31" i="96"/>
  <c r="E31" i="96"/>
  <c r="M30" i="96" a="1"/>
  <c r="M30" i="96" s="1"/>
  <c r="L30" i="96" a="1"/>
  <c r="L30" i="96" s="1"/>
  <c r="K30" i="96" a="1"/>
  <c r="K30" i="96" s="1"/>
  <c r="J30" i="96" a="1"/>
  <c r="J30" i="96" s="1"/>
  <c r="I30" i="96" a="1"/>
  <c r="I30" i="96" s="1"/>
  <c r="H30" i="96" a="1"/>
  <c r="H30" i="96" s="1"/>
  <c r="G30" i="96" a="1"/>
  <c r="G30" i="96" s="1"/>
  <c r="F30" i="96"/>
  <c r="E30" i="96"/>
  <c r="M29" i="96" a="1"/>
  <c r="M29" i="96" s="1"/>
  <c r="L29" i="96" a="1"/>
  <c r="L29" i="96" s="1"/>
  <c r="K29" i="96" a="1"/>
  <c r="K29" i="96" s="1"/>
  <c r="J29" i="96" a="1"/>
  <c r="J29" i="96" s="1"/>
  <c r="I29" i="96" a="1"/>
  <c r="I29" i="96" s="1"/>
  <c r="H29" i="96" a="1"/>
  <c r="H29" i="96" s="1"/>
  <c r="G29" i="96" a="1"/>
  <c r="G29" i="96" s="1"/>
  <c r="F29" i="96"/>
  <c r="E29" i="96"/>
  <c r="M28" i="96" a="1"/>
  <c r="M28" i="96" s="1"/>
  <c r="L28" i="96" a="1"/>
  <c r="L28" i="96" s="1"/>
  <c r="K28" i="96" a="1"/>
  <c r="K28" i="96" s="1"/>
  <c r="J28" i="96" a="1"/>
  <c r="J28" i="96" s="1"/>
  <c r="I28" i="96" a="1"/>
  <c r="I28" i="96" s="1"/>
  <c r="H28" i="96" a="1"/>
  <c r="H28" i="96" s="1"/>
  <c r="G28" i="96" a="1"/>
  <c r="G28" i="96" s="1"/>
  <c r="F28" i="96"/>
  <c r="E28" i="96"/>
  <c r="M27" i="96" a="1"/>
  <c r="M27" i="96" s="1"/>
  <c r="L27" i="96" a="1"/>
  <c r="L27" i="96" s="1"/>
  <c r="K27" i="96" a="1"/>
  <c r="K27" i="96" s="1"/>
  <c r="J27" i="96" a="1"/>
  <c r="J27" i="96" s="1"/>
  <c r="I27" i="96" a="1"/>
  <c r="I27" i="96" s="1"/>
  <c r="H27" i="96" a="1"/>
  <c r="H27" i="96" s="1"/>
  <c r="G27" i="96" a="1"/>
  <c r="G27" i="96" s="1"/>
  <c r="F27" i="96"/>
  <c r="E27" i="96"/>
  <c r="M26" i="96" a="1"/>
  <c r="M26" i="96" s="1"/>
  <c r="L26" i="96" a="1"/>
  <c r="L26" i="96" s="1"/>
  <c r="K26" i="96" a="1"/>
  <c r="K26" i="96" s="1"/>
  <c r="J26" i="96" a="1"/>
  <c r="J26" i="96" s="1"/>
  <c r="I26" i="96" a="1"/>
  <c r="I26" i="96" s="1"/>
  <c r="H26" i="96" a="1"/>
  <c r="H26" i="96" s="1"/>
  <c r="G26" i="96" a="1"/>
  <c r="G26" i="96" s="1"/>
  <c r="F26" i="96"/>
  <c r="E26" i="96"/>
  <c r="M25" i="96" a="1"/>
  <c r="M25" i="96" s="1"/>
  <c r="L25" i="96" a="1"/>
  <c r="L25" i="96" s="1"/>
  <c r="K25" i="96" a="1"/>
  <c r="K25" i="96" s="1"/>
  <c r="J25" i="96" a="1"/>
  <c r="J25" i="96" s="1"/>
  <c r="I25" i="96" a="1"/>
  <c r="I25" i="96" s="1"/>
  <c r="H25" i="96" a="1"/>
  <c r="H25" i="96" s="1"/>
  <c r="G25" i="96" a="1"/>
  <c r="G25" i="96" s="1"/>
  <c r="F25" i="96"/>
  <c r="E25" i="96"/>
  <c r="D25" i="96"/>
  <c r="Q50" i="90"/>
  <c r="G50" i="90"/>
  <c r="J45" i="90"/>
  <c r="J44" i="90"/>
  <c r="P48" i="89"/>
  <c r="G48" i="89"/>
  <c r="I40" i="89"/>
  <c r="Q30" i="88"/>
  <c r="G30" i="88"/>
  <c r="I15" i="88"/>
  <c r="E62" i="87" a="1"/>
  <c r="E62" i="87" s="1"/>
  <c r="D62" i="87"/>
  <c r="E61" i="87" a="1"/>
  <c r="E61" i="87" s="1"/>
  <c r="D61" i="87"/>
  <c r="E60" i="87" a="1"/>
  <c r="E60" i="87" s="1"/>
  <c r="D60" i="87"/>
  <c r="E59" i="87" a="1"/>
  <c r="E59" i="87" s="1"/>
  <c r="D59" i="87"/>
  <c r="E58" i="87" a="1"/>
  <c r="E58" i="87" s="1"/>
  <c r="D58" i="87"/>
  <c r="E57" i="87" a="1"/>
  <c r="E57" i="87" s="1"/>
  <c r="D57" i="87"/>
  <c r="E56" i="87" a="1"/>
  <c r="E56" i="87" s="1"/>
  <c r="D56" i="87"/>
  <c r="E55" i="87" a="1"/>
  <c r="E55" i="87" s="1"/>
  <c r="D55" i="87"/>
  <c r="E54" i="87" a="1"/>
  <c r="E54" i="87" s="1"/>
  <c r="D54" i="87"/>
  <c r="E49" i="87" a="1"/>
  <c r="E49" i="87" s="1"/>
  <c r="D49" i="87"/>
  <c r="E48" i="87" a="1"/>
  <c r="E48" i="87" s="1"/>
  <c r="D48" i="87"/>
  <c r="E47" i="87" a="1"/>
  <c r="E47" i="87" s="1"/>
  <c r="D47" i="87"/>
  <c r="E46" i="87" a="1"/>
  <c r="E46" i="87" s="1"/>
  <c r="D46" i="87"/>
  <c r="E45" i="87" a="1"/>
  <c r="E45" i="87" s="1"/>
  <c r="D45" i="87"/>
  <c r="E44" i="87" a="1"/>
  <c r="E44" i="87" s="1"/>
  <c r="D44" i="87"/>
  <c r="E43" i="87" a="1"/>
  <c r="E43" i="87" s="1"/>
  <c r="D43" i="87"/>
  <c r="E42" i="87" a="1"/>
  <c r="E42" i="87" s="1"/>
  <c r="D42" i="87"/>
  <c r="E41" i="87" a="1"/>
  <c r="E41" i="87" s="1"/>
  <c r="D41" i="87"/>
  <c r="Q62" i="86"/>
  <c r="G62" i="86"/>
  <c r="I50" i="86"/>
  <c r="I49" i="86"/>
  <c r="Q99" i="85"/>
  <c r="G99" i="85"/>
  <c r="I91" i="85"/>
  <c r="E52" i="85" a="1"/>
  <c r="E52" i="85" s="1"/>
  <c r="D52" i="85"/>
  <c r="E51" i="85" a="1"/>
  <c r="E51" i="85" s="1"/>
  <c r="D51" i="85"/>
  <c r="E50" i="85" a="1"/>
  <c r="E50" i="85" s="1"/>
  <c r="D50" i="85"/>
  <c r="E49" i="85" a="1"/>
  <c r="E49" i="85" s="1"/>
  <c r="D49" i="85"/>
  <c r="E48" i="85" a="1"/>
  <c r="E48" i="85" s="1"/>
  <c r="D48" i="85"/>
  <c r="E47" i="85" a="1"/>
  <c r="E47" i="85" s="1"/>
  <c r="D47" i="85"/>
  <c r="E46" i="85" a="1"/>
  <c r="E46" i="85" s="1"/>
  <c r="D46" i="85"/>
  <c r="E45" i="85" a="1"/>
  <c r="E45" i="85" s="1"/>
  <c r="D45" i="85"/>
  <c r="Q248" i="84"/>
  <c r="G248" i="84"/>
  <c r="I217" i="84"/>
  <c r="E145" i="84" a="1"/>
  <c r="E145" i="84" s="1"/>
  <c r="D145" i="84"/>
  <c r="E144" i="84" a="1"/>
  <c r="E144" i="84" s="1"/>
  <c r="D144" i="84"/>
  <c r="E143" i="84" a="1"/>
  <c r="E143" i="84" s="1"/>
  <c r="D143" i="84"/>
  <c r="E142" i="84" a="1"/>
  <c r="E142" i="84" s="1"/>
  <c r="D142" i="84"/>
  <c r="E141" i="84" a="1"/>
  <c r="E141" i="84" s="1"/>
  <c r="D141" i="84"/>
  <c r="E140" i="84" a="1"/>
  <c r="E140" i="84" s="1"/>
  <c r="D140" i="84"/>
  <c r="E139" i="84" a="1"/>
  <c r="E139" i="84" s="1"/>
  <c r="D139" i="84"/>
  <c r="E138" i="84" a="1"/>
  <c r="E138" i="84" s="1"/>
  <c r="D138" i="84"/>
  <c r="G48" i="84"/>
  <c r="F48" i="84"/>
  <c r="E48" i="84"/>
  <c r="D48" i="84"/>
  <c r="Q225" i="83"/>
  <c r="G225" i="83"/>
  <c r="N81" i="83"/>
  <c r="D81" i="83"/>
  <c r="N80" i="83"/>
  <c r="E80" i="83"/>
  <c r="D80" i="83"/>
  <c r="N79" i="83"/>
  <c r="D79" i="83"/>
  <c r="N78" i="83"/>
  <c r="D78" i="83"/>
  <c r="N77" i="83"/>
  <c r="D77" i="83"/>
  <c r="N76" i="83"/>
  <c r="E76" i="83"/>
  <c r="D76" i="83"/>
  <c r="N75" i="83"/>
  <c r="E75" i="83"/>
  <c r="D75" i="83"/>
  <c r="N74" i="83"/>
  <c r="D74" i="83"/>
  <c r="N73" i="83"/>
  <c r="D73" i="83"/>
  <c r="G68" i="83"/>
  <c r="F68" i="83"/>
  <c r="E68" i="83"/>
  <c r="D68" i="83"/>
  <c r="G30" i="83"/>
  <c r="F30" i="83"/>
  <c r="E30" i="83"/>
  <c r="D30" i="83"/>
  <c r="D48" i="113"/>
  <c r="D47" i="113"/>
  <c r="D12" i="113" a="1"/>
  <c r="D12" i="113" s="1"/>
  <c r="D7" i="113" a="1"/>
  <c r="D7" i="113" s="1"/>
  <c r="J21" i="95" a="1"/>
  <c r="J21" i="95" s="1"/>
  <c r="G21" i="95" a="1"/>
  <c r="G21" i="95" s="1"/>
  <c r="I21" i="95" s="1"/>
  <c r="J20" i="95" a="1"/>
  <c r="J20" i="95" s="1"/>
  <c r="G20" i="95" a="1"/>
  <c r="G20" i="95" s="1"/>
  <c r="J19" i="95" a="1"/>
  <c r="J19" i="95" s="1"/>
  <c r="G19" i="95" a="1"/>
  <c r="G19" i="95" s="1"/>
  <c r="I19" i="95" s="1"/>
  <c r="J18" i="95" a="1"/>
  <c r="J18" i="95" s="1"/>
  <c r="G18" i="95" a="1"/>
  <c r="G18" i="95" s="1"/>
  <c r="J17" i="95" a="1"/>
  <c r="J17" i="95" s="1"/>
  <c r="G17" i="95" a="1"/>
  <c r="G17" i="95" s="1"/>
  <c r="G16" i="111" a="1"/>
  <c r="G16" i="111" s="1"/>
  <c r="G15" i="111" a="1"/>
  <c r="G15" i="111" s="1"/>
  <c r="G14" i="111" a="1"/>
  <c r="G14" i="111" s="1"/>
  <c r="G13" i="111" a="1"/>
  <c r="G13" i="111" s="1"/>
  <c r="G12" i="111" a="1"/>
  <c r="G12" i="111" s="1"/>
  <c r="G11" i="111" a="1"/>
  <c r="G11" i="111" s="1"/>
  <c r="G10" i="111" a="1"/>
  <c r="G10" i="111" s="1"/>
  <c r="G9" i="111" a="1"/>
  <c r="G9" i="111" s="1"/>
  <c r="G8" i="111" a="1"/>
  <c r="G8" i="111" s="1"/>
  <c r="G7" i="111" a="1"/>
  <c r="G7" i="111" s="1"/>
  <c r="D56" i="82"/>
  <c r="D55" i="82"/>
  <c r="D54" i="82"/>
  <c r="D53" i="82"/>
  <c r="D52" i="82"/>
  <c r="D49" i="82"/>
  <c r="D48" i="82"/>
  <c r="D47" i="82"/>
  <c r="D46" i="82"/>
  <c r="D45" i="82"/>
  <c r="D42" i="82"/>
  <c r="D41" i="82"/>
  <c r="D40" i="82"/>
  <c r="D39" i="82"/>
  <c r="D38" i="82"/>
  <c r="D33" i="82"/>
  <c r="D32" i="82"/>
  <c r="D31" i="82"/>
  <c r="D30" i="82"/>
  <c r="H23" i="82"/>
  <c r="G23" i="82"/>
  <c r="F23" i="82"/>
  <c r="E23" i="82"/>
  <c r="H22" i="82"/>
  <c r="G22" i="82"/>
  <c r="F22" i="82"/>
  <c r="E22" i="82"/>
  <c r="H21" i="82"/>
  <c r="G21" i="82"/>
  <c r="F21" i="82"/>
  <c r="E21" i="82"/>
  <c r="H18" i="82"/>
  <c r="G18" i="82"/>
  <c r="F18" i="82"/>
  <c r="E18" i="82"/>
  <c r="H17" i="82"/>
  <c r="G17" i="82"/>
  <c r="F17" i="82"/>
  <c r="E17" i="82"/>
  <c r="H16" i="82"/>
  <c r="G16" i="82"/>
  <c r="F16" i="82"/>
  <c r="E16" i="82"/>
  <c r="F27" i="119" a="1"/>
  <c r="F27" i="119" s="1"/>
  <c r="E27" i="119" a="1"/>
  <c r="E27" i="119" s="1"/>
  <c r="D27" i="119" a="1"/>
  <c r="D27" i="119" s="1"/>
  <c r="F26" i="119" a="1"/>
  <c r="F26" i="119" s="1"/>
  <c r="E26" i="119" a="1"/>
  <c r="E26" i="119" s="1"/>
  <c r="D26" i="119" a="1"/>
  <c r="D26" i="119" s="1"/>
  <c r="F25" i="119" a="1"/>
  <c r="F25" i="119" s="1"/>
  <c r="E25" i="119" a="1"/>
  <c r="E25" i="119" s="1"/>
  <c r="D25" i="119" a="1"/>
  <c r="D25" i="119" s="1"/>
  <c r="F24" i="119" a="1"/>
  <c r="F24" i="119" s="1"/>
  <c r="E24" i="119" a="1"/>
  <c r="E24" i="119" s="1"/>
  <c r="D24" i="119" a="1"/>
  <c r="D24" i="119" s="1"/>
  <c r="F23" i="119" a="1"/>
  <c r="F23" i="119" s="1"/>
  <c r="E23" i="119" a="1"/>
  <c r="E23" i="119" s="1"/>
  <c r="D23" i="119" a="1"/>
  <c r="D23" i="119" s="1"/>
  <c r="F22" i="119" a="1"/>
  <c r="F22" i="119" s="1"/>
  <c r="E22" i="119" a="1"/>
  <c r="E22" i="119" s="1"/>
  <c r="D22" i="119" a="1"/>
  <c r="D22" i="119" s="1"/>
  <c r="F21" i="119" a="1"/>
  <c r="F21" i="119" s="1"/>
  <c r="E21" i="119" a="1"/>
  <c r="E21" i="119" s="1"/>
  <c r="D21" i="119" a="1"/>
  <c r="D21" i="119" s="1"/>
  <c r="F20" i="119" a="1"/>
  <c r="F20" i="119" s="1"/>
  <c r="E20" i="119" a="1"/>
  <c r="E20" i="119" s="1"/>
  <c r="D20" i="119"/>
  <c r="D20" i="119" a="1"/>
  <c r="F19" i="119" a="1"/>
  <c r="F19" i="119" s="1"/>
  <c r="E19" i="119" a="1"/>
  <c r="E19" i="119" s="1"/>
  <c r="D19" i="119" a="1"/>
  <c r="D19" i="119" s="1"/>
  <c r="F18" i="119" a="1"/>
  <c r="F18" i="119" s="1"/>
  <c r="E18" i="119" a="1"/>
  <c r="E18" i="119" s="1"/>
  <c r="D18" i="119"/>
  <c r="D18" i="119" a="1"/>
  <c r="F17" i="119" a="1"/>
  <c r="F17" i="119" s="1"/>
  <c r="E17" i="119" a="1"/>
  <c r="E17" i="119" s="1"/>
  <c r="D17" i="119" a="1"/>
  <c r="D17" i="119" s="1"/>
  <c r="F16" i="119" a="1"/>
  <c r="F16" i="119" s="1"/>
  <c r="E16" i="119" a="1"/>
  <c r="E16" i="119" s="1"/>
  <c r="D16" i="119" a="1"/>
  <c r="D16" i="119" s="1"/>
  <c r="F15" i="119" a="1"/>
  <c r="F15" i="119" s="1"/>
  <c r="E15" i="119"/>
  <c r="E15" i="119" a="1"/>
  <c r="D15" i="119" a="1"/>
  <c r="D15" i="119" s="1"/>
  <c r="F14" i="119" a="1"/>
  <c r="F14" i="119" s="1"/>
  <c r="E14" i="119" a="1"/>
  <c r="E14" i="119" s="1"/>
  <c r="D14" i="119" a="1"/>
  <c r="D14" i="119" s="1"/>
  <c r="F13" i="119" a="1"/>
  <c r="F13" i="119" s="1"/>
  <c r="E13" i="119" a="1"/>
  <c r="E13" i="119" s="1"/>
  <c r="D13" i="119" a="1"/>
  <c r="D13" i="119" s="1"/>
  <c r="F12" i="119"/>
  <c r="F12" i="119" a="1"/>
  <c r="E12" i="119"/>
  <c r="E12" i="119" a="1"/>
  <c r="D12" i="119" a="1"/>
  <c r="D12" i="119" s="1"/>
  <c r="F11" i="119" a="1"/>
  <c r="F11" i="119" s="1"/>
  <c r="E11" i="119" a="1"/>
  <c r="E11" i="119" s="1"/>
  <c r="D11" i="119" a="1"/>
  <c r="D11" i="119" s="1"/>
  <c r="F10" i="119" a="1"/>
  <c r="F10" i="119" s="1"/>
  <c r="E10" i="119" a="1"/>
  <c r="E10" i="119" s="1"/>
  <c r="D10" i="119" a="1"/>
  <c r="D10" i="119" s="1"/>
  <c r="D8" i="119" a="1"/>
  <c r="D8" i="119" s="1"/>
  <c r="D7" i="119" a="1"/>
  <c r="D7" i="119" s="1"/>
  <c r="D6" i="119"/>
  <c r="D6" i="119" a="1"/>
  <c r="I247" i="118" a="1"/>
  <c r="I247" i="118" s="1"/>
  <c r="H247" i="118" a="1"/>
  <c r="H247" i="118" s="1"/>
  <c r="G247" i="118" a="1"/>
  <c r="G247" i="118" s="1"/>
  <c r="F247" i="118" a="1"/>
  <c r="F247" i="118" s="1"/>
  <c r="E247" i="118" a="1"/>
  <c r="E247" i="118" s="1"/>
  <c r="D247" i="118" a="1"/>
  <c r="D247" i="118" s="1"/>
  <c r="I246" i="118" a="1"/>
  <c r="I246" i="118" s="1"/>
  <c r="H246" i="118" a="1"/>
  <c r="H246" i="118" s="1"/>
  <c r="G246" i="118" a="1"/>
  <c r="G246" i="118" s="1"/>
  <c r="F246" i="118" a="1"/>
  <c r="F246" i="118" s="1"/>
  <c r="E246" i="118" a="1"/>
  <c r="E246" i="118" s="1"/>
  <c r="D246" i="118" a="1"/>
  <c r="D246" i="118" s="1"/>
  <c r="I245" i="118" a="1"/>
  <c r="I245" i="118" s="1"/>
  <c r="H245" i="118" a="1"/>
  <c r="H245" i="118" s="1"/>
  <c r="G245" i="118" a="1"/>
  <c r="G245" i="118" s="1"/>
  <c r="F245" i="118" a="1"/>
  <c r="F245" i="118" s="1"/>
  <c r="E245" i="118" a="1"/>
  <c r="E245" i="118" s="1"/>
  <c r="D245" i="118" a="1"/>
  <c r="D245" i="118" s="1"/>
  <c r="I244" i="118" a="1"/>
  <c r="I244" i="118" s="1"/>
  <c r="H244" i="118" a="1"/>
  <c r="H244" i="118" s="1"/>
  <c r="G244" i="118" a="1"/>
  <c r="G244" i="118" s="1"/>
  <c r="F244" i="118" a="1"/>
  <c r="F244" i="118" s="1"/>
  <c r="E244" i="118" a="1"/>
  <c r="E244" i="118" s="1"/>
  <c r="D244" i="118" a="1"/>
  <c r="D244" i="118" s="1"/>
  <c r="I243" i="118" a="1"/>
  <c r="I243" i="118" s="1"/>
  <c r="H243" i="118" a="1"/>
  <c r="H243" i="118" s="1"/>
  <c r="G243" i="118" a="1"/>
  <c r="G243" i="118" s="1"/>
  <c r="F243" i="118" a="1"/>
  <c r="F243" i="118" s="1"/>
  <c r="M243" i="118" s="1"/>
  <c r="E243" i="118" a="1"/>
  <c r="E243" i="118" s="1"/>
  <c r="L243" i="118" s="1"/>
  <c r="D243" i="118" a="1"/>
  <c r="D243" i="118" s="1"/>
  <c r="I242" i="118" a="1"/>
  <c r="I242" i="118" s="1"/>
  <c r="H242" i="118" a="1"/>
  <c r="H242" i="118" s="1"/>
  <c r="G242" i="118" a="1"/>
  <c r="G242" i="118" s="1"/>
  <c r="F242" i="118" a="1"/>
  <c r="F242" i="118" s="1"/>
  <c r="M242" i="118" s="1"/>
  <c r="E242" i="118" a="1"/>
  <c r="E242" i="118" s="1"/>
  <c r="L242" i="118" s="1"/>
  <c r="N241" i="118" s="1"/>
  <c r="D242" i="118" a="1"/>
  <c r="D242" i="118" s="1"/>
  <c r="I237" i="118" a="1"/>
  <c r="I237" i="118" s="1"/>
  <c r="H237" i="118" a="1"/>
  <c r="H237" i="118" s="1"/>
  <c r="G237" i="118" a="1"/>
  <c r="G237" i="118" s="1"/>
  <c r="F237" i="118" a="1"/>
  <c r="F237" i="118" s="1"/>
  <c r="E237" i="118" a="1"/>
  <c r="E237" i="118" s="1"/>
  <c r="D237" i="118" a="1"/>
  <c r="D237" i="118" s="1"/>
  <c r="I236" i="118" a="1"/>
  <c r="I236" i="118" s="1"/>
  <c r="H236" i="118" a="1"/>
  <c r="H236" i="118" s="1"/>
  <c r="G236" i="118" a="1"/>
  <c r="G236" i="118" s="1"/>
  <c r="F236" i="118" a="1"/>
  <c r="F236" i="118" s="1"/>
  <c r="E236" i="118" a="1"/>
  <c r="E236" i="118" s="1"/>
  <c r="D236" i="118" a="1"/>
  <c r="D236" i="118" s="1"/>
  <c r="I235" i="118" a="1"/>
  <c r="I235" i="118" s="1"/>
  <c r="H235" i="118"/>
  <c r="H235" i="118" a="1"/>
  <c r="G235" i="118" a="1"/>
  <c r="G235" i="118" s="1"/>
  <c r="F235" i="118" a="1"/>
  <c r="F235" i="118" s="1"/>
  <c r="E235" i="118" a="1"/>
  <c r="E235" i="118" s="1"/>
  <c r="D235" i="118" a="1"/>
  <c r="D235" i="118" s="1"/>
  <c r="I231" i="118" a="1"/>
  <c r="I231" i="118" s="1"/>
  <c r="H231" i="118" a="1"/>
  <c r="H231" i="118" s="1"/>
  <c r="G231" i="118" a="1"/>
  <c r="G231" i="118" s="1"/>
  <c r="F231" i="118" a="1"/>
  <c r="F231" i="118" s="1"/>
  <c r="E231" i="118"/>
  <c r="E231" i="118" a="1"/>
  <c r="D231" i="118" a="1"/>
  <c r="D231" i="118" s="1"/>
  <c r="I230" i="118" a="1"/>
  <c r="I230" i="118" s="1"/>
  <c r="H230" i="118" a="1"/>
  <c r="H230" i="118" s="1"/>
  <c r="G230" i="118" a="1"/>
  <c r="G230" i="118" s="1"/>
  <c r="F230" i="118" a="1"/>
  <c r="F230" i="118" s="1"/>
  <c r="E230" i="118" a="1"/>
  <c r="E230" i="118" s="1"/>
  <c r="D230" i="118" a="1"/>
  <c r="D230" i="118" s="1"/>
  <c r="I229" i="118" a="1"/>
  <c r="I229" i="118" s="1"/>
  <c r="H229" i="118" a="1"/>
  <c r="H229" i="118" s="1"/>
  <c r="G229" i="118" a="1"/>
  <c r="G229" i="118" s="1"/>
  <c r="F229" i="118"/>
  <c r="F229" i="118" a="1"/>
  <c r="E229" i="118" a="1"/>
  <c r="E229" i="118" s="1"/>
  <c r="D229" i="118" a="1"/>
  <c r="D229" i="118" s="1"/>
  <c r="I228" i="118" a="1"/>
  <c r="I228" i="118" s="1"/>
  <c r="H228" i="118" a="1"/>
  <c r="H228" i="118" s="1"/>
  <c r="G228" i="118" a="1"/>
  <c r="G228" i="118" s="1"/>
  <c r="F228" i="118" a="1"/>
  <c r="F228" i="118" s="1"/>
  <c r="E228" i="118" a="1"/>
  <c r="E228" i="118" s="1"/>
  <c r="D228" i="118" a="1"/>
  <c r="D228" i="118" s="1"/>
  <c r="I227" i="118" a="1"/>
  <c r="I227" i="118" s="1"/>
  <c r="H227" i="118" a="1"/>
  <c r="H227" i="118" s="1"/>
  <c r="G227" i="118"/>
  <c r="G227" i="118" a="1"/>
  <c r="F227" i="118" a="1"/>
  <c r="F227" i="118" s="1"/>
  <c r="E227" i="118" a="1"/>
  <c r="E227" i="118" s="1"/>
  <c r="D227" i="118" a="1"/>
  <c r="D227" i="118" s="1"/>
  <c r="I226" i="118" a="1"/>
  <c r="I226" i="118" s="1"/>
  <c r="H226" i="118" a="1"/>
  <c r="H226" i="118" s="1"/>
  <c r="G226" i="118" a="1"/>
  <c r="G226" i="118" s="1"/>
  <c r="F226" i="118" a="1"/>
  <c r="F226" i="118" s="1"/>
  <c r="E226" i="118" a="1"/>
  <c r="E226" i="118" s="1"/>
  <c r="D226" i="118" a="1"/>
  <c r="D226" i="118" s="1"/>
  <c r="I225" i="118" a="1"/>
  <c r="I225" i="118" s="1"/>
  <c r="H225" i="118" a="1"/>
  <c r="H225" i="118" s="1"/>
  <c r="G225" i="118" a="1"/>
  <c r="G225" i="118" s="1"/>
  <c r="F225" i="118" a="1"/>
  <c r="F225" i="118" s="1"/>
  <c r="E225" i="118" a="1"/>
  <c r="E225" i="118" s="1"/>
  <c r="D225" i="118" a="1"/>
  <c r="D225" i="118" s="1"/>
  <c r="I224" i="118" a="1"/>
  <c r="I224" i="118" s="1"/>
  <c r="H224" i="118" a="1"/>
  <c r="H224" i="118" s="1"/>
  <c r="G224" i="118" a="1"/>
  <c r="G224" i="118" s="1"/>
  <c r="F224" i="118" a="1"/>
  <c r="F224" i="118" s="1"/>
  <c r="E224" i="118"/>
  <c r="E224" i="118" a="1"/>
  <c r="D224" i="118" a="1"/>
  <c r="D224" i="118" s="1"/>
  <c r="I223" i="118" a="1"/>
  <c r="I223" i="118" s="1"/>
  <c r="H223" i="118" a="1"/>
  <c r="H223" i="118" s="1"/>
  <c r="G223" i="118" a="1"/>
  <c r="G223" i="118" s="1"/>
  <c r="F223" i="118" a="1"/>
  <c r="F223" i="118" s="1"/>
  <c r="E223" i="118" a="1"/>
  <c r="E223" i="118" s="1"/>
  <c r="D223" i="118"/>
  <c r="D223" i="118" a="1"/>
  <c r="I222" i="118" a="1"/>
  <c r="I222" i="118" s="1"/>
  <c r="H222" i="118" a="1"/>
  <c r="H222" i="118" s="1"/>
  <c r="G222" i="118"/>
  <c r="G222" i="118" a="1"/>
  <c r="F222" i="118" a="1"/>
  <c r="F222" i="118" s="1"/>
  <c r="E222" i="118" a="1"/>
  <c r="E222" i="118" s="1"/>
  <c r="D222" i="118" a="1"/>
  <c r="D222" i="118" s="1"/>
  <c r="I221" i="118" a="1"/>
  <c r="I221" i="118" s="1"/>
  <c r="H221" i="118" a="1"/>
  <c r="H221" i="118" s="1"/>
  <c r="G221" i="118" a="1"/>
  <c r="G221" i="118" s="1"/>
  <c r="F221" i="118"/>
  <c r="F221" i="118" a="1"/>
  <c r="E221" i="118"/>
  <c r="E221" i="118" a="1"/>
  <c r="D221" i="118" a="1"/>
  <c r="D221" i="118" s="1"/>
  <c r="I220" i="118" a="1"/>
  <c r="I220" i="118" s="1"/>
  <c r="H220" i="118" a="1"/>
  <c r="H220" i="118" s="1"/>
  <c r="G220" i="118" a="1"/>
  <c r="G220" i="118" s="1"/>
  <c r="F220" i="118" a="1"/>
  <c r="F220" i="118" s="1"/>
  <c r="E220" i="118" a="1"/>
  <c r="E220" i="118" s="1"/>
  <c r="D220" i="118" a="1"/>
  <c r="D220" i="118" s="1"/>
  <c r="I216" i="118" a="1"/>
  <c r="I216" i="118" s="1"/>
  <c r="H216" i="118" a="1"/>
  <c r="H216" i="118" s="1"/>
  <c r="G216" i="118" a="1"/>
  <c r="G216" i="118" s="1"/>
  <c r="F216" i="118" a="1"/>
  <c r="F216" i="118" s="1"/>
  <c r="E216" i="118"/>
  <c r="E216" i="118" a="1"/>
  <c r="D216" i="118" a="1"/>
  <c r="D216" i="118" s="1"/>
  <c r="I215" i="118" a="1"/>
  <c r="I215" i="118" s="1"/>
  <c r="H215" i="118" a="1"/>
  <c r="H215" i="118" s="1"/>
  <c r="G215" i="118" a="1"/>
  <c r="G215" i="118" s="1"/>
  <c r="F215" i="118" a="1"/>
  <c r="F215" i="118" s="1"/>
  <c r="E215" i="118" a="1"/>
  <c r="E215" i="118" s="1"/>
  <c r="D215" i="118" a="1"/>
  <c r="D215" i="118" s="1"/>
  <c r="I214" i="118" a="1"/>
  <c r="I214" i="118" s="1"/>
  <c r="H214" i="118" a="1"/>
  <c r="H214" i="118" s="1"/>
  <c r="G214" i="118"/>
  <c r="G214" i="118" a="1"/>
  <c r="F214" i="118" a="1"/>
  <c r="F214" i="118" s="1"/>
  <c r="E214" i="118" a="1"/>
  <c r="E214" i="118" s="1"/>
  <c r="D214" i="118" a="1"/>
  <c r="D214" i="118" s="1"/>
  <c r="I213" i="118" a="1"/>
  <c r="I213" i="118" s="1"/>
  <c r="H213" i="118" a="1"/>
  <c r="H213" i="118" s="1"/>
  <c r="G213" i="118" a="1"/>
  <c r="G213" i="118" s="1"/>
  <c r="F213" i="118" a="1"/>
  <c r="F213" i="118" s="1"/>
  <c r="E213" i="118" a="1"/>
  <c r="E213" i="118" s="1"/>
  <c r="D213" i="118" a="1"/>
  <c r="D213" i="118" s="1"/>
  <c r="I209" i="118" a="1"/>
  <c r="I209" i="118" s="1"/>
  <c r="H209" i="118" a="1"/>
  <c r="H209" i="118" s="1"/>
  <c r="G209" i="118" a="1"/>
  <c r="G209" i="118" s="1"/>
  <c r="F209" i="118" a="1"/>
  <c r="F209" i="118" s="1"/>
  <c r="E209" i="118" a="1"/>
  <c r="E209" i="118" s="1"/>
  <c r="D209" i="118" a="1"/>
  <c r="D209" i="118" s="1"/>
  <c r="I208" i="118" a="1"/>
  <c r="I208" i="118" s="1"/>
  <c r="H208" i="118" a="1"/>
  <c r="H208" i="118" s="1"/>
  <c r="G208" i="118" a="1"/>
  <c r="G208" i="118" s="1"/>
  <c r="F208" i="118" a="1"/>
  <c r="F208" i="118" s="1"/>
  <c r="E208" i="118"/>
  <c r="E208" i="118" a="1"/>
  <c r="D208" i="118" a="1"/>
  <c r="D208" i="118" s="1"/>
  <c r="I207" i="118" a="1"/>
  <c r="I207" i="118" s="1"/>
  <c r="H207" i="118"/>
  <c r="H207" i="118" a="1"/>
  <c r="G207" i="118"/>
  <c r="G207" i="118" a="1"/>
  <c r="F207" i="118" a="1"/>
  <c r="F207" i="118" s="1"/>
  <c r="E207" i="118" a="1"/>
  <c r="E207" i="118" s="1"/>
  <c r="D207" i="118"/>
  <c r="D207" i="118" a="1"/>
  <c r="I206" i="118" a="1"/>
  <c r="I206" i="118" s="1"/>
  <c r="H206" i="118" a="1"/>
  <c r="H206" i="118" s="1"/>
  <c r="G206" i="118" a="1"/>
  <c r="G206" i="118" s="1"/>
  <c r="F206" i="118" a="1"/>
  <c r="F206" i="118" s="1"/>
  <c r="E206" i="118" a="1"/>
  <c r="E206" i="118" s="1"/>
  <c r="D206" i="118" a="1"/>
  <c r="D206" i="118" s="1"/>
  <c r="I205" i="118" a="1"/>
  <c r="I205" i="118" s="1"/>
  <c r="H205" i="118" a="1"/>
  <c r="H205" i="118" s="1"/>
  <c r="G205" i="118" a="1"/>
  <c r="G205" i="118" s="1"/>
  <c r="F205" i="118" a="1"/>
  <c r="F205" i="118" s="1"/>
  <c r="E205" i="118" a="1"/>
  <c r="E205" i="118" s="1"/>
  <c r="D205" i="118" a="1"/>
  <c r="D205" i="118" s="1"/>
  <c r="I204" i="118" a="1"/>
  <c r="I204" i="118" s="1"/>
  <c r="H204" i="118" a="1"/>
  <c r="H204" i="118" s="1"/>
  <c r="G204" i="118" a="1"/>
  <c r="G204" i="118" s="1"/>
  <c r="F204" i="118" a="1"/>
  <c r="F204" i="118" s="1"/>
  <c r="E204" i="118" a="1"/>
  <c r="E204" i="118" s="1"/>
  <c r="D204" i="118" a="1"/>
  <c r="D204" i="118" s="1"/>
  <c r="I203" i="118" a="1"/>
  <c r="I203" i="118" s="1"/>
  <c r="H203" i="118" a="1"/>
  <c r="H203" i="118" s="1"/>
  <c r="G203" i="118" a="1"/>
  <c r="G203" i="118" s="1"/>
  <c r="F203" i="118" a="1"/>
  <c r="F203" i="118" s="1"/>
  <c r="E203" i="118" a="1"/>
  <c r="E203" i="118" s="1"/>
  <c r="D203" i="118" a="1"/>
  <c r="D203" i="118" s="1"/>
  <c r="I202" i="118" a="1"/>
  <c r="I202" i="118" s="1"/>
  <c r="H202" i="118" a="1"/>
  <c r="H202" i="118" s="1"/>
  <c r="G202" i="118" a="1"/>
  <c r="G202" i="118" s="1"/>
  <c r="F202" i="118" a="1"/>
  <c r="F202" i="118" s="1"/>
  <c r="E202" i="118" a="1"/>
  <c r="E202" i="118" s="1"/>
  <c r="D202" i="118" a="1"/>
  <c r="D202" i="118" s="1"/>
  <c r="M198" i="118" a="1"/>
  <c r="M198" i="118" s="1"/>
  <c r="L198" i="118" a="1"/>
  <c r="L198" i="118" s="1"/>
  <c r="K198" i="118" a="1"/>
  <c r="K198" i="118" s="1"/>
  <c r="F198" i="118" a="1"/>
  <c r="F198" i="118" s="1"/>
  <c r="E198" i="118" a="1"/>
  <c r="E198" i="118" s="1"/>
  <c r="D198" i="118" a="1"/>
  <c r="D198" i="118" s="1"/>
  <c r="M197" i="118" a="1"/>
  <c r="M197" i="118" s="1"/>
  <c r="L197" i="118" a="1"/>
  <c r="L197" i="118" s="1"/>
  <c r="K197" i="118" a="1"/>
  <c r="K197" i="118" s="1"/>
  <c r="F197" i="118" a="1"/>
  <c r="F197" i="118" s="1"/>
  <c r="E197" i="118" a="1"/>
  <c r="E197" i="118" s="1"/>
  <c r="D197" i="118" a="1"/>
  <c r="D197" i="118" s="1"/>
  <c r="M196" i="118" a="1"/>
  <c r="M196" i="118" s="1"/>
  <c r="L196" i="118" a="1"/>
  <c r="L196" i="118" s="1"/>
  <c r="K196" i="118" a="1"/>
  <c r="K196" i="118" s="1"/>
  <c r="F196" i="118" a="1"/>
  <c r="F196" i="118" s="1"/>
  <c r="E196" i="118" a="1"/>
  <c r="E196" i="118" s="1"/>
  <c r="D196" i="118" a="1"/>
  <c r="D196" i="118" s="1"/>
  <c r="M195" i="118" a="1"/>
  <c r="M195" i="118" s="1"/>
  <c r="L195" i="118" a="1"/>
  <c r="L195" i="118" s="1"/>
  <c r="K195" i="118" a="1"/>
  <c r="K195" i="118" s="1"/>
  <c r="F195" i="118" a="1"/>
  <c r="F195" i="118" s="1"/>
  <c r="E195" i="118" a="1"/>
  <c r="E195" i="118" s="1"/>
  <c r="D195" i="118" a="1"/>
  <c r="D195" i="118" s="1"/>
  <c r="M194" i="118" a="1"/>
  <c r="M194" i="118" s="1"/>
  <c r="L194" i="118" a="1"/>
  <c r="L194" i="118" s="1"/>
  <c r="K194" i="118" a="1"/>
  <c r="K194" i="118" s="1"/>
  <c r="F194" i="118" a="1"/>
  <c r="F194" i="118" s="1"/>
  <c r="E194" i="118" a="1"/>
  <c r="E194" i="118" s="1"/>
  <c r="D194" i="118" a="1"/>
  <c r="D194" i="118" s="1"/>
  <c r="M193" i="118" a="1"/>
  <c r="M193" i="118" s="1"/>
  <c r="L193" i="118" a="1"/>
  <c r="L193" i="118" s="1"/>
  <c r="K193" i="118" a="1"/>
  <c r="K193" i="118" s="1"/>
  <c r="F193" i="118" a="1"/>
  <c r="F193" i="118" s="1"/>
  <c r="E193" i="118" a="1"/>
  <c r="E193" i="118" s="1"/>
  <c r="D193" i="118" a="1"/>
  <c r="D193" i="118" s="1"/>
  <c r="M192" i="118" a="1"/>
  <c r="M192" i="118" s="1"/>
  <c r="L192" i="118" a="1"/>
  <c r="L192" i="118" s="1"/>
  <c r="K192" i="118" a="1"/>
  <c r="K192" i="118" s="1"/>
  <c r="F192" i="118" a="1"/>
  <c r="F192" i="118" s="1"/>
  <c r="E192" i="118" a="1"/>
  <c r="E192" i="118" s="1"/>
  <c r="D192" i="118" a="1"/>
  <c r="D192" i="118" s="1"/>
  <c r="M191" i="118" a="1"/>
  <c r="M191" i="118" s="1"/>
  <c r="L191" i="118" a="1"/>
  <c r="L191" i="118" s="1"/>
  <c r="K191" i="118" a="1"/>
  <c r="K191" i="118" s="1"/>
  <c r="F191" i="118"/>
  <c r="F191" i="118" a="1"/>
  <c r="E191" i="118" a="1"/>
  <c r="E191" i="118" s="1"/>
  <c r="D191" i="118" a="1"/>
  <c r="D191" i="118" s="1"/>
  <c r="M190" i="118" a="1"/>
  <c r="M190" i="118" s="1"/>
  <c r="L190" i="118" a="1"/>
  <c r="L190" i="118" s="1"/>
  <c r="K190" i="118" a="1"/>
  <c r="K190" i="118" s="1"/>
  <c r="F190" i="118" a="1"/>
  <c r="F190" i="118" s="1"/>
  <c r="E190" i="118" a="1"/>
  <c r="E190" i="118" s="1"/>
  <c r="D190" i="118" a="1"/>
  <c r="D190" i="118" s="1"/>
  <c r="M189" i="118" a="1"/>
  <c r="M189" i="118" s="1"/>
  <c r="L189" i="118" a="1"/>
  <c r="L189" i="118" s="1"/>
  <c r="K189" i="118" a="1"/>
  <c r="K189" i="118" s="1"/>
  <c r="F189" i="118" a="1"/>
  <c r="F189" i="118" s="1"/>
  <c r="E189" i="118" a="1"/>
  <c r="E189" i="118" s="1"/>
  <c r="D189" i="118" a="1"/>
  <c r="D189" i="118" s="1"/>
  <c r="M188" i="118" a="1"/>
  <c r="M188" i="118" s="1"/>
  <c r="L188" i="118" a="1"/>
  <c r="L188" i="118" s="1"/>
  <c r="K188" i="118" a="1"/>
  <c r="K188" i="118" s="1"/>
  <c r="F188" i="118" a="1"/>
  <c r="F188" i="118" s="1"/>
  <c r="E188" i="118" a="1"/>
  <c r="E188" i="118" s="1"/>
  <c r="D188" i="118" a="1"/>
  <c r="D188" i="118" s="1"/>
  <c r="M187" i="118" a="1"/>
  <c r="M187" i="118" s="1"/>
  <c r="L187" i="118" a="1"/>
  <c r="L187" i="118" s="1"/>
  <c r="K187" i="118"/>
  <c r="K187" i="118" a="1"/>
  <c r="F187" i="118" a="1"/>
  <c r="F187" i="118" s="1"/>
  <c r="E187" i="118" a="1"/>
  <c r="E187" i="118" s="1"/>
  <c r="D187" i="118" a="1"/>
  <c r="D187" i="118" s="1"/>
  <c r="M186" i="118" a="1"/>
  <c r="M186" i="118" s="1"/>
  <c r="L186" i="118" a="1"/>
  <c r="L186" i="118" s="1"/>
  <c r="K186" i="118"/>
  <c r="K186" i="118" a="1"/>
  <c r="F186" i="118" a="1"/>
  <c r="F186" i="118" s="1"/>
  <c r="E186" i="118" a="1"/>
  <c r="E186" i="118" s="1"/>
  <c r="D186" i="118" a="1"/>
  <c r="D186" i="118" s="1"/>
  <c r="M185" i="118" a="1"/>
  <c r="M185" i="118" s="1"/>
  <c r="L185" i="118" a="1"/>
  <c r="L185" i="118" s="1"/>
  <c r="K185" i="118" a="1"/>
  <c r="K185" i="118" s="1"/>
  <c r="F185" i="118" a="1"/>
  <c r="F185" i="118" s="1"/>
  <c r="E185" i="118" a="1"/>
  <c r="E185" i="118" s="1"/>
  <c r="D185" i="118" a="1"/>
  <c r="D185" i="118" s="1"/>
  <c r="M184" i="118" a="1"/>
  <c r="M184" i="118" s="1"/>
  <c r="L184" i="118" a="1"/>
  <c r="L184" i="118" s="1"/>
  <c r="K184" i="118"/>
  <c r="K184" i="118" a="1"/>
  <c r="F184" i="118" a="1"/>
  <c r="F184" i="118" s="1"/>
  <c r="E184" i="118" a="1"/>
  <c r="E184" i="118" s="1"/>
  <c r="D184" i="118" a="1"/>
  <c r="D184" i="118" s="1"/>
  <c r="M183" i="118" a="1"/>
  <c r="M183" i="118" s="1"/>
  <c r="L183" i="118" a="1"/>
  <c r="L183" i="118" s="1"/>
  <c r="K183" i="118" a="1"/>
  <c r="K183" i="118" s="1"/>
  <c r="F183" i="118" a="1"/>
  <c r="F183" i="118" s="1"/>
  <c r="E183" i="118" a="1"/>
  <c r="E183" i="118" s="1"/>
  <c r="D183" i="118" a="1"/>
  <c r="D183" i="118" s="1"/>
  <c r="M182" i="118"/>
  <c r="M182" i="118" a="1"/>
  <c r="L182" i="118" a="1"/>
  <c r="L182" i="118" s="1"/>
  <c r="K182" i="118" a="1"/>
  <c r="K182" i="118" s="1"/>
  <c r="F182" i="118" a="1"/>
  <c r="F182" i="118" s="1"/>
  <c r="E182" i="118" a="1"/>
  <c r="E182" i="118" s="1"/>
  <c r="D182" i="118" a="1"/>
  <c r="D182" i="118" s="1"/>
  <c r="M181" i="118" a="1"/>
  <c r="M181" i="118" s="1"/>
  <c r="L181" i="118" a="1"/>
  <c r="L181" i="118" s="1"/>
  <c r="K181" i="118" a="1"/>
  <c r="K181" i="118" s="1"/>
  <c r="F181" i="118"/>
  <c r="F181" i="118" a="1"/>
  <c r="E181" i="118" a="1"/>
  <c r="E181" i="118" s="1"/>
  <c r="D181" i="118" a="1"/>
  <c r="D181" i="118" s="1"/>
  <c r="M180" i="118" a="1"/>
  <c r="M180" i="118" s="1"/>
  <c r="L180" i="118" a="1"/>
  <c r="L180" i="118" s="1"/>
  <c r="K180" i="118" a="1"/>
  <c r="K180" i="118" s="1"/>
  <c r="F180" i="118" a="1"/>
  <c r="F180" i="118" s="1"/>
  <c r="E180" i="118" a="1"/>
  <c r="E180" i="118" s="1"/>
  <c r="D180" i="118" a="1"/>
  <c r="D180" i="118" s="1"/>
  <c r="M179" i="118" a="1"/>
  <c r="M179" i="118" s="1"/>
  <c r="L179" i="118" a="1"/>
  <c r="L179" i="118" s="1"/>
  <c r="K179" i="118" a="1"/>
  <c r="K179" i="118" s="1"/>
  <c r="F179" i="118"/>
  <c r="F179" i="118" a="1"/>
  <c r="E179" i="118" a="1"/>
  <c r="E179" i="118" s="1"/>
  <c r="D179" i="118" a="1"/>
  <c r="D179" i="118" s="1"/>
  <c r="M178" i="118" a="1"/>
  <c r="M178" i="118" s="1"/>
  <c r="L178" i="118" a="1"/>
  <c r="L178" i="118" s="1"/>
  <c r="K178" i="118" a="1"/>
  <c r="K178" i="118" s="1"/>
  <c r="F178" i="118" a="1"/>
  <c r="F178" i="118" s="1"/>
  <c r="E178" i="118" a="1"/>
  <c r="E178" i="118" s="1"/>
  <c r="D178" i="118" a="1"/>
  <c r="D178" i="118" s="1"/>
  <c r="M177" i="118" a="1"/>
  <c r="M177" i="118" s="1"/>
  <c r="L177" i="118" a="1"/>
  <c r="L177" i="118" s="1"/>
  <c r="K177" i="118" a="1"/>
  <c r="K177" i="118" s="1"/>
  <c r="F177" i="118" a="1"/>
  <c r="F177" i="118" s="1"/>
  <c r="E177" i="118" a="1"/>
  <c r="E177" i="118" s="1"/>
  <c r="D177" i="118" a="1"/>
  <c r="D177" i="118" s="1"/>
  <c r="M176" i="118" a="1"/>
  <c r="M176" i="118" s="1"/>
  <c r="L176" i="118" a="1"/>
  <c r="L176" i="118" s="1"/>
  <c r="K176" i="118" a="1"/>
  <c r="K176" i="118" s="1"/>
  <c r="F176" i="118" a="1"/>
  <c r="F176" i="118" s="1"/>
  <c r="E176" i="118" a="1"/>
  <c r="E176" i="118" s="1"/>
  <c r="D176" i="118" a="1"/>
  <c r="D176" i="118" s="1"/>
  <c r="M175" i="118" a="1"/>
  <c r="M175" i="118" s="1"/>
  <c r="L175" i="118" a="1"/>
  <c r="L175" i="118" s="1"/>
  <c r="K175" i="118" a="1"/>
  <c r="K175" i="118" s="1"/>
  <c r="F175" i="118" a="1"/>
  <c r="F175" i="118" s="1"/>
  <c r="E175" i="118" a="1"/>
  <c r="E175" i="118" s="1"/>
  <c r="D175" i="118" a="1"/>
  <c r="D175" i="118" s="1"/>
  <c r="M174" i="118" a="1"/>
  <c r="M174" i="118" s="1"/>
  <c r="L174" i="118" a="1"/>
  <c r="L174" i="118" s="1"/>
  <c r="K174" i="118" a="1"/>
  <c r="K174" i="118" s="1"/>
  <c r="F174" i="118" a="1"/>
  <c r="F174" i="118" s="1"/>
  <c r="E174" i="118" a="1"/>
  <c r="E174" i="118" s="1"/>
  <c r="D174" i="118" a="1"/>
  <c r="D174" i="118" s="1"/>
  <c r="I170" i="118" a="1"/>
  <c r="I170" i="118" s="1"/>
  <c r="H170" i="118" a="1"/>
  <c r="H170" i="118" s="1"/>
  <c r="G170" i="118" a="1"/>
  <c r="G170" i="118" s="1"/>
  <c r="F170" i="118" a="1"/>
  <c r="F170" i="118" s="1"/>
  <c r="E170" i="118" a="1"/>
  <c r="E170" i="118" s="1"/>
  <c r="D170" i="118" a="1"/>
  <c r="D170" i="118" s="1"/>
  <c r="I169" i="118" a="1"/>
  <c r="I169" i="118" s="1"/>
  <c r="H169" i="118" a="1"/>
  <c r="H169" i="118" s="1"/>
  <c r="G169" i="118" a="1"/>
  <c r="G169" i="118" s="1"/>
  <c r="F169" i="118" a="1"/>
  <c r="F169" i="118" s="1"/>
  <c r="E169" i="118" a="1"/>
  <c r="E169" i="118" s="1"/>
  <c r="D169" i="118" a="1"/>
  <c r="D169" i="118" s="1"/>
  <c r="I168" i="118" a="1"/>
  <c r="I168" i="118" s="1"/>
  <c r="H168" i="118" a="1"/>
  <c r="H168" i="118" s="1"/>
  <c r="G168" i="118" a="1"/>
  <c r="G168" i="118" s="1"/>
  <c r="F168" i="118" a="1"/>
  <c r="F168" i="118" s="1"/>
  <c r="E168" i="118" a="1"/>
  <c r="E168" i="118" s="1"/>
  <c r="D168" i="118" a="1"/>
  <c r="D168" i="118" s="1"/>
  <c r="I165" i="118" a="1"/>
  <c r="I165" i="118" s="1"/>
  <c r="H165" i="118" a="1"/>
  <c r="H165" i="118" s="1"/>
  <c r="G165" i="118" a="1"/>
  <c r="G165" i="118" s="1"/>
  <c r="F165" i="118" a="1"/>
  <c r="F165" i="118" s="1"/>
  <c r="E165" i="118" a="1"/>
  <c r="E165" i="118" s="1"/>
  <c r="D165" i="118" a="1"/>
  <c r="D165" i="118" s="1"/>
  <c r="I164" i="118" a="1"/>
  <c r="I164" i="118" s="1"/>
  <c r="H164" i="118" a="1"/>
  <c r="H164" i="118" s="1"/>
  <c r="G164" i="118" a="1"/>
  <c r="G164" i="118" s="1"/>
  <c r="F164" i="118" a="1"/>
  <c r="F164" i="118" s="1"/>
  <c r="E164" i="118" a="1"/>
  <c r="E164" i="118" s="1"/>
  <c r="D164" i="118" a="1"/>
  <c r="D164" i="118" s="1"/>
  <c r="I163" i="118" a="1"/>
  <c r="I163" i="118" s="1"/>
  <c r="H163" i="118" a="1"/>
  <c r="H163" i="118" s="1"/>
  <c r="G163" i="118" a="1"/>
  <c r="G163" i="118" s="1"/>
  <c r="F163" i="118" a="1"/>
  <c r="F163" i="118" s="1"/>
  <c r="E163" i="118" a="1"/>
  <c r="E163" i="118" s="1"/>
  <c r="D163" i="118" a="1"/>
  <c r="D163" i="118" s="1"/>
  <c r="I162" i="118" a="1"/>
  <c r="I162" i="118" s="1"/>
  <c r="H162" i="118" a="1"/>
  <c r="H162" i="118" s="1"/>
  <c r="G162" i="118" a="1"/>
  <c r="G162" i="118" s="1"/>
  <c r="F162" i="118" a="1"/>
  <c r="F162" i="118" s="1"/>
  <c r="E162" i="118" a="1"/>
  <c r="E162" i="118" s="1"/>
  <c r="D162" i="118" a="1"/>
  <c r="D162" i="118" s="1"/>
  <c r="I158" i="118" a="1"/>
  <c r="I158" i="118" s="1"/>
  <c r="H158" i="118" a="1"/>
  <c r="H158" i="118" s="1"/>
  <c r="G158" i="118" a="1"/>
  <c r="G158" i="118" s="1"/>
  <c r="F158" i="118" a="1"/>
  <c r="F158" i="118" s="1"/>
  <c r="P158" i="118" s="1"/>
  <c r="E158" i="118" a="1"/>
  <c r="E158" i="118" s="1"/>
  <c r="O158" i="118" s="1"/>
  <c r="Q157" i="118" s="1"/>
  <c r="D158" i="118" a="1"/>
  <c r="D158" i="118" s="1"/>
  <c r="I157" i="118" a="1"/>
  <c r="I157" i="118" s="1"/>
  <c r="H157" i="118" a="1"/>
  <c r="H157" i="118" s="1"/>
  <c r="G157" i="118" a="1"/>
  <c r="G157" i="118" s="1"/>
  <c r="F157" i="118" a="1"/>
  <c r="F157" i="118" s="1"/>
  <c r="M157" i="118" s="1"/>
  <c r="E157" i="118" a="1"/>
  <c r="E157" i="118" s="1"/>
  <c r="L157" i="118" s="1"/>
  <c r="N156" i="118" s="1"/>
  <c r="D157" i="118" a="1"/>
  <c r="D157" i="118" s="1"/>
  <c r="I156" i="118" a="1"/>
  <c r="I156" i="118" s="1"/>
  <c r="H156" i="118" a="1"/>
  <c r="H156" i="118" s="1"/>
  <c r="G156" i="118" a="1"/>
  <c r="G156" i="118" s="1"/>
  <c r="F156" i="118" a="1"/>
  <c r="F156" i="118" s="1"/>
  <c r="P156" i="118" s="1"/>
  <c r="E156" i="118" a="1"/>
  <c r="E156" i="118" s="1"/>
  <c r="O156" i="118" s="1"/>
  <c r="Q155" i="118" s="1"/>
  <c r="D156" i="118" a="1"/>
  <c r="D156" i="118" s="1"/>
  <c r="I155" i="118" a="1"/>
  <c r="I155" i="118" s="1"/>
  <c r="H155" i="118" a="1"/>
  <c r="H155" i="118" s="1"/>
  <c r="G155" i="118" a="1"/>
  <c r="G155" i="118" s="1"/>
  <c r="F155" i="118" a="1"/>
  <c r="F155" i="118" s="1"/>
  <c r="M155" i="118" s="1"/>
  <c r="E155" i="118" a="1"/>
  <c r="E155" i="118" s="1"/>
  <c r="L155" i="118" s="1"/>
  <c r="N154" i="118" s="1"/>
  <c r="D155" i="118" a="1"/>
  <c r="D155" i="118" s="1"/>
  <c r="I154" i="118" a="1"/>
  <c r="I154" i="118" s="1"/>
  <c r="H154" i="118" a="1"/>
  <c r="H154" i="118" s="1"/>
  <c r="G154" i="118" a="1"/>
  <c r="G154" i="118" s="1"/>
  <c r="F154" i="118" a="1"/>
  <c r="F154" i="118" s="1"/>
  <c r="P154" i="118" s="1"/>
  <c r="E154" i="118" a="1"/>
  <c r="E154" i="118" s="1"/>
  <c r="O154" i="118" s="1"/>
  <c r="Q153" i="118" s="1"/>
  <c r="D154" i="118" a="1"/>
  <c r="D154" i="118" s="1"/>
  <c r="I153" i="118" a="1"/>
  <c r="I153" i="118" s="1"/>
  <c r="H153" i="118" a="1"/>
  <c r="H153" i="118" s="1"/>
  <c r="G153" i="118" a="1"/>
  <c r="G153" i="118" s="1"/>
  <c r="F153" i="118" a="1"/>
  <c r="F153" i="118" s="1"/>
  <c r="M153" i="118" s="1"/>
  <c r="E153" i="118" a="1"/>
  <c r="E153" i="118" s="1"/>
  <c r="L153" i="118" s="1"/>
  <c r="N152" i="118" s="1"/>
  <c r="D153" i="118" a="1"/>
  <c r="D153" i="118" s="1"/>
  <c r="I152" i="118" a="1"/>
  <c r="I152" i="118" s="1"/>
  <c r="H152" i="118" a="1"/>
  <c r="H152" i="118" s="1"/>
  <c r="G152" i="118" a="1"/>
  <c r="G152" i="118" s="1"/>
  <c r="F152" i="118" a="1"/>
  <c r="F152" i="118" s="1"/>
  <c r="P152" i="118" s="1"/>
  <c r="E152" i="118" a="1"/>
  <c r="E152" i="118" s="1"/>
  <c r="O152" i="118" s="1"/>
  <c r="Q151" i="118" s="1"/>
  <c r="D152" i="118" a="1"/>
  <c r="D152" i="118" s="1"/>
  <c r="I151" i="118" a="1"/>
  <c r="I151" i="118" s="1"/>
  <c r="H151" i="118" a="1"/>
  <c r="H151" i="118" s="1"/>
  <c r="G151" i="118" a="1"/>
  <c r="G151" i="118" s="1"/>
  <c r="F151" i="118" a="1"/>
  <c r="F151" i="118" s="1"/>
  <c r="M151" i="118" s="1"/>
  <c r="E151" i="118" a="1"/>
  <c r="E151" i="118" s="1"/>
  <c r="L151" i="118" s="1"/>
  <c r="N150" i="118" s="1"/>
  <c r="D151" i="118" a="1"/>
  <c r="D151" i="118" s="1"/>
  <c r="I150" i="118" a="1"/>
  <c r="I150" i="118" s="1"/>
  <c r="H150" i="118" a="1"/>
  <c r="H150" i="118" s="1"/>
  <c r="G150" i="118" a="1"/>
  <c r="G150" i="118" s="1"/>
  <c r="F150" i="118" a="1"/>
  <c r="F150" i="118" s="1"/>
  <c r="P150" i="118" s="1"/>
  <c r="E150" i="118" a="1"/>
  <c r="E150" i="118" s="1"/>
  <c r="O150" i="118" s="1"/>
  <c r="D150" i="118" a="1"/>
  <c r="D150" i="118" s="1"/>
  <c r="I149" i="118" a="1"/>
  <c r="I149" i="118" s="1"/>
  <c r="H149" i="118" a="1"/>
  <c r="H149" i="118" s="1"/>
  <c r="G149" i="118" a="1"/>
  <c r="G149" i="118" s="1"/>
  <c r="F149" i="118" a="1"/>
  <c r="F149" i="118" s="1"/>
  <c r="P149" i="118" s="1"/>
  <c r="E149" i="118" a="1"/>
  <c r="E149" i="118" s="1"/>
  <c r="O149" i="118" s="1"/>
  <c r="D149" i="118" a="1"/>
  <c r="D149" i="118" s="1"/>
  <c r="I148" i="118" a="1"/>
  <c r="I148" i="118" s="1"/>
  <c r="H148" i="118" a="1"/>
  <c r="H148" i="118" s="1"/>
  <c r="G148" i="118" a="1"/>
  <c r="G148" i="118" s="1"/>
  <c r="F148" i="118" a="1"/>
  <c r="F148" i="118" s="1"/>
  <c r="P148" i="118" s="1"/>
  <c r="E148" i="118" a="1"/>
  <c r="E148" i="118" s="1"/>
  <c r="O148" i="118" s="1"/>
  <c r="D148" i="118" a="1"/>
  <c r="D148" i="118" s="1"/>
  <c r="I147" i="118" a="1"/>
  <c r="I147" i="118" s="1"/>
  <c r="H147" i="118" a="1"/>
  <c r="H147" i="118" s="1"/>
  <c r="G147" i="118" a="1"/>
  <c r="G147" i="118" s="1"/>
  <c r="F147" i="118" a="1"/>
  <c r="F147" i="118" s="1"/>
  <c r="P147" i="118" s="1"/>
  <c r="E147" i="118" a="1"/>
  <c r="E147" i="118" s="1"/>
  <c r="O147" i="118" s="1"/>
  <c r="D147" i="118" a="1"/>
  <c r="D147" i="118" s="1"/>
  <c r="I146" i="118" a="1"/>
  <c r="I146" i="118" s="1"/>
  <c r="H146" i="118" a="1"/>
  <c r="H146" i="118" s="1"/>
  <c r="G146" i="118" a="1"/>
  <c r="G146" i="118" s="1"/>
  <c r="F146" i="118" a="1"/>
  <c r="F146" i="118" s="1"/>
  <c r="P146" i="118" s="1"/>
  <c r="E146" i="118" a="1"/>
  <c r="E146" i="118" s="1"/>
  <c r="O146" i="118" s="1"/>
  <c r="D146" i="118" a="1"/>
  <c r="D146" i="118" s="1"/>
  <c r="I145" i="118" a="1"/>
  <c r="I145" i="118" s="1"/>
  <c r="H145" i="118" a="1"/>
  <c r="H145" i="118" s="1"/>
  <c r="G145" i="118" a="1"/>
  <c r="G145" i="118" s="1"/>
  <c r="F145" i="118" a="1"/>
  <c r="F145" i="118" s="1"/>
  <c r="P145" i="118" s="1"/>
  <c r="E145" i="118" a="1"/>
  <c r="E145" i="118" s="1"/>
  <c r="O145" i="118" s="1"/>
  <c r="D145" i="118" a="1"/>
  <c r="D145" i="118" s="1"/>
  <c r="I144" i="118" a="1"/>
  <c r="I144" i="118" s="1"/>
  <c r="H144" i="118" a="1"/>
  <c r="H144" i="118" s="1"/>
  <c r="G144" i="118" a="1"/>
  <c r="G144" i="118" s="1"/>
  <c r="F144" i="118" a="1"/>
  <c r="F144" i="118" s="1"/>
  <c r="P144" i="118" s="1"/>
  <c r="E144" i="118" a="1"/>
  <c r="E144" i="118" s="1"/>
  <c r="O144" i="118" s="1"/>
  <c r="Q143" i="118" s="1"/>
  <c r="D144" i="118" a="1"/>
  <c r="D144" i="118" s="1"/>
  <c r="I143" i="118" a="1"/>
  <c r="I143" i="118" s="1"/>
  <c r="H143" i="118" a="1"/>
  <c r="H143" i="118" s="1"/>
  <c r="G143" i="118" a="1"/>
  <c r="G143" i="118" s="1"/>
  <c r="F143" i="118" a="1"/>
  <c r="F143" i="118" s="1"/>
  <c r="M143" i="118" s="1"/>
  <c r="E143" i="118" a="1"/>
  <c r="E143" i="118" s="1"/>
  <c r="L143" i="118" s="1"/>
  <c r="D143" i="118" a="1"/>
  <c r="D143" i="118" s="1"/>
  <c r="I142" i="118" a="1"/>
  <c r="I142" i="118" s="1"/>
  <c r="H142" i="118"/>
  <c r="H142" i="118" a="1"/>
  <c r="G142" i="118" a="1"/>
  <c r="G142" i="118" s="1"/>
  <c r="F142" i="118" a="1"/>
  <c r="F142" i="118" s="1"/>
  <c r="M142" i="118" s="1"/>
  <c r="E142" i="118" a="1"/>
  <c r="E142" i="118" s="1"/>
  <c r="L142" i="118" s="1"/>
  <c r="D142" i="118" a="1"/>
  <c r="D142" i="118" s="1"/>
  <c r="I141" i="118" a="1"/>
  <c r="I141" i="118" s="1"/>
  <c r="H141" i="118" a="1"/>
  <c r="H141" i="118" s="1"/>
  <c r="G141" i="118" a="1"/>
  <c r="G141" i="118" s="1"/>
  <c r="F141" i="118" a="1"/>
  <c r="F141" i="118" s="1"/>
  <c r="M141" i="118" s="1"/>
  <c r="E141" i="118" a="1"/>
  <c r="E141" i="118" s="1"/>
  <c r="L141" i="118" s="1"/>
  <c r="D141" i="118" a="1"/>
  <c r="D141" i="118" s="1"/>
  <c r="I140" i="118" a="1"/>
  <c r="I140" i="118" s="1"/>
  <c r="H140" i="118" a="1"/>
  <c r="H140" i="118" s="1"/>
  <c r="G140" i="118" a="1"/>
  <c r="G140" i="118" s="1"/>
  <c r="F140" i="118" a="1"/>
  <c r="F140" i="118" s="1"/>
  <c r="M140" i="118" s="1"/>
  <c r="E140" i="118" a="1"/>
  <c r="E140" i="118" s="1"/>
  <c r="L140" i="118" s="1"/>
  <c r="D140" i="118" a="1"/>
  <c r="D140" i="118" s="1"/>
  <c r="I139" i="118" a="1"/>
  <c r="I139" i="118" s="1"/>
  <c r="H139" i="118" a="1"/>
  <c r="H139" i="118" s="1"/>
  <c r="G139" i="118" a="1"/>
  <c r="G139" i="118" s="1"/>
  <c r="F139" i="118" a="1"/>
  <c r="F139" i="118" s="1"/>
  <c r="M139" i="118" s="1"/>
  <c r="E139" i="118" a="1"/>
  <c r="E139" i="118" s="1"/>
  <c r="L139" i="118" s="1"/>
  <c r="D139" i="118" a="1"/>
  <c r="D139" i="118" s="1"/>
  <c r="I138" i="118" a="1"/>
  <c r="I138" i="118" s="1"/>
  <c r="H138" i="118" a="1"/>
  <c r="H138" i="118" s="1"/>
  <c r="G138" i="118" a="1"/>
  <c r="G138" i="118" s="1"/>
  <c r="F138" i="118" a="1"/>
  <c r="F138" i="118" s="1"/>
  <c r="M138" i="118" s="1"/>
  <c r="E138" i="118" a="1"/>
  <c r="E138" i="118" s="1"/>
  <c r="L138" i="118" s="1"/>
  <c r="N137" i="118" s="1"/>
  <c r="D138" i="118" a="1"/>
  <c r="D138" i="118" s="1"/>
  <c r="I137" i="118" a="1"/>
  <c r="I137" i="118" s="1"/>
  <c r="H137" i="118" a="1"/>
  <c r="H137" i="118" s="1"/>
  <c r="G137" i="118" a="1"/>
  <c r="G137" i="118" s="1"/>
  <c r="F137" i="118" a="1"/>
  <c r="F137" i="118" s="1"/>
  <c r="P137" i="118" s="1"/>
  <c r="E137" i="118" a="1"/>
  <c r="E137" i="118" s="1"/>
  <c r="O137" i="118" s="1"/>
  <c r="D137" i="118" a="1"/>
  <c r="D137" i="118" s="1"/>
  <c r="I136" i="118" a="1"/>
  <c r="I136" i="118" s="1"/>
  <c r="H136" i="118" a="1"/>
  <c r="H136" i="118" s="1"/>
  <c r="G136" i="118" a="1"/>
  <c r="G136" i="118" s="1"/>
  <c r="F136" i="118" a="1"/>
  <c r="F136" i="118" s="1"/>
  <c r="P136" i="118" s="1"/>
  <c r="E136" i="118" a="1"/>
  <c r="E136" i="118" s="1"/>
  <c r="O136" i="118" s="1"/>
  <c r="D136" i="118" a="1"/>
  <c r="D136" i="118" s="1"/>
  <c r="I135" i="118" a="1"/>
  <c r="I135" i="118" s="1"/>
  <c r="H135" i="118" a="1"/>
  <c r="H135" i="118" s="1"/>
  <c r="G135" i="118" a="1"/>
  <c r="G135" i="118" s="1"/>
  <c r="F135" i="118" a="1"/>
  <c r="F135" i="118" s="1"/>
  <c r="P135" i="118" s="1"/>
  <c r="E135" i="118" a="1"/>
  <c r="E135" i="118" s="1"/>
  <c r="O135" i="118" s="1"/>
  <c r="D135" i="118" a="1"/>
  <c r="D135" i="118" s="1"/>
  <c r="I134" i="118" a="1"/>
  <c r="I134" i="118" s="1"/>
  <c r="H134" i="118" a="1"/>
  <c r="H134" i="118" s="1"/>
  <c r="G134" i="118" a="1"/>
  <c r="G134" i="118" s="1"/>
  <c r="F134" i="118" a="1"/>
  <c r="F134" i="118" s="1"/>
  <c r="P134" i="118" s="1"/>
  <c r="E134" i="118" a="1"/>
  <c r="E134" i="118" s="1"/>
  <c r="O134" i="118" s="1"/>
  <c r="D134" i="118" a="1"/>
  <c r="D134" i="118" s="1"/>
  <c r="I133" i="118" a="1"/>
  <c r="I133" i="118" s="1"/>
  <c r="H133" i="118" a="1"/>
  <c r="H133" i="118" s="1"/>
  <c r="G133" i="118" a="1"/>
  <c r="G133" i="118" s="1"/>
  <c r="F133" i="118" a="1"/>
  <c r="F133" i="118" s="1"/>
  <c r="P133" i="118" s="1"/>
  <c r="E133" i="118" a="1"/>
  <c r="E133" i="118" s="1"/>
  <c r="O133" i="118" s="1"/>
  <c r="D133" i="118" a="1"/>
  <c r="D133" i="118" s="1"/>
  <c r="I132" i="118" a="1"/>
  <c r="I132" i="118" s="1"/>
  <c r="H132" i="118" a="1"/>
  <c r="H132" i="118" s="1"/>
  <c r="G132" i="118" a="1"/>
  <c r="G132" i="118" s="1"/>
  <c r="F132" i="118" a="1"/>
  <c r="F132" i="118" s="1"/>
  <c r="P132" i="118" s="1"/>
  <c r="E132" i="118" a="1"/>
  <c r="E132" i="118" s="1"/>
  <c r="O132" i="118" s="1"/>
  <c r="D132" i="118" a="1"/>
  <c r="D132" i="118" s="1"/>
  <c r="I131" i="118" a="1"/>
  <c r="I131" i="118" s="1"/>
  <c r="H131" i="118" a="1"/>
  <c r="H131" i="118" s="1"/>
  <c r="G131" i="118" a="1"/>
  <c r="G131" i="118" s="1"/>
  <c r="F131" i="118" a="1"/>
  <c r="F131" i="118" s="1"/>
  <c r="P131" i="118" s="1"/>
  <c r="E131" i="118" a="1"/>
  <c r="E131" i="118" s="1"/>
  <c r="O131" i="118" s="1"/>
  <c r="Q130" i="118" s="1"/>
  <c r="D131" i="118" a="1"/>
  <c r="D131" i="118" s="1"/>
  <c r="I130" i="118" a="1"/>
  <c r="I130" i="118" s="1"/>
  <c r="H130" i="118" a="1"/>
  <c r="H130" i="118" s="1"/>
  <c r="G130" i="118" a="1"/>
  <c r="G130" i="118" s="1"/>
  <c r="F130" i="118" a="1"/>
  <c r="F130" i="118" s="1"/>
  <c r="M130" i="118" s="1"/>
  <c r="E130" i="118" a="1"/>
  <c r="E130" i="118" s="1"/>
  <c r="L130" i="118" s="1"/>
  <c r="D130" i="118" a="1"/>
  <c r="D130" i="118" s="1"/>
  <c r="I129" i="118" a="1"/>
  <c r="I129" i="118" s="1"/>
  <c r="H129" i="118" a="1"/>
  <c r="H129" i="118" s="1"/>
  <c r="G129" i="118" a="1"/>
  <c r="G129" i="118" s="1"/>
  <c r="F129" i="118" a="1"/>
  <c r="F129" i="118" s="1"/>
  <c r="M129" i="118" s="1"/>
  <c r="E129" i="118" a="1"/>
  <c r="E129" i="118" s="1"/>
  <c r="L129" i="118" s="1"/>
  <c r="D129" i="118" a="1"/>
  <c r="D129" i="118" s="1"/>
  <c r="I128" i="118" a="1"/>
  <c r="I128" i="118" s="1"/>
  <c r="H128" i="118" a="1"/>
  <c r="H128" i="118" s="1"/>
  <c r="G128" i="118" a="1"/>
  <c r="G128" i="118" s="1"/>
  <c r="F128" i="118" a="1"/>
  <c r="F128" i="118" s="1"/>
  <c r="M128" i="118" s="1"/>
  <c r="E128" i="118" a="1"/>
  <c r="E128" i="118" s="1"/>
  <c r="L128" i="118" s="1"/>
  <c r="D128" i="118" a="1"/>
  <c r="D128" i="118" s="1"/>
  <c r="I127" i="118" a="1"/>
  <c r="I127" i="118" s="1"/>
  <c r="H127" i="118" a="1"/>
  <c r="H127" i="118" s="1"/>
  <c r="G127" i="118" a="1"/>
  <c r="G127" i="118" s="1"/>
  <c r="F127" i="118" a="1"/>
  <c r="F127" i="118" s="1"/>
  <c r="M127" i="118" s="1"/>
  <c r="E127" i="118" a="1"/>
  <c r="E127" i="118" s="1"/>
  <c r="L127" i="118" s="1"/>
  <c r="D127" i="118" a="1"/>
  <c r="D127" i="118" s="1"/>
  <c r="I126" i="118" a="1"/>
  <c r="I126" i="118" s="1"/>
  <c r="H126" i="118" a="1"/>
  <c r="H126" i="118" s="1"/>
  <c r="G126" i="118" a="1"/>
  <c r="G126" i="118" s="1"/>
  <c r="F126" i="118" a="1"/>
  <c r="F126" i="118" s="1"/>
  <c r="M126" i="118" s="1"/>
  <c r="E126" i="118" a="1"/>
  <c r="E126" i="118" s="1"/>
  <c r="L126" i="118" s="1"/>
  <c r="D126" i="118" a="1"/>
  <c r="D126" i="118" s="1"/>
  <c r="I125" i="118" a="1"/>
  <c r="I125" i="118" s="1"/>
  <c r="H125" i="118" a="1"/>
  <c r="H125" i="118" s="1"/>
  <c r="G125" i="118" a="1"/>
  <c r="G125" i="118" s="1"/>
  <c r="F125" i="118" a="1"/>
  <c r="F125" i="118" s="1"/>
  <c r="M125" i="118" s="1"/>
  <c r="E125" i="118" a="1"/>
  <c r="E125" i="118" s="1"/>
  <c r="L125" i="118" s="1"/>
  <c r="N124" i="118" s="1"/>
  <c r="D125" i="118" a="1"/>
  <c r="D125" i="118" s="1"/>
  <c r="I124" i="118" a="1"/>
  <c r="I124" i="118" s="1"/>
  <c r="H124" i="118" a="1"/>
  <c r="H124" i="118" s="1"/>
  <c r="G124" i="118" a="1"/>
  <c r="G124" i="118" s="1"/>
  <c r="F124" i="118" a="1"/>
  <c r="F124" i="118" s="1"/>
  <c r="P124" i="118" s="1"/>
  <c r="E124" i="118" a="1"/>
  <c r="E124" i="118" s="1"/>
  <c r="O124" i="118" s="1"/>
  <c r="D124" i="118" a="1"/>
  <c r="D124" i="118" s="1"/>
  <c r="I123" i="118" a="1"/>
  <c r="I123" i="118" s="1"/>
  <c r="H123" i="118" a="1"/>
  <c r="H123" i="118" s="1"/>
  <c r="G123" i="118" a="1"/>
  <c r="G123" i="118" s="1"/>
  <c r="F123" i="118" a="1"/>
  <c r="F123" i="118" s="1"/>
  <c r="P123" i="118" s="1"/>
  <c r="E123" i="118" a="1"/>
  <c r="E123" i="118" s="1"/>
  <c r="O123" i="118" s="1"/>
  <c r="D123" i="118" a="1"/>
  <c r="D123" i="118" s="1"/>
  <c r="I122" i="118" a="1"/>
  <c r="I122" i="118" s="1"/>
  <c r="H122" i="118" a="1"/>
  <c r="H122" i="118" s="1"/>
  <c r="G122" i="118" a="1"/>
  <c r="G122" i="118" s="1"/>
  <c r="F122" i="118" a="1"/>
  <c r="F122" i="118" s="1"/>
  <c r="P122" i="118" s="1"/>
  <c r="E122" i="118" a="1"/>
  <c r="E122" i="118" s="1"/>
  <c r="O122" i="118" s="1"/>
  <c r="D122" i="118" a="1"/>
  <c r="D122" i="118" s="1"/>
  <c r="I121" i="118" a="1"/>
  <c r="I121" i="118" s="1"/>
  <c r="H121" i="118" a="1"/>
  <c r="H121" i="118" s="1"/>
  <c r="G121" i="118" a="1"/>
  <c r="G121" i="118" s="1"/>
  <c r="F121" i="118" a="1"/>
  <c r="F121" i="118" s="1"/>
  <c r="P121" i="118" s="1"/>
  <c r="E121" i="118" a="1"/>
  <c r="E121" i="118" s="1"/>
  <c r="O121" i="118" s="1"/>
  <c r="D121" i="118" a="1"/>
  <c r="D121" i="118" s="1"/>
  <c r="I120" i="118" a="1"/>
  <c r="I120" i="118" s="1"/>
  <c r="H120" i="118" a="1"/>
  <c r="H120" i="118" s="1"/>
  <c r="G120" i="118" a="1"/>
  <c r="G120" i="118" s="1"/>
  <c r="F120" i="118" a="1"/>
  <c r="F120" i="118" s="1"/>
  <c r="P120" i="118" s="1"/>
  <c r="E120" i="118" a="1"/>
  <c r="E120" i="118" s="1"/>
  <c r="O120" i="118" s="1"/>
  <c r="D120" i="118" a="1"/>
  <c r="D120" i="118" s="1"/>
  <c r="I119" i="118" a="1"/>
  <c r="I119" i="118" s="1"/>
  <c r="H119" i="118" a="1"/>
  <c r="H119" i="118" s="1"/>
  <c r="G119" i="118" a="1"/>
  <c r="G119" i="118" s="1"/>
  <c r="F119" i="118" a="1"/>
  <c r="F119" i="118" s="1"/>
  <c r="P119" i="118" s="1"/>
  <c r="E119" i="118" a="1"/>
  <c r="E119" i="118" s="1"/>
  <c r="O119" i="118" s="1"/>
  <c r="D119" i="118" a="1"/>
  <c r="D119" i="118" s="1"/>
  <c r="I118" i="118" a="1"/>
  <c r="I118" i="118" s="1"/>
  <c r="H118" i="118" a="1"/>
  <c r="H118" i="118" s="1"/>
  <c r="G118" i="118" a="1"/>
  <c r="G118" i="118" s="1"/>
  <c r="F118" i="118" a="1"/>
  <c r="F118" i="118" s="1"/>
  <c r="P118" i="118" s="1"/>
  <c r="E118" i="118" a="1"/>
  <c r="E118" i="118" s="1"/>
  <c r="O118" i="118" s="1"/>
  <c r="Q117" i="118" s="1"/>
  <c r="D118" i="118" a="1"/>
  <c r="D118" i="118" s="1"/>
  <c r="I117" i="118"/>
  <c r="I117" i="118" a="1"/>
  <c r="H117" i="118" a="1"/>
  <c r="H117" i="118" s="1"/>
  <c r="G117" i="118"/>
  <c r="G117" i="118" a="1"/>
  <c r="F117" i="118" a="1"/>
  <c r="F117" i="118" s="1"/>
  <c r="M117" i="118" s="1"/>
  <c r="E117" i="118" a="1"/>
  <c r="E117" i="118" s="1"/>
  <c r="L117" i="118" s="1"/>
  <c r="D117" i="118" a="1"/>
  <c r="D117" i="118" s="1"/>
  <c r="I116" i="118" a="1"/>
  <c r="I116" i="118" s="1"/>
  <c r="H116" i="118" a="1"/>
  <c r="H116" i="118" s="1"/>
  <c r="G116" i="118" a="1"/>
  <c r="G116" i="118" s="1"/>
  <c r="F116" i="118"/>
  <c r="M116" i="118" s="1"/>
  <c r="F116" i="118" a="1"/>
  <c r="E116" i="118"/>
  <c r="L116" i="118" s="1"/>
  <c r="E116" i="118" a="1"/>
  <c r="D116" i="118" a="1"/>
  <c r="D116" i="118" s="1"/>
  <c r="I115" i="118" a="1"/>
  <c r="I115" i="118" s="1"/>
  <c r="H115" i="118" a="1"/>
  <c r="H115" i="118" s="1"/>
  <c r="G115" i="118" a="1"/>
  <c r="G115" i="118" s="1"/>
  <c r="F115" i="118" a="1"/>
  <c r="F115" i="118" s="1"/>
  <c r="M115" i="118" s="1"/>
  <c r="E115" i="118" a="1"/>
  <c r="E115" i="118" s="1"/>
  <c r="L115" i="118" s="1"/>
  <c r="D115" i="118" a="1"/>
  <c r="D115" i="118" s="1"/>
  <c r="I114" i="118" a="1"/>
  <c r="I114" i="118" s="1"/>
  <c r="H114" i="118" a="1"/>
  <c r="H114" i="118" s="1"/>
  <c r="G114" i="118"/>
  <c r="G114" i="118" a="1"/>
  <c r="F114" i="118" a="1"/>
  <c r="F114" i="118" s="1"/>
  <c r="M114" i="118" s="1"/>
  <c r="E114" i="118" a="1"/>
  <c r="E114" i="118" s="1"/>
  <c r="L114" i="118" s="1"/>
  <c r="D114" i="118" a="1"/>
  <c r="D114" i="118" s="1"/>
  <c r="I113" i="118" a="1"/>
  <c r="I113" i="118" s="1"/>
  <c r="H113" i="118" a="1"/>
  <c r="H113" i="118" s="1"/>
  <c r="G113" i="118" a="1"/>
  <c r="G113" i="118" s="1"/>
  <c r="F113" i="118" a="1"/>
  <c r="F113" i="118" s="1"/>
  <c r="M113" i="118" s="1"/>
  <c r="E113" i="118" a="1"/>
  <c r="E113" i="118" s="1"/>
  <c r="L113" i="118" s="1"/>
  <c r="D113" i="118" a="1"/>
  <c r="D113" i="118" s="1"/>
  <c r="I112" i="118" a="1"/>
  <c r="I112" i="118" s="1"/>
  <c r="H112" i="118" a="1"/>
  <c r="H112" i="118" s="1"/>
  <c r="G112" i="118" a="1"/>
  <c r="G112" i="118" s="1"/>
  <c r="F112" i="118" a="1"/>
  <c r="F112" i="118" s="1"/>
  <c r="M112" i="118" s="1"/>
  <c r="E112" i="118"/>
  <c r="L112" i="118" s="1"/>
  <c r="E112" i="118" a="1"/>
  <c r="D112" i="118" a="1"/>
  <c r="D112" i="118" s="1"/>
  <c r="I111" i="118" a="1"/>
  <c r="I111" i="118" s="1"/>
  <c r="H111" i="118" a="1"/>
  <c r="H111" i="118" s="1"/>
  <c r="G111" i="118"/>
  <c r="G111" i="118" a="1"/>
  <c r="F111" i="118" a="1"/>
  <c r="F111" i="118" s="1"/>
  <c r="M111" i="118" s="1"/>
  <c r="E111" i="118" a="1"/>
  <c r="E111" i="118" s="1"/>
  <c r="L111" i="118" s="1"/>
  <c r="D111" i="118" a="1"/>
  <c r="D111" i="118" s="1"/>
  <c r="I110" i="118" a="1"/>
  <c r="I110" i="118" s="1"/>
  <c r="H110" i="118" a="1"/>
  <c r="H110" i="118" s="1"/>
  <c r="G110" i="118" a="1"/>
  <c r="G110" i="118" s="1"/>
  <c r="F110" i="118" a="1"/>
  <c r="F110" i="118" s="1"/>
  <c r="M110" i="118" s="1"/>
  <c r="E110" i="118" a="1"/>
  <c r="E110" i="118" s="1"/>
  <c r="L110" i="118" s="1"/>
  <c r="N109" i="118" s="1"/>
  <c r="D110" i="118" a="1"/>
  <c r="D110" i="118" s="1"/>
  <c r="I109" i="118" a="1"/>
  <c r="I109" i="118" s="1"/>
  <c r="H109" i="118" a="1"/>
  <c r="H109" i="118" s="1"/>
  <c r="G109" i="118" a="1"/>
  <c r="G109" i="118" s="1"/>
  <c r="F109" i="118" a="1"/>
  <c r="F109" i="118" s="1"/>
  <c r="P109" i="118" s="1"/>
  <c r="E109" i="118" a="1"/>
  <c r="E109" i="118" s="1"/>
  <c r="O109" i="118" s="1"/>
  <c r="D109" i="118" a="1"/>
  <c r="D109" i="118" s="1"/>
  <c r="I108" i="118" a="1"/>
  <c r="I108" i="118" s="1"/>
  <c r="H108" i="118" a="1"/>
  <c r="H108" i="118" s="1"/>
  <c r="G108" i="118" a="1"/>
  <c r="G108" i="118" s="1"/>
  <c r="F108" i="118" a="1"/>
  <c r="F108" i="118" s="1"/>
  <c r="P108" i="118" s="1"/>
  <c r="E108" i="118" a="1"/>
  <c r="E108" i="118" s="1"/>
  <c r="O108" i="118" s="1"/>
  <c r="D108" i="118" a="1"/>
  <c r="D108" i="118" s="1"/>
  <c r="I107" i="118" a="1"/>
  <c r="I107" i="118" s="1"/>
  <c r="H107" i="118" a="1"/>
  <c r="H107" i="118" s="1"/>
  <c r="G107" i="118" a="1"/>
  <c r="G107" i="118" s="1"/>
  <c r="F107" i="118" a="1"/>
  <c r="F107" i="118" s="1"/>
  <c r="P107" i="118" s="1"/>
  <c r="E107" i="118" a="1"/>
  <c r="E107" i="118" s="1"/>
  <c r="O107" i="118" s="1"/>
  <c r="D107" i="118" a="1"/>
  <c r="D107" i="118" s="1"/>
  <c r="O106" i="118"/>
  <c r="I106" i="118" a="1"/>
  <c r="I106" i="118" s="1"/>
  <c r="H106" i="118" a="1"/>
  <c r="H106" i="118" s="1"/>
  <c r="G106" i="118" a="1"/>
  <c r="G106" i="118" s="1"/>
  <c r="F106" i="118" a="1"/>
  <c r="F106" i="118" s="1"/>
  <c r="P106" i="118" s="1"/>
  <c r="E106" i="118" a="1"/>
  <c r="E106" i="118" s="1"/>
  <c r="D106" i="118" a="1"/>
  <c r="D106" i="118" s="1"/>
  <c r="I105" i="118" a="1"/>
  <c r="I105" i="118" s="1"/>
  <c r="H105" i="118" a="1"/>
  <c r="H105" i="118" s="1"/>
  <c r="G105" i="118" a="1"/>
  <c r="G105" i="118" s="1"/>
  <c r="F105" i="118" a="1"/>
  <c r="F105" i="118" s="1"/>
  <c r="P105" i="118" s="1"/>
  <c r="E105" i="118" a="1"/>
  <c r="E105" i="118" s="1"/>
  <c r="O105" i="118" s="1"/>
  <c r="Q104" i="118" s="1"/>
  <c r="D105" i="118" a="1"/>
  <c r="D105" i="118" s="1"/>
  <c r="I104" i="118" a="1"/>
  <c r="I104" i="118" s="1"/>
  <c r="H104" i="118" a="1"/>
  <c r="H104" i="118" s="1"/>
  <c r="G104" i="118" a="1"/>
  <c r="G104" i="118" s="1"/>
  <c r="F104" i="118" a="1"/>
  <c r="F104" i="118" s="1"/>
  <c r="M104" i="118" s="1"/>
  <c r="E104" i="118" a="1"/>
  <c r="E104" i="118" s="1"/>
  <c r="L104" i="118" s="1"/>
  <c r="D104" i="118" a="1"/>
  <c r="D104" i="118" s="1"/>
  <c r="I103" i="118" a="1"/>
  <c r="I103" i="118" s="1"/>
  <c r="H103" i="118" a="1"/>
  <c r="H103" i="118" s="1"/>
  <c r="G103" i="118" a="1"/>
  <c r="G103" i="118" s="1"/>
  <c r="F103" i="118" a="1"/>
  <c r="F103" i="118" s="1"/>
  <c r="M103" i="118" s="1"/>
  <c r="E103" i="118" a="1"/>
  <c r="E103" i="118" s="1"/>
  <c r="L103" i="118" s="1"/>
  <c r="D103" i="118" a="1"/>
  <c r="D103" i="118" s="1"/>
  <c r="I102" i="118" a="1"/>
  <c r="I102" i="118" s="1"/>
  <c r="H102" i="118" a="1"/>
  <c r="H102" i="118" s="1"/>
  <c r="G102" i="118" a="1"/>
  <c r="G102" i="118" s="1"/>
  <c r="F102" i="118" a="1"/>
  <c r="F102" i="118" s="1"/>
  <c r="M102" i="118" s="1"/>
  <c r="E102" i="118" a="1"/>
  <c r="E102" i="118" s="1"/>
  <c r="L102" i="118" s="1"/>
  <c r="D102" i="118" a="1"/>
  <c r="D102" i="118" s="1"/>
  <c r="I101" i="118" a="1"/>
  <c r="I101" i="118" s="1"/>
  <c r="H101" i="118" a="1"/>
  <c r="H101" i="118" s="1"/>
  <c r="G101" i="118" a="1"/>
  <c r="G101" i="118" s="1"/>
  <c r="F101" i="118" a="1"/>
  <c r="F101" i="118" s="1"/>
  <c r="M101" i="118" s="1"/>
  <c r="E101" i="118" a="1"/>
  <c r="E101" i="118" s="1"/>
  <c r="L101" i="118" s="1"/>
  <c r="D101" i="118" a="1"/>
  <c r="D101" i="118" s="1"/>
  <c r="I100" i="118" a="1"/>
  <c r="I100" i="118" s="1"/>
  <c r="H100" i="118" a="1"/>
  <c r="H100" i="118" s="1"/>
  <c r="G100" i="118" a="1"/>
  <c r="G100" i="118" s="1"/>
  <c r="F100" i="118" a="1"/>
  <c r="F100" i="118" s="1"/>
  <c r="M100" i="118" s="1"/>
  <c r="E100" i="118" a="1"/>
  <c r="E100" i="118" s="1"/>
  <c r="L100" i="118" s="1"/>
  <c r="D100" i="118" a="1"/>
  <c r="D100" i="118" s="1"/>
  <c r="I99" i="118" a="1"/>
  <c r="I99" i="118" s="1"/>
  <c r="H99" i="118" a="1"/>
  <c r="H99" i="118" s="1"/>
  <c r="G99" i="118" a="1"/>
  <c r="G99" i="118" s="1"/>
  <c r="F99" i="118" a="1"/>
  <c r="F99" i="118" s="1"/>
  <c r="M99" i="118" s="1"/>
  <c r="E99" i="118" a="1"/>
  <c r="E99" i="118" s="1"/>
  <c r="L99" i="118" s="1"/>
  <c r="D99" i="118" a="1"/>
  <c r="D99" i="118" s="1"/>
  <c r="I98" i="118" a="1"/>
  <c r="I98" i="118" s="1"/>
  <c r="H98" i="118" a="1"/>
  <c r="H98" i="118" s="1"/>
  <c r="G98" i="118" a="1"/>
  <c r="G98" i="118" s="1"/>
  <c r="F98" i="118" a="1"/>
  <c r="F98" i="118" s="1"/>
  <c r="M98" i="118" s="1"/>
  <c r="E98" i="118" a="1"/>
  <c r="E98" i="118" s="1"/>
  <c r="L98" i="118" s="1"/>
  <c r="N97" i="118" s="1"/>
  <c r="D98" i="118" a="1"/>
  <c r="D98" i="118" s="1"/>
  <c r="I97" i="118" a="1"/>
  <c r="I97" i="118" s="1"/>
  <c r="H97" i="118" a="1"/>
  <c r="H97" i="118" s="1"/>
  <c r="G97" i="118" a="1"/>
  <c r="G97" i="118" s="1"/>
  <c r="F97" i="118" a="1"/>
  <c r="F97" i="118" s="1"/>
  <c r="P97" i="118" s="1"/>
  <c r="E97" i="118" a="1"/>
  <c r="E97" i="118" s="1"/>
  <c r="O97" i="118" s="1"/>
  <c r="D97" i="118" a="1"/>
  <c r="D97" i="118" s="1"/>
  <c r="I96" i="118" a="1"/>
  <c r="I96" i="118" s="1"/>
  <c r="H96" i="118" a="1"/>
  <c r="H96" i="118" s="1"/>
  <c r="G96" i="118" a="1"/>
  <c r="G96" i="118" s="1"/>
  <c r="F96" i="118" a="1"/>
  <c r="F96" i="118" s="1"/>
  <c r="P96" i="118" s="1"/>
  <c r="E96" i="118" a="1"/>
  <c r="E96" i="118" s="1"/>
  <c r="O96" i="118" s="1"/>
  <c r="D96" i="118" a="1"/>
  <c r="D96" i="118" s="1"/>
  <c r="I95" i="118" a="1"/>
  <c r="I95" i="118" s="1"/>
  <c r="H95" i="118" a="1"/>
  <c r="H95" i="118" s="1"/>
  <c r="G95" i="118" a="1"/>
  <c r="G95" i="118" s="1"/>
  <c r="F95" i="118" a="1"/>
  <c r="F95" i="118" s="1"/>
  <c r="P95" i="118" s="1"/>
  <c r="E95" i="118" a="1"/>
  <c r="E95" i="118" s="1"/>
  <c r="O95" i="118" s="1"/>
  <c r="D95" i="118" a="1"/>
  <c r="D95" i="118" s="1"/>
  <c r="O94" i="118"/>
  <c r="I94" i="118" a="1"/>
  <c r="I94" i="118" s="1"/>
  <c r="H94" i="118"/>
  <c r="H94" i="118" a="1"/>
  <c r="G94" i="118" a="1"/>
  <c r="G94" i="118" s="1"/>
  <c r="F94" i="118" a="1"/>
  <c r="F94" i="118" s="1"/>
  <c r="P94" i="118" s="1"/>
  <c r="E94" i="118" a="1"/>
  <c r="E94" i="118" s="1"/>
  <c r="D94" i="118" a="1"/>
  <c r="D94" i="118" s="1"/>
  <c r="I93" i="118" a="1"/>
  <c r="I93" i="118" s="1"/>
  <c r="H93" i="118" a="1"/>
  <c r="H93" i="118" s="1"/>
  <c r="G93" i="118" a="1"/>
  <c r="G93" i="118" s="1"/>
  <c r="F93" i="118" a="1"/>
  <c r="F93" i="118" s="1"/>
  <c r="P93" i="118" s="1"/>
  <c r="E93" i="118" a="1"/>
  <c r="E93" i="118" s="1"/>
  <c r="O93" i="118" s="1"/>
  <c r="D93" i="118" a="1"/>
  <c r="D93" i="118" s="1"/>
  <c r="O92" i="118"/>
  <c r="I92" i="118" a="1"/>
  <c r="I92" i="118" s="1"/>
  <c r="H92" i="118" a="1"/>
  <c r="H92" i="118" s="1"/>
  <c r="G92" i="118" a="1"/>
  <c r="G92" i="118" s="1"/>
  <c r="F92" i="118" a="1"/>
  <c r="F92" i="118" s="1"/>
  <c r="P92" i="118" s="1"/>
  <c r="E92" i="118" a="1"/>
  <c r="E92" i="118" s="1"/>
  <c r="D92" i="118" a="1"/>
  <c r="D92" i="118" s="1"/>
  <c r="I91" i="118" a="1"/>
  <c r="I91" i="118" s="1"/>
  <c r="H91" i="118" a="1"/>
  <c r="H91" i="118" s="1"/>
  <c r="G91" i="118" a="1"/>
  <c r="G91" i="118" s="1"/>
  <c r="F91" i="118" a="1"/>
  <c r="F91" i="118" s="1"/>
  <c r="P91" i="118" s="1"/>
  <c r="E91" i="118" a="1"/>
  <c r="E91" i="118" s="1"/>
  <c r="O91" i="118" s="1"/>
  <c r="D91" i="118" a="1"/>
  <c r="D91" i="118" s="1"/>
  <c r="I90" i="118"/>
  <c r="I90" i="118" a="1"/>
  <c r="H90" i="118" a="1"/>
  <c r="H90" i="118" s="1"/>
  <c r="G90" i="118" a="1"/>
  <c r="G90" i="118" s="1"/>
  <c r="F90" i="118" a="1"/>
  <c r="F90" i="118" s="1"/>
  <c r="P90" i="118" s="1"/>
  <c r="E90" i="118" a="1"/>
  <c r="E90" i="118" s="1"/>
  <c r="O90" i="118" s="1"/>
  <c r="Q89" i="118" s="1"/>
  <c r="D90" i="118" a="1"/>
  <c r="D90" i="118" s="1"/>
  <c r="I86" i="118" a="1"/>
  <c r="I86" i="118" s="1"/>
  <c r="H86" i="118" a="1"/>
  <c r="H86" i="118" s="1"/>
  <c r="G86" i="118" a="1"/>
  <c r="G86" i="118" s="1"/>
  <c r="F86" i="118" a="1"/>
  <c r="F86" i="118" s="1"/>
  <c r="E86" i="118" a="1"/>
  <c r="E86" i="118" s="1"/>
  <c r="D86" i="118" a="1"/>
  <c r="D86" i="118" s="1"/>
  <c r="I85" i="118" a="1"/>
  <c r="I85" i="118" s="1"/>
  <c r="H85" i="118"/>
  <c r="H85" i="118" a="1"/>
  <c r="G85" i="118" a="1"/>
  <c r="G85" i="118" s="1"/>
  <c r="F85" i="118" a="1"/>
  <c r="F85" i="118" s="1"/>
  <c r="E85" i="118"/>
  <c r="E85" i="118" a="1"/>
  <c r="D85" i="118"/>
  <c r="D85" i="118" a="1"/>
  <c r="I84" i="118" a="1"/>
  <c r="I84" i="118" s="1"/>
  <c r="H84" i="118" a="1"/>
  <c r="H84" i="118" s="1"/>
  <c r="G84" i="118" a="1"/>
  <c r="G84" i="118" s="1"/>
  <c r="F84" i="118" a="1"/>
  <c r="F84" i="118" s="1"/>
  <c r="E84" i="118" a="1"/>
  <c r="E84" i="118" s="1"/>
  <c r="D84" i="118" a="1"/>
  <c r="D84" i="118" s="1"/>
  <c r="I83" i="118" a="1"/>
  <c r="I83" i="118" s="1"/>
  <c r="H83" i="118" a="1"/>
  <c r="H83" i="118" s="1"/>
  <c r="G83" i="118" a="1"/>
  <c r="G83" i="118" s="1"/>
  <c r="F83" i="118"/>
  <c r="F83" i="118" a="1"/>
  <c r="E83" i="118" a="1"/>
  <c r="E83" i="118" s="1"/>
  <c r="D83" i="118" a="1"/>
  <c r="D83" i="118" s="1"/>
  <c r="I80" i="118" a="1"/>
  <c r="I80" i="118" s="1"/>
  <c r="H80" i="118" a="1"/>
  <c r="H80" i="118" s="1"/>
  <c r="G80" i="118" a="1"/>
  <c r="G80" i="118" s="1"/>
  <c r="F80" i="118" a="1"/>
  <c r="F80" i="118" s="1"/>
  <c r="E80" i="118" a="1"/>
  <c r="E80" i="118" s="1"/>
  <c r="D80" i="118" a="1"/>
  <c r="D80" i="118" s="1"/>
  <c r="I79" i="118" a="1"/>
  <c r="I79" i="118" s="1"/>
  <c r="H79" i="118" a="1"/>
  <c r="H79" i="118" s="1"/>
  <c r="G79" i="118" a="1"/>
  <c r="G79" i="118" s="1"/>
  <c r="F79" i="118" a="1"/>
  <c r="F79" i="118" s="1"/>
  <c r="E79" i="118" a="1"/>
  <c r="E79" i="118" s="1"/>
  <c r="D79" i="118" a="1"/>
  <c r="D79" i="118" s="1"/>
  <c r="I78" i="118" a="1"/>
  <c r="I78" i="118" s="1"/>
  <c r="H78" i="118" a="1"/>
  <c r="H78" i="118" s="1"/>
  <c r="G78" i="118" a="1"/>
  <c r="G78" i="118" s="1"/>
  <c r="F78" i="118"/>
  <c r="F78" i="118" a="1"/>
  <c r="E78" i="118" a="1"/>
  <c r="E78" i="118" s="1"/>
  <c r="D78" i="118" a="1"/>
  <c r="D78" i="118" s="1"/>
  <c r="I74" i="118" a="1"/>
  <c r="I74" i="118" s="1"/>
  <c r="H74" i="118" a="1"/>
  <c r="H74" i="118" s="1"/>
  <c r="G74" i="118" a="1"/>
  <c r="G74" i="118" s="1"/>
  <c r="F74" i="118" a="1"/>
  <c r="F74" i="118" s="1"/>
  <c r="E74" i="118" a="1"/>
  <c r="E74" i="118" s="1"/>
  <c r="D74" i="118" a="1"/>
  <c r="D74" i="118" s="1"/>
  <c r="I73" i="118" a="1"/>
  <c r="I73" i="118" s="1"/>
  <c r="H73" i="118" a="1"/>
  <c r="H73" i="118" s="1"/>
  <c r="G73" i="118" a="1"/>
  <c r="G73" i="118" s="1"/>
  <c r="F73" i="118" a="1"/>
  <c r="F73" i="118" s="1"/>
  <c r="E73" i="118" a="1"/>
  <c r="E73" i="118" s="1"/>
  <c r="D73" i="118"/>
  <c r="D73" i="118" a="1"/>
  <c r="I72" i="118"/>
  <c r="I72" i="118" a="1"/>
  <c r="H72" i="118" a="1"/>
  <c r="H72" i="118" s="1"/>
  <c r="G72" i="118" a="1"/>
  <c r="G72" i="118" s="1"/>
  <c r="F72" i="118" a="1"/>
  <c r="F72" i="118" s="1"/>
  <c r="E72" i="118" a="1"/>
  <c r="E72" i="118" s="1"/>
  <c r="D72" i="118" a="1"/>
  <c r="D72" i="118" s="1"/>
  <c r="I71" i="118" a="1"/>
  <c r="I71" i="118" s="1"/>
  <c r="H71" i="118" a="1"/>
  <c r="H71" i="118" s="1"/>
  <c r="G71" i="118" a="1"/>
  <c r="G71" i="118" s="1"/>
  <c r="F71" i="118" a="1"/>
  <c r="F71" i="118" s="1"/>
  <c r="E71" i="118" a="1"/>
  <c r="E71" i="118" s="1"/>
  <c r="D71" i="118" a="1"/>
  <c r="D71" i="118" s="1"/>
  <c r="I70" i="118"/>
  <c r="I70" i="118" a="1"/>
  <c r="H70" i="118" a="1"/>
  <c r="H70" i="118" s="1"/>
  <c r="G70" i="118" a="1"/>
  <c r="G70" i="118" s="1"/>
  <c r="F70" i="118" a="1"/>
  <c r="F70" i="118" s="1"/>
  <c r="E70" i="118" a="1"/>
  <c r="E70" i="118" s="1"/>
  <c r="D70" i="118" a="1"/>
  <c r="D70" i="118" s="1"/>
  <c r="I69" i="118" a="1"/>
  <c r="I69" i="118" s="1"/>
  <c r="H69" i="118" a="1"/>
  <c r="H69" i="118" s="1"/>
  <c r="G69" i="118" a="1"/>
  <c r="G69" i="118" s="1"/>
  <c r="F69" i="118" a="1"/>
  <c r="F69" i="118" s="1"/>
  <c r="E69" i="118" a="1"/>
  <c r="E69" i="118" s="1"/>
  <c r="D69" i="118" a="1"/>
  <c r="D69" i="118" s="1"/>
  <c r="I68" i="118" a="1"/>
  <c r="I68" i="118" s="1"/>
  <c r="H68" i="118" a="1"/>
  <c r="H68" i="118" s="1"/>
  <c r="G68" i="118" a="1"/>
  <c r="G68" i="118" s="1"/>
  <c r="F68" i="118" a="1"/>
  <c r="F68" i="118" s="1"/>
  <c r="E68" i="118" a="1"/>
  <c r="E68" i="118" s="1"/>
  <c r="D68" i="118" a="1"/>
  <c r="D68" i="118" s="1"/>
  <c r="I67" i="118" a="1"/>
  <c r="I67" i="118" s="1"/>
  <c r="H67" i="118" a="1"/>
  <c r="H67" i="118" s="1"/>
  <c r="G67" i="118" a="1"/>
  <c r="G67" i="118" s="1"/>
  <c r="F67" i="118" a="1"/>
  <c r="F67" i="118" s="1"/>
  <c r="E67" i="118" a="1"/>
  <c r="E67" i="118" s="1"/>
  <c r="D67" i="118" a="1"/>
  <c r="D67" i="118" s="1"/>
  <c r="I66" i="118" a="1"/>
  <c r="I66" i="118" s="1"/>
  <c r="H66" i="118" a="1"/>
  <c r="H66" i="118" s="1"/>
  <c r="G66" i="118" a="1"/>
  <c r="G66" i="118" s="1"/>
  <c r="F66" i="118" a="1"/>
  <c r="F66" i="118" s="1"/>
  <c r="E66" i="118" a="1"/>
  <c r="E66" i="118" s="1"/>
  <c r="D66" i="118" a="1"/>
  <c r="D66" i="118" s="1"/>
  <c r="I65" i="118" a="1"/>
  <c r="I65" i="118" s="1"/>
  <c r="H65" i="118" a="1"/>
  <c r="H65" i="118" s="1"/>
  <c r="G65" i="118" a="1"/>
  <c r="G65" i="118" s="1"/>
  <c r="F65" i="118" a="1"/>
  <c r="F65" i="118" s="1"/>
  <c r="E65" i="118" a="1"/>
  <c r="E65" i="118" s="1"/>
  <c r="D65" i="118" a="1"/>
  <c r="D65" i="118" s="1"/>
  <c r="I64" i="118" a="1"/>
  <c r="I64" i="118" s="1"/>
  <c r="H64" i="118" a="1"/>
  <c r="H64" i="118" s="1"/>
  <c r="G64" i="118" a="1"/>
  <c r="G64" i="118" s="1"/>
  <c r="F64" i="118" a="1"/>
  <c r="F64" i="118" s="1"/>
  <c r="E64" i="118" a="1"/>
  <c r="E64" i="118" s="1"/>
  <c r="D64" i="118" a="1"/>
  <c r="D64" i="118" s="1"/>
  <c r="I63" i="118" a="1"/>
  <c r="I63" i="118" s="1"/>
  <c r="H63" i="118" a="1"/>
  <c r="H63" i="118" s="1"/>
  <c r="G63" i="118" a="1"/>
  <c r="G63" i="118" s="1"/>
  <c r="F63" i="118" a="1"/>
  <c r="F63" i="118" s="1"/>
  <c r="E63" i="118" a="1"/>
  <c r="E63" i="118" s="1"/>
  <c r="D63" i="118" a="1"/>
  <c r="D63" i="118" s="1"/>
  <c r="I62" i="118" a="1"/>
  <c r="I62" i="118" s="1"/>
  <c r="H62" i="118" a="1"/>
  <c r="H62" i="118" s="1"/>
  <c r="G62" i="118"/>
  <c r="G62" i="118" a="1"/>
  <c r="F62" i="118" a="1"/>
  <c r="F62" i="118" s="1"/>
  <c r="E62" i="118" a="1"/>
  <c r="E62" i="118" s="1"/>
  <c r="D62" i="118" a="1"/>
  <c r="D62" i="118" s="1"/>
  <c r="I61" i="118" a="1"/>
  <c r="I61" i="118" s="1"/>
  <c r="H61" i="118" a="1"/>
  <c r="H61" i="118" s="1"/>
  <c r="G61" i="118" a="1"/>
  <c r="G61" i="118" s="1"/>
  <c r="F61" i="118" a="1"/>
  <c r="F61" i="118" s="1"/>
  <c r="E61" i="118" a="1"/>
  <c r="E61" i="118" s="1"/>
  <c r="D61" i="118" a="1"/>
  <c r="D61" i="118" s="1"/>
  <c r="I60" i="118"/>
  <c r="I60" i="118" a="1"/>
  <c r="H60" i="118" a="1"/>
  <c r="H60" i="118" s="1"/>
  <c r="G60" i="118" a="1"/>
  <c r="G60" i="118" s="1"/>
  <c r="F60" i="118" a="1"/>
  <c r="F60" i="118" s="1"/>
  <c r="E60" i="118" a="1"/>
  <c r="E60" i="118" s="1"/>
  <c r="D60" i="118" a="1"/>
  <c r="D60" i="118" s="1"/>
  <c r="I59" i="118" a="1"/>
  <c r="I59" i="118" s="1"/>
  <c r="H59" i="118" a="1"/>
  <c r="H59" i="118" s="1"/>
  <c r="G59" i="118" a="1"/>
  <c r="G59" i="118" s="1"/>
  <c r="F59" i="118" a="1"/>
  <c r="F59" i="118" s="1"/>
  <c r="E59" i="118"/>
  <c r="E59" i="118" a="1"/>
  <c r="D59" i="118" a="1"/>
  <c r="D59" i="118" s="1"/>
  <c r="I58" i="118" a="1"/>
  <c r="I58" i="118" s="1"/>
  <c r="H58" i="118" a="1"/>
  <c r="H58" i="118" s="1"/>
  <c r="G58" i="118" a="1"/>
  <c r="G58" i="118" s="1"/>
  <c r="F58" i="118" a="1"/>
  <c r="F58" i="118" s="1"/>
  <c r="E58" i="118" a="1"/>
  <c r="E58" i="118" s="1"/>
  <c r="D58" i="118" a="1"/>
  <c r="D58" i="118" s="1"/>
  <c r="I57" i="118" a="1"/>
  <c r="I57" i="118" s="1"/>
  <c r="H57" i="118" a="1"/>
  <c r="H57" i="118" s="1"/>
  <c r="G57" i="118" a="1"/>
  <c r="G57" i="118" s="1"/>
  <c r="F57" i="118" a="1"/>
  <c r="F57" i="118" s="1"/>
  <c r="E57" i="118" a="1"/>
  <c r="E57" i="118" s="1"/>
  <c r="D57" i="118" a="1"/>
  <c r="D57" i="118" s="1"/>
  <c r="I56" i="118" a="1"/>
  <c r="I56" i="118" s="1"/>
  <c r="H56" i="118" a="1"/>
  <c r="H56" i="118" s="1"/>
  <c r="G56" i="118" a="1"/>
  <c r="G56" i="118" s="1"/>
  <c r="F56" i="118" a="1"/>
  <c r="F56" i="118" s="1"/>
  <c r="E56" i="118" a="1"/>
  <c r="E56" i="118" s="1"/>
  <c r="D56" i="118" a="1"/>
  <c r="D56" i="118" s="1"/>
  <c r="I55" i="118" a="1"/>
  <c r="I55" i="118" s="1"/>
  <c r="H55" i="118" a="1"/>
  <c r="H55" i="118" s="1"/>
  <c r="G55" i="118" a="1"/>
  <c r="G55" i="118" s="1"/>
  <c r="F55" i="118" a="1"/>
  <c r="F55" i="118" s="1"/>
  <c r="E55" i="118" a="1"/>
  <c r="E55" i="118" s="1"/>
  <c r="D55" i="118" a="1"/>
  <c r="D55" i="118" s="1"/>
  <c r="I54" i="118" a="1"/>
  <c r="I54" i="118" s="1"/>
  <c r="H54" i="118" a="1"/>
  <c r="H54" i="118" s="1"/>
  <c r="G54" i="118" a="1"/>
  <c r="G54" i="118" s="1"/>
  <c r="F54" i="118"/>
  <c r="F54" i="118" a="1"/>
  <c r="E54" i="118" a="1"/>
  <c r="E54" i="118" s="1"/>
  <c r="D54" i="118" a="1"/>
  <c r="D54" i="118" s="1"/>
  <c r="I53" i="118" a="1"/>
  <c r="I53" i="118" s="1"/>
  <c r="H53" i="118" a="1"/>
  <c r="H53" i="118" s="1"/>
  <c r="G53" i="118" a="1"/>
  <c r="G53" i="118" s="1"/>
  <c r="F53" i="118" a="1"/>
  <c r="F53" i="118" s="1"/>
  <c r="E53" i="118" a="1"/>
  <c r="E53" i="118" s="1"/>
  <c r="D53" i="118" a="1"/>
  <c r="D53" i="118" s="1"/>
  <c r="I52" i="118" a="1"/>
  <c r="I52" i="118" s="1"/>
  <c r="H52" i="118"/>
  <c r="H52" i="118" a="1"/>
  <c r="G52" i="118" a="1"/>
  <c r="G52" i="118" s="1"/>
  <c r="F52" i="118" a="1"/>
  <c r="F52" i="118" s="1"/>
  <c r="E52" i="118" a="1"/>
  <c r="E52" i="118" s="1"/>
  <c r="D52" i="118" a="1"/>
  <c r="D52" i="118" s="1"/>
  <c r="I51" i="118" a="1"/>
  <c r="I51" i="118" s="1"/>
  <c r="H51" i="118" a="1"/>
  <c r="H51" i="118" s="1"/>
  <c r="G51" i="118" a="1"/>
  <c r="G51" i="118" s="1"/>
  <c r="F51" i="118" a="1"/>
  <c r="F51" i="118" s="1"/>
  <c r="E51" i="118" a="1"/>
  <c r="E51" i="118" s="1"/>
  <c r="D51" i="118"/>
  <c r="D51" i="118" a="1"/>
  <c r="I50" i="118" a="1"/>
  <c r="I50" i="118" s="1"/>
  <c r="H50" i="118" a="1"/>
  <c r="H50" i="118" s="1"/>
  <c r="G50" i="118" a="1"/>
  <c r="G50" i="118" s="1"/>
  <c r="F50" i="118" a="1"/>
  <c r="F50" i="118" s="1"/>
  <c r="E50" i="118" a="1"/>
  <c r="E50" i="118" s="1"/>
  <c r="D50" i="118" a="1"/>
  <c r="D50" i="118" s="1"/>
  <c r="I49" i="118" a="1"/>
  <c r="I49" i="118" s="1"/>
  <c r="H49" i="118" a="1"/>
  <c r="H49" i="118" s="1"/>
  <c r="G49" i="118" a="1"/>
  <c r="G49" i="118" s="1"/>
  <c r="F49" i="118" a="1"/>
  <c r="F49" i="118" s="1"/>
  <c r="E49" i="118" a="1"/>
  <c r="E49" i="118" s="1"/>
  <c r="D49" i="118" a="1"/>
  <c r="D49" i="118" s="1"/>
  <c r="I48" i="118" a="1"/>
  <c r="I48" i="118" s="1"/>
  <c r="H48" i="118" a="1"/>
  <c r="H48" i="118" s="1"/>
  <c r="G48" i="118" a="1"/>
  <c r="G48" i="118" s="1"/>
  <c r="F48" i="118" a="1"/>
  <c r="F48" i="118" s="1"/>
  <c r="E48" i="118" a="1"/>
  <c r="E48" i="118" s="1"/>
  <c r="D48" i="118" a="1"/>
  <c r="D48" i="118" s="1"/>
  <c r="I47" i="118" a="1"/>
  <c r="I47" i="118" s="1"/>
  <c r="H47" i="118" a="1"/>
  <c r="H47" i="118" s="1"/>
  <c r="G47" i="118" a="1"/>
  <c r="G47" i="118" s="1"/>
  <c r="F47" i="118" a="1"/>
  <c r="F47" i="118" s="1"/>
  <c r="E47" i="118" a="1"/>
  <c r="E47" i="118" s="1"/>
  <c r="D47" i="118" a="1"/>
  <c r="D47" i="118" s="1"/>
  <c r="I46" i="118" a="1"/>
  <c r="I46" i="118" s="1"/>
  <c r="H46" i="118" a="1"/>
  <c r="H46" i="118" s="1"/>
  <c r="G46" i="118" a="1"/>
  <c r="G46" i="118" s="1"/>
  <c r="F46" i="118" a="1"/>
  <c r="F46" i="118" s="1"/>
  <c r="E46" i="118" a="1"/>
  <c r="E46" i="118" s="1"/>
  <c r="D46" i="118" a="1"/>
  <c r="D46" i="118" s="1"/>
  <c r="I45" i="118" a="1"/>
  <c r="I45" i="118" s="1"/>
  <c r="H45" i="118" a="1"/>
  <c r="H45" i="118" s="1"/>
  <c r="G45" i="118" a="1"/>
  <c r="G45" i="118" s="1"/>
  <c r="F45" i="118"/>
  <c r="F45" i="118" a="1"/>
  <c r="E45" i="118" a="1"/>
  <c r="E45" i="118" s="1"/>
  <c r="D45" i="118" a="1"/>
  <c r="D45" i="118" s="1"/>
  <c r="I44" i="118" a="1"/>
  <c r="I44" i="118" s="1"/>
  <c r="H44" i="118" a="1"/>
  <c r="H44" i="118" s="1"/>
  <c r="G44" i="118" a="1"/>
  <c r="G44" i="118" s="1"/>
  <c r="F44" i="118" a="1"/>
  <c r="F44" i="118" s="1"/>
  <c r="E44" i="118" a="1"/>
  <c r="E44" i="118" s="1"/>
  <c r="D44" i="118" a="1"/>
  <c r="D44" i="118" s="1"/>
  <c r="I43" i="118" a="1"/>
  <c r="I43" i="118" s="1"/>
  <c r="H43" i="118" a="1"/>
  <c r="H43" i="118" s="1"/>
  <c r="G43" i="118" a="1"/>
  <c r="G43" i="118" s="1"/>
  <c r="F43" i="118" a="1"/>
  <c r="F43" i="118" s="1"/>
  <c r="E43" i="118"/>
  <c r="E43" i="118" a="1"/>
  <c r="D43" i="118"/>
  <c r="D43" i="118" a="1"/>
  <c r="I42" i="118" a="1"/>
  <c r="I42" i="118" s="1"/>
  <c r="H42" i="118" a="1"/>
  <c r="H42" i="118" s="1"/>
  <c r="G42" i="118" a="1"/>
  <c r="G42" i="118" s="1"/>
  <c r="F42" i="118"/>
  <c r="F42" i="118" a="1"/>
  <c r="E42" i="118" a="1"/>
  <c r="E42" i="118" s="1"/>
  <c r="D42" i="118" a="1"/>
  <c r="D42" i="118" s="1"/>
  <c r="I41" i="118" a="1"/>
  <c r="I41" i="118" s="1"/>
  <c r="H41" i="118" a="1"/>
  <c r="H41" i="118" s="1"/>
  <c r="G41" i="118" a="1"/>
  <c r="G41" i="118" s="1"/>
  <c r="F41" i="118" a="1"/>
  <c r="F41" i="118" s="1"/>
  <c r="E41" i="118"/>
  <c r="E41" i="118" a="1"/>
  <c r="D41" i="118"/>
  <c r="D41" i="118" a="1"/>
  <c r="I40" i="118" a="1"/>
  <c r="I40" i="118" s="1"/>
  <c r="H40" i="118" a="1"/>
  <c r="H40" i="118" s="1"/>
  <c r="G40" i="118" a="1"/>
  <c r="G40" i="118" s="1"/>
  <c r="F40" i="118" a="1"/>
  <c r="F40" i="118" s="1"/>
  <c r="E40" i="118" a="1"/>
  <c r="E40" i="118" s="1"/>
  <c r="D40" i="118"/>
  <c r="D40" i="118" a="1"/>
  <c r="I39" i="118" a="1"/>
  <c r="I39" i="118" s="1"/>
  <c r="H39" i="118" a="1"/>
  <c r="H39" i="118" s="1"/>
  <c r="G39" i="118" a="1"/>
  <c r="G39" i="118" s="1"/>
  <c r="F39" i="118" a="1"/>
  <c r="F39" i="118" s="1"/>
  <c r="E39" i="118" a="1"/>
  <c r="E39" i="118" s="1"/>
  <c r="D39" i="118" a="1"/>
  <c r="D39" i="118" s="1"/>
  <c r="I38" i="118" a="1"/>
  <c r="I38" i="118" s="1"/>
  <c r="H38" i="118" a="1"/>
  <c r="H38" i="118" s="1"/>
  <c r="G38" i="118"/>
  <c r="G38" i="118" a="1"/>
  <c r="F38" i="118" a="1"/>
  <c r="F38" i="118" s="1"/>
  <c r="E38" i="118" a="1"/>
  <c r="E38" i="118" s="1"/>
  <c r="D38" i="118" a="1"/>
  <c r="D38" i="118" s="1"/>
  <c r="I37" i="118"/>
  <c r="I37" i="118" a="1"/>
  <c r="H37" i="118"/>
  <c r="H37" i="118" a="1"/>
  <c r="G37" i="118" a="1"/>
  <c r="G37" i="118" s="1"/>
  <c r="F37" i="118" a="1"/>
  <c r="F37" i="118" s="1"/>
  <c r="E37" i="118" a="1"/>
  <c r="E37" i="118" s="1"/>
  <c r="D37" i="118" a="1"/>
  <c r="D37" i="118" s="1"/>
  <c r="I36" i="118" a="1"/>
  <c r="I36" i="118" s="1"/>
  <c r="H36" i="118" a="1"/>
  <c r="H36" i="118" s="1"/>
  <c r="G36" i="118" a="1"/>
  <c r="G36" i="118" s="1"/>
  <c r="F36" i="118" a="1"/>
  <c r="F36" i="118" s="1"/>
  <c r="E36" i="118" a="1"/>
  <c r="E36" i="118" s="1"/>
  <c r="D36" i="118" a="1"/>
  <c r="D36" i="118" s="1"/>
  <c r="I35" i="118" a="1"/>
  <c r="I35" i="118" s="1"/>
  <c r="H35" i="118" a="1"/>
  <c r="H35" i="118" s="1"/>
  <c r="G35" i="118" a="1"/>
  <c r="G35" i="118" s="1"/>
  <c r="F35" i="118" a="1"/>
  <c r="F35" i="118" s="1"/>
  <c r="E35" i="118" a="1"/>
  <c r="E35" i="118" s="1"/>
  <c r="D35" i="118" a="1"/>
  <c r="D35" i="118" s="1"/>
  <c r="I34" i="118" a="1"/>
  <c r="I34" i="118" s="1"/>
  <c r="H34" i="118" a="1"/>
  <c r="H34" i="118" s="1"/>
  <c r="G34" i="118" a="1"/>
  <c r="G34" i="118" s="1"/>
  <c r="F34" i="118" a="1"/>
  <c r="F34" i="118" s="1"/>
  <c r="E34" i="118" a="1"/>
  <c r="E34" i="118" s="1"/>
  <c r="D34" i="118" a="1"/>
  <c r="D34" i="118" s="1"/>
  <c r="J87" i="117"/>
  <c r="R85" i="117" a="1"/>
  <c r="R85" i="117" s="1"/>
  <c r="N85" i="117" a="1"/>
  <c r="N85" i="117" s="1"/>
  <c r="H85" i="117" a="1"/>
  <c r="H85" i="117" s="1"/>
  <c r="D85" i="117" a="1"/>
  <c r="D85" i="117" s="1"/>
  <c r="O83" i="117" a="1"/>
  <c r="O83" i="117" s="1"/>
  <c r="E83" i="117" a="1"/>
  <c r="E83" i="117" s="1"/>
  <c r="O82" i="117" a="1"/>
  <c r="O82" i="117" s="1"/>
  <c r="E82" i="117" a="1"/>
  <c r="E82" i="117" s="1"/>
  <c r="N78" i="117" a="1"/>
  <c r="N78" i="117" s="1"/>
  <c r="D78" i="117" a="1"/>
  <c r="D78" i="117" s="1"/>
  <c r="N77" i="117" a="1"/>
  <c r="N77" i="117" s="1"/>
  <c r="D77" i="117" a="1"/>
  <c r="D77" i="117" s="1"/>
  <c r="I72" i="117"/>
  <c r="I68" i="117" s="1"/>
  <c r="I71" i="117"/>
  <c r="I70" i="117"/>
  <c r="I69" i="117"/>
  <c r="S67" i="117"/>
  <c r="Q67" i="117" a="1"/>
  <c r="Q67" i="117" s="1"/>
  <c r="N67" i="117" a="1"/>
  <c r="N67" i="117" s="1"/>
  <c r="I67" i="117"/>
  <c r="G67" i="117" a="1"/>
  <c r="G67" i="117" s="1"/>
  <c r="D67" i="117" a="1"/>
  <c r="D67" i="117" s="1"/>
  <c r="O65" i="117" a="1"/>
  <c r="O65" i="117" s="1"/>
  <c r="E65" i="117" a="1"/>
  <c r="E65" i="117" s="1"/>
  <c r="O64" i="117" a="1"/>
  <c r="O64" i="117" s="1"/>
  <c r="E64" i="117" a="1"/>
  <c r="E64" i="117" s="1"/>
  <c r="N60" i="117" a="1"/>
  <c r="N60" i="117" s="1"/>
  <c r="D60" i="117" a="1"/>
  <c r="D60" i="117" s="1"/>
  <c r="N59" i="117" a="1"/>
  <c r="N59" i="117" s="1"/>
  <c r="D59" i="117" a="1"/>
  <c r="D59" i="117" s="1"/>
  <c r="I53" i="117"/>
  <c r="I52" i="117"/>
  <c r="I51" i="117"/>
  <c r="Q48" i="117" a="1"/>
  <c r="Q48" i="117" s="1"/>
  <c r="N48" i="117" a="1"/>
  <c r="N48" i="117" s="1"/>
  <c r="G48" i="117" a="1"/>
  <c r="G48" i="117" s="1"/>
  <c r="D48" i="117" a="1"/>
  <c r="D48" i="117" s="1"/>
  <c r="O46" i="117" a="1"/>
  <c r="O46" i="117" s="1"/>
  <c r="E46" i="117" a="1"/>
  <c r="E46" i="117" s="1"/>
  <c r="O45" i="117" a="1"/>
  <c r="O45" i="117" s="1"/>
  <c r="E45" i="117" a="1"/>
  <c r="E45" i="117" s="1"/>
  <c r="N41" i="117" a="1"/>
  <c r="N41" i="117" s="1"/>
  <c r="D41" i="117"/>
  <c r="D41" i="117" a="1"/>
  <c r="N40" i="117" a="1"/>
  <c r="N40" i="117" s="1"/>
  <c r="D40" i="117" a="1"/>
  <c r="D40" i="117" s="1"/>
  <c r="I33" i="117"/>
  <c r="S32" i="117"/>
  <c r="O35" i="117" s="1" a="1"/>
  <c r="O35" i="117" s="1"/>
  <c r="S48" i="117" s="1"/>
  <c r="Q32" i="117" a="1"/>
  <c r="Q32" i="117" s="1"/>
  <c r="N32" i="117" a="1"/>
  <c r="N32" i="117" s="1"/>
  <c r="I32" i="117"/>
  <c r="G32" i="117" a="1"/>
  <c r="G32" i="117" s="1"/>
  <c r="D32" i="117" a="1"/>
  <c r="D32" i="117" s="1"/>
  <c r="O30" i="117"/>
  <c r="P35" i="117" s="1"/>
  <c r="O30" i="117" a="1"/>
  <c r="E30" i="117"/>
  <c r="F35" i="117" s="1"/>
  <c r="E30" i="117" a="1"/>
  <c r="O29" i="117" a="1"/>
  <c r="O29" i="117" s="1"/>
  <c r="E29" i="117" a="1"/>
  <c r="E29" i="117" s="1"/>
  <c r="N25" i="117"/>
  <c r="N25" i="117" a="1"/>
  <c r="D25" i="117"/>
  <c r="D25" i="117" a="1"/>
  <c r="N24" i="117" a="1"/>
  <c r="N24" i="117" s="1"/>
  <c r="D24" i="117" a="1"/>
  <c r="D24" i="117" s="1"/>
  <c r="J17" i="117"/>
  <c r="J14" i="117" s="1"/>
  <c r="J16" i="117"/>
  <c r="T13" i="117"/>
  <c r="R13" i="117" a="1"/>
  <c r="R13" i="117" s="1"/>
  <c r="N13" i="117" a="1"/>
  <c r="N13" i="117" s="1"/>
  <c r="J13" i="117"/>
  <c r="H13" i="117" a="1"/>
  <c r="H13" i="117" s="1"/>
  <c r="D13" i="117" a="1"/>
  <c r="D13" i="117" s="1"/>
  <c r="O11" i="117" a="1"/>
  <c r="O11" i="117" s="1"/>
  <c r="E11" i="117" a="1"/>
  <c r="E11" i="117" s="1"/>
  <c r="O10" i="117" a="1"/>
  <c r="O10" i="117" s="1"/>
  <c r="E10" i="117" a="1"/>
  <c r="E10" i="117" s="1"/>
  <c r="N6" i="117" a="1"/>
  <c r="N6" i="117" s="1"/>
  <c r="D6" i="117" a="1"/>
  <c r="D6" i="117" s="1"/>
  <c r="N5" i="117" a="1"/>
  <c r="N5" i="117" s="1"/>
  <c r="D5" i="117" a="1"/>
  <c r="D5" i="117" s="1"/>
  <c r="J649" i="116" a="1"/>
  <c r="J649" i="116" s="1"/>
  <c r="J632" i="116" a="1"/>
  <c r="J632" i="116" s="1"/>
  <c r="J631" i="116" a="1"/>
  <c r="J631" i="116" s="1"/>
  <c r="J628" i="116" a="1"/>
  <c r="J628" i="116" s="1"/>
  <c r="J625" i="116" a="1"/>
  <c r="J625" i="116" s="1"/>
  <c r="J630" i="116" a="1"/>
  <c r="J630" i="116" s="1"/>
  <c r="G616" i="116" a="1"/>
  <c r="G616" i="116" s="1"/>
  <c r="D616" i="116" a="1"/>
  <c r="D616" i="116" s="1"/>
  <c r="E614" i="116" a="1"/>
  <c r="E614" i="116" s="1"/>
  <c r="E613" i="116" a="1"/>
  <c r="E613" i="116" s="1"/>
  <c r="D608" i="116" a="1"/>
  <c r="D608" i="116" s="1"/>
  <c r="D607" i="116" a="1"/>
  <c r="D607" i="116" s="1"/>
  <c r="E603" i="116"/>
  <c r="E601" i="116" a="1"/>
  <c r="E601" i="116" s="1"/>
  <c r="F603" i="116" s="1"/>
  <c r="E600" i="116" a="1"/>
  <c r="E600" i="116" s="1"/>
  <c r="D598" i="116" a="1"/>
  <c r="D598" i="116" s="1"/>
  <c r="D597" i="116" a="1"/>
  <c r="D597" i="116" s="1"/>
  <c r="N593" i="116" a="1"/>
  <c r="N593" i="116" s="1"/>
  <c r="F593" i="116" a="1"/>
  <c r="F593" i="116" s="1"/>
  <c r="L590" i="116" a="1"/>
  <c r="L590" i="116" s="1"/>
  <c r="D590" i="116" a="1"/>
  <c r="D590" i="116" s="1"/>
  <c r="P584" i="116" a="1"/>
  <c r="P584" i="116" s="1"/>
  <c r="L584" i="116" a="1"/>
  <c r="L584" i="116" s="1"/>
  <c r="H584" i="116" a="1"/>
  <c r="H584" i="116" s="1"/>
  <c r="D584" i="116" a="1"/>
  <c r="D584" i="116" s="1"/>
  <c r="E580" i="116" a="1"/>
  <c r="E580" i="116" s="1"/>
  <c r="F588" i="116" s="1"/>
  <c r="E579" i="116" a="1"/>
  <c r="E579" i="116" s="1"/>
  <c r="D575" i="116" a="1"/>
  <c r="D575" i="116" s="1"/>
  <c r="D574" i="116" a="1"/>
  <c r="D574" i="116" s="1"/>
  <c r="I568" i="116"/>
  <c r="I566" i="116"/>
  <c r="I565" i="116"/>
  <c r="I564" i="116"/>
  <c r="I563" i="116"/>
  <c r="I562" i="116"/>
  <c r="G562" i="116" a="1"/>
  <c r="G562" i="116" s="1"/>
  <c r="D562" i="116" a="1"/>
  <c r="D562" i="116" s="1"/>
  <c r="E560" i="116" a="1"/>
  <c r="E560" i="116" s="1"/>
  <c r="E559" i="116" a="1"/>
  <c r="E559" i="116" s="1"/>
  <c r="D554" i="116" a="1"/>
  <c r="D554" i="116" s="1"/>
  <c r="D553" i="116" a="1"/>
  <c r="D553" i="116" s="1"/>
  <c r="D552" i="116" a="1"/>
  <c r="D552" i="116" s="1"/>
  <c r="I546" i="116"/>
  <c r="I545" i="116" s="1" a="1"/>
  <c r="I545" i="116" s="1"/>
  <c r="I544" i="116"/>
  <c r="G544" i="116" a="1"/>
  <c r="G544" i="116" s="1"/>
  <c r="D544" i="116" a="1"/>
  <c r="D544" i="116" s="1"/>
  <c r="E542" i="116" a="1"/>
  <c r="E542" i="116" s="1"/>
  <c r="E541" i="116" a="1"/>
  <c r="E541" i="116" s="1"/>
  <c r="D537" i="116" a="1"/>
  <c r="D537" i="116" s="1"/>
  <c r="D536" i="116" a="1"/>
  <c r="D536" i="116" s="1"/>
  <c r="G530" i="116" a="1"/>
  <c r="G530" i="116" s="1"/>
  <c r="D530" i="116" a="1"/>
  <c r="D530" i="116" s="1"/>
  <c r="E528" i="116" a="1"/>
  <c r="E528" i="116" s="1"/>
  <c r="E527" i="116" a="1"/>
  <c r="E527" i="116" s="1"/>
  <c r="D522" i="116" a="1"/>
  <c r="D522" i="116" s="1"/>
  <c r="D521" i="116" a="1"/>
  <c r="D521" i="116" s="1"/>
  <c r="K514" i="116" a="1"/>
  <c r="K514" i="116" s="1"/>
  <c r="K510" i="116" a="1"/>
  <c r="K510" i="116" s="1"/>
  <c r="E496" i="116"/>
  <c r="I496" i="116" s="1" a="1"/>
  <c r="I496" i="116" s="1"/>
  <c r="E495" i="116"/>
  <c r="E494" i="116"/>
  <c r="I494" i="116" s="1" a="1"/>
  <c r="I494" i="116" s="1"/>
  <c r="E485" i="116"/>
  <c r="I485" i="116" s="1" a="1"/>
  <c r="I485" i="116" s="1"/>
  <c r="E484" i="116"/>
  <c r="E483" i="116"/>
  <c r="I483" i="116" s="1" a="1"/>
  <c r="I483" i="116" s="1"/>
  <c r="E482" i="116"/>
  <c r="E481" i="116"/>
  <c r="I481" i="116" s="1" a="1"/>
  <c r="I481" i="116" s="1"/>
  <c r="J465" i="116" a="1"/>
  <c r="J465" i="116" s="1"/>
  <c r="J450" i="116" a="1"/>
  <c r="J450" i="116" s="1"/>
  <c r="J447" i="116" a="1"/>
  <c r="J447" i="116" s="1"/>
  <c r="J446" i="116" a="1"/>
  <c r="J446" i="116" s="1"/>
  <c r="G439" i="116" a="1"/>
  <c r="G439" i="116" s="1"/>
  <c r="D439" i="116" a="1"/>
  <c r="D439" i="116" s="1"/>
  <c r="E437" i="116" a="1"/>
  <c r="E437" i="116" s="1"/>
  <c r="E436" i="116" a="1"/>
  <c r="E436" i="116" s="1"/>
  <c r="D431" i="116" a="1"/>
  <c r="D431" i="116" s="1"/>
  <c r="D430" i="116" a="1"/>
  <c r="D430" i="116" s="1"/>
  <c r="K423" i="116"/>
  <c r="J422" i="116" a="1"/>
  <c r="J422" i="116" s="1"/>
  <c r="K421" i="116"/>
  <c r="J421" i="116" a="1"/>
  <c r="J421" i="116" s="1"/>
  <c r="K419" i="116"/>
  <c r="K417" i="116"/>
  <c r="J417" i="116" a="1"/>
  <c r="J417" i="116" s="1"/>
  <c r="K416" i="116"/>
  <c r="J415" i="116" a="1"/>
  <c r="J415" i="116" s="1"/>
  <c r="K414" i="116"/>
  <c r="K420" i="116"/>
  <c r="F407" i="116" a="1"/>
  <c r="F407" i="116" s="1"/>
  <c r="D407" i="116" a="1"/>
  <c r="D407" i="116" s="1"/>
  <c r="E405" i="116" a="1"/>
  <c r="E405" i="116" s="1"/>
  <c r="E404" i="116"/>
  <c r="E404" i="116" a="1"/>
  <c r="D399" i="116" a="1"/>
  <c r="D399" i="116" s="1"/>
  <c r="D398" i="116" a="1"/>
  <c r="D398" i="116" s="1"/>
  <c r="J382" i="116" a="1"/>
  <c r="J382" i="116" s="1"/>
  <c r="F377" i="116" a="1"/>
  <c r="F377" i="116" s="1"/>
  <c r="D377" i="116" a="1"/>
  <c r="D377" i="116" s="1"/>
  <c r="E375" i="116" a="1"/>
  <c r="E375" i="116" s="1"/>
  <c r="E374" i="116" a="1"/>
  <c r="E374" i="116" s="1"/>
  <c r="D369" i="116" a="1"/>
  <c r="D369" i="116" s="1"/>
  <c r="D368" i="116" a="1"/>
  <c r="D368" i="116" s="1"/>
  <c r="D367" i="116" a="1"/>
  <c r="D367" i="116" s="1"/>
  <c r="K358" i="116" a="1"/>
  <c r="K358" i="116" s="1"/>
  <c r="K356" i="116" a="1"/>
  <c r="K356" i="116" s="1"/>
  <c r="K355" i="116" a="1"/>
  <c r="K355" i="116" s="1"/>
  <c r="K354" i="116" a="1"/>
  <c r="K354" i="116" s="1"/>
  <c r="L353" i="116"/>
  <c r="K353" i="116" a="1"/>
  <c r="K353" i="116" s="1"/>
  <c r="L358" i="116"/>
  <c r="K357" i="116" a="1"/>
  <c r="K357" i="116" s="1"/>
  <c r="G344" i="116" a="1"/>
  <c r="G344" i="116" s="1"/>
  <c r="D344" i="116" a="1"/>
  <c r="D344" i="116" s="1"/>
  <c r="E342" i="116" a="1"/>
  <c r="E342" i="116" s="1"/>
  <c r="E341" i="116" a="1"/>
  <c r="E341" i="116" s="1"/>
  <c r="D337" i="116"/>
  <c r="D337" i="116" a="1"/>
  <c r="D336" i="116" a="1"/>
  <c r="D336" i="116" s="1"/>
  <c r="F311" i="116" a="1"/>
  <c r="F311" i="116" s="1"/>
  <c r="D311" i="116" a="1"/>
  <c r="D311" i="116" s="1"/>
  <c r="E309" i="116" a="1"/>
  <c r="E309" i="116" s="1"/>
  <c r="E308" i="116" a="1"/>
  <c r="E308" i="116" s="1"/>
  <c r="D304" i="116" a="1"/>
  <c r="D304" i="116" s="1"/>
  <c r="D303" i="116" a="1"/>
  <c r="D303" i="116" s="1"/>
  <c r="G280" i="116" a="1"/>
  <c r="G280" i="116" s="1"/>
  <c r="D280" i="116" a="1"/>
  <c r="D280" i="116" s="1"/>
  <c r="E278" i="116" a="1"/>
  <c r="E278" i="116" s="1"/>
  <c r="E277" i="116" a="1"/>
  <c r="E277" i="116" s="1"/>
  <c r="D272" i="116" a="1"/>
  <c r="D272" i="116" s="1"/>
  <c r="D271" i="116" a="1"/>
  <c r="D271" i="116" s="1"/>
  <c r="G224" i="116" a="1"/>
  <c r="G224" i="116" s="1"/>
  <c r="D224" i="116" a="1"/>
  <c r="D224" i="116" s="1"/>
  <c r="E222" i="116" a="1"/>
  <c r="E222" i="116" s="1"/>
  <c r="E221" i="116" a="1"/>
  <c r="E221" i="116" s="1"/>
  <c r="D217" i="116" a="1"/>
  <c r="D217" i="116" s="1"/>
  <c r="D216" i="116" a="1"/>
  <c r="D216" i="116" s="1"/>
  <c r="D215" i="116" a="1"/>
  <c r="D215" i="116" s="1"/>
  <c r="G209" i="116" a="1"/>
  <c r="G209" i="116" s="1"/>
  <c r="D209" i="116" a="1"/>
  <c r="D209" i="116" s="1"/>
  <c r="E207" i="116" a="1"/>
  <c r="E207" i="116" s="1"/>
  <c r="E206" i="116" a="1"/>
  <c r="E206" i="116" s="1"/>
  <c r="D202" i="116" a="1"/>
  <c r="D202" i="116" s="1"/>
  <c r="D201" i="116" a="1"/>
  <c r="D201" i="116" s="1"/>
  <c r="G195" i="116" a="1"/>
  <c r="G195" i="116" s="1"/>
  <c r="D195" i="116" a="1"/>
  <c r="D195" i="116" s="1"/>
  <c r="E193" i="116" a="1"/>
  <c r="E193" i="116" s="1"/>
  <c r="E192" i="116" a="1"/>
  <c r="E192" i="116" s="1"/>
  <c r="D188" i="116" a="1"/>
  <c r="D188" i="116" s="1"/>
  <c r="D187" i="116" a="1"/>
  <c r="D187" i="116" s="1"/>
  <c r="D186" i="116" a="1"/>
  <c r="D186" i="116" s="1"/>
  <c r="E179" i="116"/>
  <c r="I179" i="116" s="1" a="1"/>
  <c r="I179" i="116" s="1"/>
  <c r="E178" i="116"/>
  <c r="I178" i="116" s="1" a="1"/>
  <c r="I178" i="116" s="1"/>
  <c r="I177" i="116" a="1"/>
  <c r="I177" i="116" s="1"/>
  <c r="E177" i="116"/>
  <c r="G172" i="116" a="1"/>
  <c r="G172" i="116" s="1"/>
  <c r="D172" i="116" a="1"/>
  <c r="D172" i="116" s="1"/>
  <c r="E170" i="116" a="1"/>
  <c r="E170" i="116" s="1"/>
  <c r="E169" i="116" a="1"/>
  <c r="E169" i="116" s="1"/>
  <c r="F168" i="116" a="1"/>
  <c r="F168" i="116" s="1"/>
  <c r="D165" i="116" a="1"/>
  <c r="D165" i="116" s="1"/>
  <c r="D164" i="116" a="1"/>
  <c r="D164" i="116" s="1"/>
  <c r="E153" i="116"/>
  <c r="E152" i="116"/>
  <c r="E151" i="116"/>
  <c r="E150" i="116"/>
  <c r="E149" i="116"/>
  <c r="E148" i="116"/>
  <c r="I148" i="116" s="1" a="1"/>
  <c r="I148" i="116" s="1"/>
  <c r="E140" i="116"/>
  <c r="E139" i="116"/>
  <c r="E138" i="116"/>
  <c r="I138" i="116" s="1" a="1"/>
  <c r="I138" i="116" s="1"/>
  <c r="E137" i="116"/>
  <c r="I137" i="116" s="1" a="1"/>
  <c r="I137" i="116" s="1"/>
  <c r="G107" i="116" a="1"/>
  <c r="G107" i="116" s="1"/>
  <c r="D107" i="116" a="1"/>
  <c r="D107" i="116" s="1"/>
  <c r="E105" i="116" a="1"/>
  <c r="E105" i="116" s="1"/>
  <c r="E104" i="116" a="1"/>
  <c r="E104" i="116" s="1"/>
  <c r="D100" i="116" a="1"/>
  <c r="D100" i="116" s="1"/>
  <c r="D99" i="116" a="1"/>
  <c r="D99" i="116" s="1"/>
  <c r="D98" i="116" a="1"/>
  <c r="D98" i="116" s="1"/>
  <c r="J62" i="116" a="1"/>
  <c r="J62" i="116" s="1"/>
  <c r="J42" i="116" a="1"/>
  <c r="J42" i="116" s="1"/>
  <c r="G13" i="116" a="1"/>
  <c r="G13" i="116" s="1"/>
  <c r="D13" i="116" a="1"/>
  <c r="D13" i="116" s="1"/>
  <c r="E11" i="116"/>
  <c r="F34" i="116" s="1"/>
  <c r="E11" i="116" a="1"/>
  <c r="E10" i="116" a="1"/>
  <c r="E10" i="116" s="1"/>
  <c r="D6" i="116" a="1"/>
  <c r="D6" i="116" s="1"/>
  <c r="D5" i="116"/>
  <c r="D5" i="116" a="1"/>
  <c r="E68" i="110" a="1"/>
  <c r="E68" i="110" s="1"/>
  <c r="D68" i="110" a="1"/>
  <c r="D68" i="110" s="1"/>
  <c r="E67" i="110" a="1"/>
  <c r="E67" i="110" s="1"/>
  <c r="D67" i="110" a="1"/>
  <c r="D67" i="110" s="1"/>
  <c r="E66" i="110" a="1"/>
  <c r="E66" i="110" s="1"/>
  <c r="D66" i="110" a="1"/>
  <c r="D66" i="110" s="1"/>
  <c r="E65" i="110" a="1"/>
  <c r="E65" i="110" s="1"/>
  <c r="D65" i="110" a="1"/>
  <c r="D65" i="110" s="1"/>
  <c r="E64" i="110" a="1"/>
  <c r="E64" i="110" s="1"/>
  <c r="D64" i="110" a="1"/>
  <c r="D64" i="110" s="1"/>
  <c r="E63" i="110" a="1"/>
  <c r="E63" i="110" s="1"/>
  <c r="D63" i="110" a="1"/>
  <c r="D63" i="110" s="1"/>
  <c r="E62" i="110" a="1"/>
  <c r="E62" i="110" s="1"/>
  <c r="D62" i="110" a="1"/>
  <c r="D62" i="110" s="1"/>
  <c r="E61" i="110" a="1"/>
  <c r="E61" i="110" s="1"/>
  <c r="D61" i="110" a="1"/>
  <c r="D61" i="110" s="1"/>
  <c r="E60" i="110" a="1"/>
  <c r="E60" i="110" s="1"/>
  <c r="D60" i="110" a="1"/>
  <c r="D60" i="110" s="1"/>
  <c r="E59" i="110" a="1"/>
  <c r="E59" i="110" s="1"/>
  <c r="D59" i="110" a="1"/>
  <c r="D59" i="110" s="1"/>
  <c r="E58" i="110" a="1"/>
  <c r="E58" i="110" s="1"/>
  <c r="D58" i="110" a="1"/>
  <c r="D58" i="110" s="1"/>
  <c r="D56" i="110" a="1"/>
  <c r="D56" i="110" s="1"/>
  <c r="D55" i="110" a="1"/>
  <c r="D55" i="110" s="1"/>
  <c r="D54" i="110" a="1"/>
  <c r="D54" i="110" s="1"/>
  <c r="D53" i="110" a="1"/>
  <c r="D53" i="110" s="1"/>
  <c r="D52" i="110" a="1"/>
  <c r="D52" i="110" s="1"/>
  <c r="G50" i="110" a="1"/>
  <c r="G50" i="110" s="1"/>
  <c r="F50" i="110" a="1"/>
  <c r="F50" i="110" s="1"/>
  <c r="E50" i="110" a="1"/>
  <c r="E50" i="110" s="1"/>
  <c r="O21" i="110" s="1"/>
  <c r="D50" i="110" a="1"/>
  <c r="D50" i="110" s="1"/>
  <c r="G49" i="110" a="1"/>
  <c r="G49" i="110" s="1"/>
  <c r="F49" i="110" a="1"/>
  <c r="F49" i="110" s="1"/>
  <c r="E49" i="110" a="1"/>
  <c r="E49" i="110" s="1"/>
  <c r="O20" i="110" s="1"/>
  <c r="D49" i="110" a="1"/>
  <c r="D49" i="110" s="1"/>
  <c r="G48" i="110" a="1"/>
  <c r="G48" i="110" s="1"/>
  <c r="F48" i="110" a="1"/>
  <c r="F48" i="110" s="1"/>
  <c r="E48" i="110" a="1"/>
  <c r="E48" i="110" s="1"/>
  <c r="O19" i="110" s="1"/>
  <c r="D48" i="110" a="1"/>
  <c r="D48" i="110" s="1"/>
  <c r="G47" i="110" a="1"/>
  <c r="G47" i="110" s="1"/>
  <c r="F47" i="110" a="1"/>
  <c r="F47" i="110" s="1"/>
  <c r="E47" i="110" a="1"/>
  <c r="E47" i="110" s="1"/>
  <c r="O18" i="110" s="1"/>
  <c r="D47" i="110" a="1"/>
  <c r="D47" i="110" s="1"/>
  <c r="G46" i="110" a="1"/>
  <c r="G46" i="110" s="1"/>
  <c r="F46" i="110" a="1"/>
  <c r="F46" i="110" s="1"/>
  <c r="E46" i="110" a="1"/>
  <c r="E46" i="110" s="1"/>
  <c r="O17" i="110" s="1"/>
  <c r="D46" i="110" a="1"/>
  <c r="D46" i="110" s="1"/>
  <c r="G45" i="110" a="1"/>
  <c r="G45" i="110" s="1"/>
  <c r="F45" i="110" a="1"/>
  <c r="F45" i="110" s="1"/>
  <c r="E45" i="110" a="1"/>
  <c r="E45" i="110" s="1"/>
  <c r="D45" i="110" a="1"/>
  <c r="D45" i="110" s="1"/>
  <c r="G44" i="110" a="1"/>
  <c r="G44" i="110" s="1"/>
  <c r="F44" i="110" a="1"/>
  <c r="F44" i="110" s="1"/>
  <c r="E44" i="110" a="1"/>
  <c r="E44" i="110" s="1"/>
  <c r="M21" i="110" s="1"/>
  <c r="D44" i="110" a="1"/>
  <c r="D44" i="110" s="1"/>
  <c r="G43" i="110" a="1"/>
  <c r="G43" i="110" s="1"/>
  <c r="F43" i="110" a="1"/>
  <c r="F43" i="110" s="1"/>
  <c r="E43" i="110" a="1"/>
  <c r="E43" i="110" s="1"/>
  <c r="M20" i="110" s="1"/>
  <c r="D43" i="110" a="1"/>
  <c r="D43" i="110" s="1"/>
  <c r="G42" i="110" a="1"/>
  <c r="G42" i="110" s="1"/>
  <c r="F42" i="110" a="1"/>
  <c r="F42" i="110" s="1"/>
  <c r="E42" i="110" a="1"/>
  <c r="E42" i="110" s="1"/>
  <c r="M19" i="110" s="1"/>
  <c r="D42" i="110" a="1"/>
  <c r="D42" i="110" s="1"/>
  <c r="G41" i="110" a="1"/>
  <c r="G41" i="110" s="1"/>
  <c r="F41" i="110" a="1"/>
  <c r="F41" i="110" s="1"/>
  <c r="E41" i="110" a="1"/>
  <c r="E41" i="110" s="1"/>
  <c r="M18" i="110" s="1"/>
  <c r="D41" i="110" a="1"/>
  <c r="D41" i="110" s="1"/>
  <c r="G40" i="110" a="1"/>
  <c r="G40" i="110" s="1"/>
  <c r="F40" i="110" a="1"/>
  <c r="F40" i="110" s="1"/>
  <c r="E40" i="110" a="1"/>
  <c r="E40" i="110" s="1"/>
  <c r="M17" i="110" s="1"/>
  <c r="D40" i="110" a="1"/>
  <c r="D40" i="110" s="1"/>
  <c r="G39" i="110" a="1"/>
  <c r="G39" i="110" s="1"/>
  <c r="F39" i="110" a="1"/>
  <c r="F39" i="110" s="1"/>
  <c r="E39" i="110" a="1"/>
  <c r="E39" i="110" s="1"/>
  <c r="D39" i="110" a="1"/>
  <c r="D39" i="110" s="1"/>
  <c r="G38" i="110" a="1"/>
  <c r="G38" i="110" s="1"/>
  <c r="F38" i="110" a="1"/>
  <c r="F38" i="110" s="1"/>
  <c r="E38" i="110" a="1"/>
  <c r="E38" i="110" s="1"/>
  <c r="K26" i="110" s="1"/>
  <c r="D38" i="110" a="1"/>
  <c r="D38" i="110" s="1"/>
  <c r="G37" i="110" a="1"/>
  <c r="G37" i="110" s="1"/>
  <c r="F37" i="110" a="1"/>
  <c r="F37" i="110" s="1"/>
  <c r="E37" i="110" a="1"/>
  <c r="E37" i="110" s="1"/>
  <c r="K25" i="110" s="1"/>
  <c r="D37" i="110" a="1"/>
  <c r="D37" i="110" s="1"/>
  <c r="G36" i="110" a="1"/>
  <c r="G36" i="110" s="1"/>
  <c r="F36" i="110" a="1"/>
  <c r="F36" i="110" s="1"/>
  <c r="E36" i="110" a="1"/>
  <c r="E36" i="110" s="1"/>
  <c r="K24" i="110" s="1"/>
  <c r="D36" i="110" a="1"/>
  <c r="D36" i="110" s="1"/>
  <c r="G35" i="110" a="1"/>
  <c r="G35" i="110" s="1"/>
  <c r="F35" i="110" a="1"/>
  <c r="F35" i="110" s="1"/>
  <c r="E35" i="110" a="1"/>
  <c r="E35" i="110" s="1"/>
  <c r="K23" i="110" s="1"/>
  <c r="D35" i="110" a="1"/>
  <c r="D35" i="110" s="1"/>
  <c r="G34" i="110" a="1"/>
  <c r="G34" i="110" s="1"/>
  <c r="F34" i="110" a="1"/>
  <c r="F34" i="110" s="1"/>
  <c r="E34" i="110" a="1"/>
  <c r="E34" i="110" s="1"/>
  <c r="K22" i="110" s="1"/>
  <c r="D34" i="110" a="1"/>
  <c r="D34" i="110" s="1"/>
  <c r="G33" i="110" a="1"/>
  <c r="G33" i="110" s="1"/>
  <c r="F33" i="110" a="1"/>
  <c r="F33" i="110" s="1"/>
  <c r="E33" i="110" a="1"/>
  <c r="E33" i="110" s="1"/>
  <c r="K21" i="110" s="1"/>
  <c r="D33" i="110" a="1"/>
  <c r="D33" i="110" s="1"/>
  <c r="G32" i="110" a="1"/>
  <c r="G32" i="110" s="1"/>
  <c r="F32" i="110" a="1"/>
  <c r="F32" i="110" s="1"/>
  <c r="E32" i="110" a="1"/>
  <c r="E32" i="110" s="1"/>
  <c r="K20" i="110" s="1"/>
  <c r="D32" i="110" a="1"/>
  <c r="D32" i="110" s="1"/>
  <c r="G31" i="110" a="1"/>
  <c r="G31" i="110" s="1"/>
  <c r="F31" i="110" a="1"/>
  <c r="F31" i="110" s="1"/>
  <c r="E31" i="110" a="1"/>
  <c r="E31" i="110" s="1"/>
  <c r="K19" i="110" s="1"/>
  <c r="D31" i="110" a="1"/>
  <c r="D31" i="110" s="1"/>
  <c r="G30" i="110" a="1"/>
  <c r="G30" i="110" s="1"/>
  <c r="F30" i="110" a="1"/>
  <c r="F30" i="110" s="1"/>
  <c r="E30" i="110" a="1"/>
  <c r="E30" i="110" s="1"/>
  <c r="K18" i="110" s="1"/>
  <c r="D30" i="110" a="1"/>
  <c r="D30" i="110" s="1"/>
  <c r="G29" i="110" a="1"/>
  <c r="G29" i="110" s="1"/>
  <c r="F29" i="110" a="1"/>
  <c r="F29" i="110" s="1"/>
  <c r="E29" i="110" a="1"/>
  <c r="E29" i="110" s="1"/>
  <c r="K17" i="110" s="1"/>
  <c r="D29" i="110" a="1"/>
  <c r="D29" i="110" s="1"/>
  <c r="G28" i="110" a="1"/>
  <c r="G28" i="110" s="1"/>
  <c r="F28" i="110" a="1"/>
  <c r="F28" i="110" s="1"/>
  <c r="E28" i="110" a="1"/>
  <c r="E28" i="110" s="1"/>
  <c r="D28" i="110" a="1"/>
  <c r="D28" i="110" s="1"/>
  <c r="G27" i="110" a="1"/>
  <c r="G27" i="110" s="1"/>
  <c r="F27" i="110" a="1"/>
  <c r="F27" i="110" s="1"/>
  <c r="E27" i="110" a="1"/>
  <c r="E27" i="110" s="1"/>
  <c r="I27" i="110" s="1"/>
  <c r="D27" i="110" a="1"/>
  <c r="D27" i="110" s="1"/>
  <c r="G26" i="110" a="1"/>
  <c r="G26" i="110" s="1"/>
  <c r="F26" i="110" a="1"/>
  <c r="F26" i="110" s="1"/>
  <c r="E26" i="110" a="1"/>
  <c r="E26" i="110" s="1"/>
  <c r="I26" i="110" s="1"/>
  <c r="D26" i="110" a="1"/>
  <c r="D26" i="110" s="1"/>
  <c r="G25" i="110" a="1"/>
  <c r="G25" i="110" s="1"/>
  <c r="F25" i="110" a="1"/>
  <c r="F25" i="110" s="1"/>
  <c r="E25" i="110" a="1"/>
  <c r="E25" i="110" s="1"/>
  <c r="I25" i="110" s="1"/>
  <c r="D25" i="110" a="1"/>
  <c r="D25" i="110" s="1"/>
  <c r="G24" i="110" a="1"/>
  <c r="G24" i="110" s="1"/>
  <c r="F24" i="110" a="1"/>
  <c r="F24" i="110" s="1"/>
  <c r="E24" i="110" a="1"/>
  <c r="E24" i="110" s="1"/>
  <c r="I24" i="110" s="1"/>
  <c r="D24" i="110" a="1"/>
  <c r="D24" i="110" s="1"/>
  <c r="G23" i="110" a="1"/>
  <c r="G23" i="110" s="1"/>
  <c r="F23" i="110" a="1"/>
  <c r="F23" i="110" s="1"/>
  <c r="E23" i="110" a="1"/>
  <c r="E23" i="110" s="1"/>
  <c r="I23" i="110" s="1"/>
  <c r="D23" i="110" a="1"/>
  <c r="D23" i="110" s="1"/>
  <c r="G22" i="110" a="1"/>
  <c r="G22" i="110" s="1"/>
  <c r="F22" i="110" a="1"/>
  <c r="F22" i="110" s="1"/>
  <c r="E22" i="110" a="1"/>
  <c r="E22" i="110" s="1"/>
  <c r="I22" i="110" s="1"/>
  <c r="D22" i="110" a="1"/>
  <c r="D22" i="110" s="1"/>
  <c r="G21" i="110" a="1"/>
  <c r="G21" i="110" s="1"/>
  <c r="F21" i="110" a="1"/>
  <c r="F21" i="110" s="1"/>
  <c r="E21" i="110" a="1"/>
  <c r="E21" i="110" s="1"/>
  <c r="I21" i="110" s="1"/>
  <c r="D21" i="110" a="1"/>
  <c r="D21" i="110" s="1"/>
  <c r="G20" i="110" a="1"/>
  <c r="G20" i="110" s="1"/>
  <c r="F20" i="110" a="1"/>
  <c r="F20" i="110" s="1"/>
  <c r="E20" i="110" a="1"/>
  <c r="E20" i="110" s="1"/>
  <c r="I20" i="110" s="1"/>
  <c r="D20" i="110" a="1"/>
  <c r="D20" i="110" s="1"/>
  <c r="G19" i="110" a="1"/>
  <c r="G19" i="110" s="1"/>
  <c r="F19" i="110" a="1"/>
  <c r="F19" i="110" s="1"/>
  <c r="E19" i="110" a="1"/>
  <c r="E19" i="110" s="1"/>
  <c r="I19" i="110" s="1"/>
  <c r="D19" i="110" a="1"/>
  <c r="D19" i="110" s="1"/>
  <c r="G18" i="110" a="1"/>
  <c r="G18" i="110" s="1"/>
  <c r="F18" i="110" a="1"/>
  <c r="F18" i="110" s="1"/>
  <c r="E18" i="110" a="1"/>
  <c r="E18" i="110" s="1"/>
  <c r="I18" i="110" s="1"/>
  <c r="D18" i="110" a="1"/>
  <c r="D18" i="110" s="1"/>
  <c r="G17" i="110" a="1"/>
  <c r="G17" i="110" s="1"/>
  <c r="F17" i="110" a="1"/>
  <c r="F17" i="110" s="1"/>
  <c r="E17" i="110" a="1"/>
  <c r="E17" i="110" s="1"/>
  <c r="I17" i="110" s="1"/>
  <c r="D17" i="110" a="1"/>
  <c r="D17" i="110" s="1"/>
  <c r="D15" i="110" a="1"/>
  <c r="D15" i="110" s="1"/>
  <c r="D14" i="110" a="1"/>
  <c r="D14" i="110" s="1"/>
  <c r="D7" i="110" a="1"/>
  <c r="D7" i="110" s="1"/>
  <c r="D6" i="110" a="1"/>
  <c r="D6" i="110" s="1"/>
  <c r="D5" i="110" a="1"/>
  <c r="D5" i="110" s="1"/>
  <c r="H185" i="109"/>
  <c r="H179" i="109"/>
  <c r="H168" i="109"/>
  <c r="H144" i="109"/>
  <c r="H138" i="109"/>
  <c r="H127" i="109"/>
  <c r="H105" i="109" a="1"/>
  <c r="H105" i="109" s="1"/>
  <c r="D105" i="109" a="1"/>
  <c r="D105" i="109" s="1"/>
  <c r="E103" i="109" a="1"/>
  <c r="E103" i="109" s="1"/>
  <c r="E102" i="109" a="1"/>
  <c r="E102" i="109" s="1"/>
  <c r="D98" i="109" a="1"/>
  <c r="D98" i="109" s="1"/>
  <c r="D97" i="109" a="1"/>
  <c r="D97" i="109" s="1"/>
  <c r="D96" i="109" a="1"/>
  <c r="D96" i="109" s="1"/>
  <c r="J16" i="109" a="1"/>
  <c r="J16" i="109" s="1"/>
  <c r="I16" i="109" a="1"/>
  <c r="I16" i="109" s="1"/>
  <c r="J15" i="109" a="1"/>
  <c r="J15" i="109" s="1"/>
  <c r="I15" i="109" a="1"/>
  <c r="I15" i="109" s="1"/>
  <c r="J14" i="109" a="1"/>
  <c r="J14" i="109" s="1"/>
  <c r="I14" i="109" a="1"/>
  <c r="I14" i="109" s="1"/>
  <c r="J13" i="109" a="1"/>
  <c r="J13" i="109" s="1"/>
  <c r="I13" i="109" a="1"/>
  <c r="I13" i="109" s="1"/>
  <c r="G13" i="109" a="1"/>
  <c r="G13" i="109" s="1"/>
  <c r="D13" i="109" a="1"/>
  <c r="D13" i="109" s="1"/>
  <c r="E11" i="109" a="1"/>
  <c r="E11" i="109" s="1"/>
  <c r="E10" i="109" a="1"/>
  <c r="E10" i="109" s="1"/>
  <c r="D6" i="109" a="1"/>
  <c r="D6" i="109" s="1"/>
  <c r="D5" i="109" a="1"/>
  <c r="D5" i="109" s="1"/>
  <c r="AH223" i="107" a="1"/>
  <c r="AH223" i="107" s="1"/>
  <c r="AG223" i="107" a="1"/>
  <c r="AG223" i="107" s="1"/>
  <c r="AF223" i="107" a="1"/>
  <c r="AF223" i="107" s="1"/>
  <c r="AE223" i="107" a="1"/>
  <c r="AE223" i="107" s="1"/>
  <c r="AD223" i="107" a="1"/>
  <c r="AD223" i="107" s="1"/>
  <c r="AC223" i="107" a="1"/>
  <c r="AC223" i="107" s="1"/>
  <c r="AB223" i="107" a="1"/>
  <c r="AB223" i="107" s="1"/>
  <c r="AA223" i="107" a="1"/>
  <c r="AA223" i="107" s="1"/>
  <c r="Z223" i="107" a="1"/>
  <c r="Z223" i="107" s="1"/>
  <c r="Y223" i="107" a="1"/>
  <c r="Y223" i="107" s="1"/>
  <c r="X223" i="107" a="1"/>
  <c r="X223" i="107" s="1"/>
  <c r="W223" i="107" a="1"/>
  <c r="W223" i="107" s="1"/>
  <c r="V223" i="107" a="1"/>
  <c r="V223" i="107" s="1"/>
  <c r="U223" i="107" a="1"/>
  <c r="U223" i="107" s="1"/>
  <c r="T223" i="107" a="1"/>
  <c r="T223" i="107" s="1"/>
  <c r="S223" i="107" a="1"/>
  <c r="S223" i="107" s="1"/>
  <c r="R223" i="107" a="1"/>
  <c r="R223" i="107" s="1"/>
  <c r="Q223" i="107" a="1"/>
  <c r="Q223" i="107" s="1"/>
  <c r="P223" i="107" a="1"/>
  <c r="P223" i="107" s="1"/>
  <c r="O223" i="107" a="1"/>
  <c r="O223" i="107" s="1"/>
  <c r="N223" i="107" a="1"/>
  <c r="N223" i="107" s="1"/>
  <c r="M223" i="107" a="1"/>
  <c r="M223" i="107" s="1"/>
  <c r="L223" i="107" a="1"/>
  <c r="L223" i="107" s="1"/>
  <c r="K223" i="107" a="1"/>
  <c r="K223" i="107" s="1"/>
  <c r="J223" i="107" a="1"/>
  <c r="J223" i="107" s="1"/>
  <c r="I223" i="107" a="1"/>
  <c r="I223" i="107" s="1"/>
  <c r="H223" i="107" a="1"/>
  <c r="H223" i="107" s="1"/>
  <c r="G223" i="107" a="1"/>
  <c r="G223" i="107" s="1"/>
  <c r="F223" i="107" a="1"/>
  <c r="F223" i="107" s="1"/>
  <c r="E223" i="107" a="1"/>
  <c r="E223" i="107" s="1"/>
  <c r="D223" i="107" a="1"/>
  <c r="D223" i="107" s="1"/>
  <c r="AH222" i="107" a="1"/>
  <c r="AH222" i="107" s="1"/>
  <c r="AG222" i="107" a="1"/>
  <c r="AG222" i="107" s="1"/>
  <c r="AF222" i="107" a="1"/>
  <c r="AF222" i="107" s="1"/>
  <c r="AE222" i="107" a="1"/>
  <c r="AE222" i="107" s="1"/>
  <c r="AD222" i="107" a="1"/>
  <c r="AD222" i="107" s="1"/>
  <c r="AC222" i="107" a="1"/>
  <c r="AC222" i="107" s="1"/>
  <c r="AB222" i="107" a="1"/>
  <c r="AB222" i="107" s="1"/>
  <c r="AA222" i="107" a="1"/>
  <c r="AA222" i="107" s="1"/>
  <c r="Z222" i="107" a="1"/>
  <c r="Z222" i="107" s="1"/>
  <c r="Y222" i="107" a="1"/>
  <c r="Y222" i="107" s="1"/>
  <c r="X222" i="107" a="1"/>
  <c r="X222" i="107" s="1"/>
  <c r="W222" i="107" a="1"/>
  <c r="W222" i="107" s="1"/>
  <c r="V222" i="107" a="1"/>
  <c r="V222" i="107" s="1"/>
  <c r="U222" i="107" a="1"/>
  <c r="U222" i="107" s="1"/>
  <c r="T222" i="107" a="1"/>
  <c r="T222" i="107" s="1"/>
  <c r="S222" i="107" a="1"/>
  <c r="S222" i="107" s="1"/>
  <c r="R222" i="107" a="1"/>
  <c r="R222" i="107" s="1"/>
  <c r="Q222" i="107" a="1"/>
  <c r="Q222" i="107" s="1"/>
  <c r="P222" i="107" a="1"/>
  <c r="P222" i="107" s="1"/>
  <c r="O222" i="107" a="1"/>
  <c r="O222" i="107" s="1"/>
  <c r="N222" i="107" a="1"/>
  <c r="N222" i="107" s="1"/>
  <c r="M222" i="107" a="1"/>
  <c r="M222" i="107" s="1"/>
  <c r="L222" i="107" a="1"/>
  <c r="L222" i="107" s="1"/>
  <c r="K222" i="107" a="1"/>
  <c r="K222" i="107" s="1"/>
  <c r="J222" i="107" a="1"/>
  <c r="J222" i="107" s="1"/>
  <c r="I222" i="107" a="1"/>
  <c r="I222" i="107" s="1"/>
  <c r="H222" i="107" a="1"/>
  <c r="H222" i="107" s="1"/>
  <c r="G222" i="107" a="1"/>
  <c r="G222" i="107" s="1"/>
  <c r="F222" i="107" a="1"/>
  <c r="F222" i="107" s="1"/>
  <c r="E222" i="107" a="1"/>
  <c r="E222" i="107" s="1"/>
  <c r="D222" i="107" a="1"/>
  <c r="D222" i="107" s="1"/>
  <c r="AH221" i="107" a="1"/>
  <c r="AH221" i="107" s="1"/>
  <c r="AG221" i="107" a="1"/>
  <c r="AG221" i="107" s="1"/>
  <c r="AF221" i="107" a="1"/>
  <c r="AF221" i="107" s="1"/>
  <c r="AE221" i="107" a="1"/>
  <c r="AE221" i="107" s="1"/>
  <c r="AD221" i="107" a="1"/>
  <c r="AD221" i="107" s="1"/>
  <c r="AC221" i="107" a="1"/>
  <c r="AC221" i="107" s="1"/>
  <c r="AB221" i="107" a="1"/>
  <c r="AB221" i="107" s="1"/>
  <c r="AA221" i="107" a="1"/>
  <c r="AA221" i="107" s="1"/>
  <c r="Z221" i="107" a="1"/>
  <c r="Z221" i="107" s="1"/>
  <c r="Y221" i="107" a="1"/>
  <c r="Y221" i="107" s="1"/>
  <c r="X221" i="107" a="1"/>
  <c r="X221" i="107" s="1"/>
  <c r="W221" i="107" a="1"/>
  <c r="W221" i="107" s="1"/>
  <c r="V221" i="107" a="1"/>
  <c r="V221" i="107" s="1"/>
  <c r="U221" i="107" a="1"/>
  <c r="U221" i="107" s="1"/>
  <c r="T221" i="107" a="1"/>
  <c r="T221" i="107" s="1"/>
  <c r="S221" i="107" a="1"/>
  <c r="S221" i="107" s="1"/>
  <c r="R221" i="107" a="1"/>
  <c r="R221" i="107" s="1"/>
  <c r="Q221" i="107" a="1"/>
  <c r="Q221" i="107" s="1"/>
  <c r="P221" i="107" a="1"/>
  <c r="P221" i="107" s="1"/>
  <c r="O221" i="107" a="1"/>
  <c r="O221" i="107" s="1"/>
  <c r="N221" i="107" a="1"/>
  <c r="N221" i="107" s="1"/>
  <c r="M221" i="107" a="1"/>
  <c r="M221" i="107" s="1"/>
  <c r="L221" i="107" a="1"/>
  <c r="L221" i="107" s="1"/>
  <c r="K221" i="107" a="1"/>
  <c r="K221" i="107" s="1"/>
  <c r="J221" i="107" a="1"/>
  <c r="J221" i="107" s="1"/>
  <c r="I221" i="107" a="1"/>
  <c r="I221" i="107" s="1"/>
  <c r="H221" i="107" a="1"/>
  <c r="H221" i="107" s="1"/>
  <c r="G221" i="107" a="1"/>
  <c r="G221" i="107" s="1"/>
  <c r="F221" i="107" a="1"/>
  <c r="F221" i="107" s="1"/>
  <c r="E221" i="107" a="1"/>
  <c r="E221" i="107" s="1"/>
  <c r="D221" i="107" a="1"/>
  <c r="D221" i="107" s="1"/>
  <c r="AH220" i="107" a="1"/>
  <c r="AH220" i="107" s="1"/>
  <c r="AG220" i="107" a="1"/>
  <c r="AG220" i="107" s="1"/>
  <c r="AF220" i="107" a="1"/>
  <c r="AF220" i="107" s="1"/>
  <c r="AE220" i="107" a="1"/>
  <c r="AE220" i="107" s="1"/>
  <c r="AD220" i="107" a="1"/>
  <c r="AD220" i="107" s="1"/>
  <c r="AC220" i="107" a="1"/>
  <c r="AC220" i="107" s="1"/>
  <c r="AB220" i="107" a="1"/>
  <c r="AB220" i="107" s="1"/>
  <c r="AA220" i="107" a="1"/>
  <c r="AA220" i="107" s="1"/>
  <c r="Z220" i="107" a="1"/>
  <c r="Z220" i="107" s="1"/>
  <c r="Y220" i="107" a="1"/>
  <c r="Y220" i="107" s="1"/>
  <c r="X220" i="107" a="1"/>
  <c r="X220" i="107" s="1"/>
  <c r="W220" i="107" a="1"/>
  <c r="W220" i="107" s="1"/>
  <c r="V220" i="107" a="1"/>
  <c r="V220" i="107" s="1"/>
  <c r="U220" i="107" a="1"/>
  <c r="U220" i="107" s="1"/>
  <c r="T220" i="107" a="1"/>
  <c r="T220" i="107" s="1"/>
  <c r="S220" i="107" a="1"/>
  <c r="S220" i="107" s="1"/>
  <c r="R220" i="107" a="1"/>
  <c r="R220" i="107" s="1"/>
  <c r="Q220" i="107" a="1"/>
  <c r="Q220" i="107" s="1"/>
  <c r="P220" i="107" a="1"/>
  <c r="P220" i="107" s="1"/>
  <c r="O220" i="107" a="1"/>
  <c r="O220" i="107" s="1"/>
  <c r="N220" i="107" a="1"/>
  <c r="N220" i="107" s="1"/>
  <c r="M220" i="107" a="1"/>
  <c r="M220" i="107" s="1"/>
  <c r="L220" i="107" a="1"/>
  <c r="L220" i="107" s="1"/>
  <c r="K220" i="107" a="1"/>
  <c r="K220" i="107" s="1"/>
  <c r="J220" i="107" a="1"/>
  <c r="J220" i="107" s="1"/>
  <c r="I220" i="107" a="1"/>
  <c r="I220" i="107" s="1"/>
  <c r="H220" i="107" a="1"/>
  <c r="H220" i="107" s="1"/>
  <c r="G220" i="107" a="1"/>
  <c r="G220" i="107" s="1"/>
  <c r="F220" i="107" a="1"/>
  <c r="F220" i="107" s="1"/>
  <c r="E220" i="107" a="1"/>
  <c r="E220" i="107" s="1"/>
  <c r="D220" i="107" a="1"/>
  <c r="D220" i="107" s="1"/>
  <c r="AH219" i="107" a="1"/>
  <c r="AH219" i="107" s="1"/>
  <c r="AG219" i="107" a="1"/>
  <c r="AG219" i="107" s="1"/>
  <c r="AF219" i="107" a="1"/>
  <c r="AF219" i="107" s="1"/>
  <c r="AE219" i="107" a="1"/>
  <c r="AE219" i="107" s="1"/>
  <c r="AD219" i="107" a="1"/>
  <c r="AD219" i="107" s="1"/>
  <c r="AC219" i="107" a="1"/>
  <c r="AC219" i="107" s="1"/>
  <c r="AB219" i="107" a="1"/>
  <c r="AB219" i="107" s="1"/>
  <c r="AA219" i="107" a="1"/>
  <c r="AA219" i="107" s="1"/>
  <c r="Z219" i="107" a="1"/>
  <c r="Z219" i="107" s="1"/>
  <c r="Y219" i="107" a="1"/>
  <c r="Y219" i="107" s="1"/>
  <c r="X219" i="107" a="1"/>
  <c r="X219" i="107" s="1"/>
  <c r="W219" i="107" a="1"/>
  <c r="W219" i="107" s="1"/>
  <c r="V219" i="107" a="1"/>
  <c r="V219" i="107" s="1"/>
  <c r="U219" i="107" a="1"/>
  <c r="U219" i="107" s="1"/>
  <c r="T219" i="107" a="1"/>
  <c r="T219" i="107" s="1"/>
  <c r="S219" i="107" a="1"/>
  <c r="S219" i="107" s="1"/>
  <c r="R219" i="107" a="1"/>
  <c r="R219" i="107" s="1"/>
  <c r="Q219" i="107" a="1"/>
  <c r="Q219" i="107" s="1"/>
  <c r="P219" i="107" a="1"/>
  <c r="P219" i="107" s="1"/>
  <c r="O219" i="107" a="1"/>
  <c r="O219" i="107" s="1"/>
  <c r="N219" i="107" a="1"/>
  <c r="N219" i="107" s="1"/>
  <c r="M219" i="107" a="1"/>
  <c r="M219" i="107" s="1"/>
  <c r="L219" i="107" a="1"/>
  <c r="L219" i="107" s="1"/>
  <c r="K219" i="107" a="1"/>
  <c r="K219" i="107" s="1"/>
  <c r="J219" i="107" a="1"/>
  <c r="J219" i="107" s="1"/>
  <c r="I219" i="107" a="1"/>
  <c r="I219" i="107" s="1"/>
  <c r="H219" i="107" a="1"/>
  <c r="H219" i="107" s="1"/>
  <c r="G219" i="107" a="1"/>
  <c r="G219" i="107" s="1"/>
  <c r="F219" i="107" a="1"/>
  <c r="F219" i="107" s="1"/>
  <c r="E219" i="107" a="1"/>
  <c r="E219" i="107" s="1"/>
  <c r="D219" i="107" a="1"/>
  <c r="D219" i="107" s="1"/>
  <c r="AH218" i="107" a="1"/>
  <c r="AH218" i="107" s="1"/>
  <c r="AG218" i="107" a="1"/>
  <c r="AG218" i="107" s="1"/>
  <c r="AF218" i="107" a="1"/>
  <c r="AF218" i="107" s="1"/>
  <c r="AE218" i="107" a="1"/>
  <c r="AE218" i="107" s="1"/>
  <c r="AD218" i="107" a="1"/>
  <c r="AD218" i="107" s="1"/>
  <c r="AC218" i="107" a="1"/>
  <c r="AC218" i="107" s="1"/>
  <c r="AB218" i="107" a="1"/>
  <c r="AB218" i="107" s="1"/>
  <c r="AA218" i="107" a="1"/>
  <c r="AA218" i="107" s="1"/>
  <c r="Z218" i="107" a="1"/>
  <c r="Z218" i="107" s="1"/>
  <c r="Y218" i="107" a="1"/>
  <c r="Y218" i="107" s="1"/>
  <c r="X218" i="107" a="1"/>
  <c r="X218" i="107" s="1"/>
  <c r="W218" i="107" a="1"/>
  <c r="W218" i="107" s="1"/>
  <c r="V218" i="107" a="1"/>
  <c r="V218" i="107" s="1"/>
  <c r="U218" i="107" a="1"/>
  <c r="U218" i="107" s="1"/>
  <c r="T218" i="107" a="1"/>
  <c r="T218" i="107" s="1"/>
  <c r="S218" i="107" a="1"/>
  <c r="S218" i="107" s="1"/>
  <c r="R218" i="107" a="1"/>
  <c r="R218" i="107" s="1"/>
  <c r="Q218" i="107" a="1"/>
  <c r="Q218" i="107" s="1"/>
  <c r="P218" i="107" a="1"/>
  <c r="P218" i="107" s="1"/>
  <c r="O218" i="107" a="1"/>
  <c r="O218" i="107" s="1"/>
  <c r="N218" i="107" a="1"/>
  <c r="N218" i="107" s="1"/>
  <c r="M218" i="107" a="1"/>
  <c r="M218" i="107" s="1"/>
  <c r="L218" i="107" a="1"/>
  <c r="L218" i="107" s="1"/>
  <c r="K218" i="107" a="1"/>
  <c r="K218" i="107" s="1"/>
  <c r="J218" i="107" a="1"/>
  <c r="J218" i="107" s="1"/>
  <c r="I218" i="107" a="1"/>
  <c r="I218" i="107" s="1"/>
  <c r="H218" i="107" a="1"/>
  <c r="H218" i="107" s="1"/>
  <c r="G218" i="107" a="1"/>
  <c r="G218" i="107" s="1"/>
  <c r="F218" i="107" a="1"/>
  <c r="F218" i="107" s="1"/>
  <c r="E218" i="107" a="1"/>
  <c r="E218" i="107" s="1"/>
  <c r="D218" i="107" a="1"/>
  <c r="D218" i="107" s="1"/>
  <c r="AH217" i="107" a="1"/>
  <c r="AH217" i="107" s="1"/>
  <c r="AG217" i="107" a="1"/>
  <c r="AG217" i="107" s="1"/>
  <c r="AF217" i="107" a="1"/>
  <c r="AF217" i="107" s="1"/>
  <c r="AE217" i="107" a="1"/>
  <c r="AE217" i="107" s="1"/>
  <c r="AD217" i="107" a="1"/>
  <c r="AD217" i="107" s="1"/>
  <c r="AC217" i="107" a="1"/>
  <c r="AC217" i="107" s="1"/>
  <c r="AB217" i="107" a="1"/>
  <c r="AB217" i="107" s="1"/>
  <c r="AA217" i="107" a="1"/>
  <c r="AA217" i="107" s="1"/>
  <c r="Z217" i="107" a="1"/>
  <c r="Z217" i="107" s="1"/>
  <c r="Y217" i="107" a="1"/>
  <c r="Y217" i="107" s="1"/>
  <c r="X217" i="107" a="1"/>
  <c r="X217" i="107" s="1"/>
  <c r="W217" i="107" a="1"/>
  <c r="W217" i="107" s="1"/>
  <c r="V217" i="107" a="1"/>
  <c r="V217" i="107" s="1"/>
  <c r="U217" i="107" a="1"/>
  <c r="U217" i="107" s="1"/>
  <c r="T217" i="107" a="1"/>
  <c r="T217" i="107" s="1"/>
  <c r="S217" i="107" a="1"/>
  <c r="S217" i="107" s="1"/>
  <c r="R217" i="107" a="1"/>
  <c r="R217" i="107" s="1"/>
  <c r="Q217" i="107" a="1"/>
  <c r="Q217" i="107" s="1"/>
  <c r="P217" i="107" a="1"/>
  <c r="P217" i="107" s="1"/>
  <c r="O217" i="107" a="1"/>
  <c r="O217" i="107" s="1"/>
  <c r="N217" i="107" a="1"/>
  <c r="N217" i="107" s="1"/>
  <c r="M217" i="107" a="1"/>
  <c r="M217" i="107" s="1"/>
  <c r="L217" i="107" a="1"/>
  <c r="L217" i="107" s="1"/>
  <c r="K217" i="107" a="1"/>
  <c r="K217" i="107" s="1"/>
  <c r="J217" i="107" a="1"/>
  <c r="J217" i="107" s="1"/>
  <c r="I217" i="107" a="1"/>
  <c r="I217" i="107" s="1"/>
  <c r="H217" i="107" a="1"/>
  <c r="H217" i="107" s="1"/>
  <c r="G217" i="107" a="1"/>
  <c r="G217" i="107" s="1"/>
  <c r="F217" i="107" a="1"/>
  <c r="F217" i="107" s="1"/>
  <c r="E217" i="107" a="1"/>
  <c r="E217" i="107" s="1"/>
  <c r="D217" i="107" a="1"/>
  <c r="D217" i="107" s="1"/>
  <c r="AH216" i="107" a="1"/>
  <c r="AH216" i="107" s="1"/>
  <c r="AG216" i="107" a="1"/>
  <c r="AG216" i="107" s="1"/>
  <c r="AF216" i="107" a="1"/>
  <c r="AF216" i="107" s="1"/>
  <c r="AE216" i="107" a="1"/>
  <c r="AE216" i="107" s="1"/>
  <c r="AD216" i="107" a="1"/>
  <c r="AD216" i="107" s="1"/>
  <c r="AC216" i="107" a="1"/>
  <c r="AC216" i="107" s="1"/>
  <c r="AB216" i="107" a="1"/>
  <c r="AB216" i="107" s="1"/>
  <c r="AA216" i="107" a="1"/>
  <c r="AA216" i="107" s="1"/>
  <c r="Z216" i="107" a="1"/>
  <c r="Z216" i="107" s="1"/>
  <c r="Y216" i="107" a="1"/>
  <c r="Y216" i="107" s="1"/>
  <c r="X216" i="107" a="1"/>
  <c r="X216" i="107" s="1"/>
  <c r="W216" i="107" a="1"/>
  <c r="W216" i="107" s="1"/>
  <c r="V216" i="107" a="1"/>
  <c r="V216" i="107" s="1"/>
  <c r="U216" i="107" a="1"/>
  <c r="U216" i="107" s="1"/>
  <c r="T216" i="107" a="1"/>
  <c r="T216" i="107" s="1"/>
  <c r="S216" i="107" a="1"/>
  <c r="S216" i="107" s="1"/>
  <c r="R216" i="107" a="1"/>
  <c r="R216" i="107" s="1"/>
  <c r="Q216" i="107" a="1"/>
  <c r="Q216" i="107" s="1"/>
  <c r="P216" i="107" a="1"/>
  <c r="P216" i="107" s="1"/>
  <c r="O216" i="107" a="1"/>
  <c r="O216" i="107" s="1"/>
  <c r="N216" i="107" a="1"/>
  <c r="N216" i="107" s="1"/>
  <c r="M216" i="107" a="1"/>
  <c r="M216" i="107" s="1"/>
  <c r="L216" i="107" a="1"/>
  <c r="L216" i="107" s="1"/>
  <c r="K216" i="107" a="1"/>
  <c r="K216" i="107" s="1"/>
  <c r="J216" i="107" a="1"/>
  <c r="J216" i="107" s="1"/>
  <c r="I216" i="107" a="1"/>
  <c r="I216" i="107" s="1"/>
  <c r="H216" i="107" a="1"/>
  <c r="H216" i="107" s="1"/>
  <c r="G216" i="107" a="1"/>
  <c r="G216" i="107" s="1"/>
  <c r="F216" i="107" a="1"/>
  <c r="F216" i="107" s="1"/>
  <c r="E216" i="107" a="1"/>
  <c r="E216" i="107" s="1"/>
  <c r="D216" i="107" a="1"/>
  <c r="D216" i="107" s="1"/>
  <c r="AH215" i="107" a="1"/>
  <c r="AH215" i="107" s="1"/>
  <c r="AG215" i="107" a="1"/>
  <c r="AG215" i="107" s="1"/>
  <c r="AF215" i="107" a="1"/>
  <c r="AF215" i="107" s="1"/>
  <c r="AE215" i="107" a="1"/>
  <c r="AE215" i="107" s="1"/>
  <c r="AD215" i="107" a="1"/>
  <c r="AD215" i="107" s="1"/>
  <c r="AC215" i="107" a="1"/>
  <c r="AC215" i="107" s="1"/>
  <c r="AB215" i="107" a="1"/>
  <c r="AB215" i="107" s="1"/>
  <c r="AA215" i="107" a="1"/>
  <c r="AA215" i="107" s="1"/>
  <c r="Z215" i="107" a="1"/>
  <c r="Z215" i="107" s="1"/>
  <c r="Y215" i="107" a="1"/>
  <c r="Y215" i="107" s="1"/>
  <c r="X215" i="107" a="1"/>
  <c r="X215" i="107" s="1"/>
  <c r="W215" i="107" a="1"/>
  <c r="W215" i="107" s="1"/>
  <c r="V215" i="107" a="1"/>
  <c r="V215" i="107" s="1"/>
  <c r="U215" i="107" a="1"/>
  <c r="U215" i="107" s="1"/>
  <c r="T215" i="107" a="1"/>
  <c r="T215" i="107" s="1"/>
  <c r="S215" i="107" a="1"/>
  <c r="S215" i="107" s="1"/>
  <c r="R215" i="107" a="1"/>
  <c r="R215" i="107" s="1"/>
  <c r="Q215" i="107" a="1"/>
  <c r="Q215" i="107" s="1"/>
  <c r="P215" i="107" a="1"/>
  <c r="P215" i="107" s="1"/>
  <c r="O215" i="107" a="1"/>
  <c r="O215" i="107" s="1"/>
  <c r="N215" i="107" a="1"/>
  <c r="N215" i="107" s="1"/>
  <c r="M215" i="107" a="1"/>
  <c r="M215" i="107" s="1"/>
  <c r="L215" i="107" a="1"/>
  <c r="L215" i="107" s="1"/>
  <c r="K215" i="107" a="1"/>
  <c r="K215" i="107" s="1"/>
  <c r="J215" i="107" a="1"/>
  <c r="J215" i="107" s="1"/>
  <c r="I215" i="107" a="1"/>
  <c r="I215" i="107" s="1"/>
  <c r="H215" i="107" a="1"/>
  <c r="H215" i="107" s="1"/>
  <c r="G215" i="107" a="1"/>
  <c r="G215" i="107" s="1"/>
  <c r="F215" i="107" a="1"/>
  <c r="F215" i="107" s="1"/>
  <c r="E215" i="107" a="1"/>
  <c r="E215" i="107" s="1"/>
  <c r="D215" i="107" a="1"/>
  <c r="D215" i="107" s="1"/>
  <c r="AH214" i="107" a="1"/>
  <c r="AH214" i="107" s="1"/>
  <c r="AG214" i="107" a="1"/>
  <c r="AG214" i="107" s="1"/>
  <c r="AF214" i="107" a="1"/>
  <c r="AF214" i="107" s="1"/>
  <c r="AE214" i="107" a="1"/>
  <c r="AE214" i="107" s="1"/>
  <c r="AD214" i="107" a="1"/>
  <c r="AD214" i="107" s="1"/>
  <c r="AC214" i="107" a="1"/>
  <c r="AC214" i="107" s="1"/>
  <c r="AB214" i="107" a="1"/>
  <c r="AB214" i="107" s="1"/>
  <c r="AA214" i="107" a="1"/>
  <c r="AA214" i="107" s="1"/>
  <c r="Z214" i="107" a="1"/>
  <c r="Z214" i="107" s="1"/>
  <c r="Y214" i="107" a="1"/>
  <c r="Y214" i="107" s="1"/>
  <c r="X214" i="107" a="1"/>
  <c r="X214" i="107" s="1"/>
  <c r="W214" i="107" a="1"/>
  <c r="W214" i="107" s="1"/>
  <c r="V214" i="107" a="1"/>
  <c r="V214" i="107" s="1"/>
  <c r="U214" i="107" a="1"/>
  <c r="U214" i="107" s="1"/>
  <c r="T214" i="107" a="1"/>
  <c r="T214" i="107" s="1"/>
  <c r="S214" i="107" a="1"/>
  <c r="S214" i="107" s="1"/>
  <c r="R214" i="107" a="1"/>
  <c r="R214" i="107" s="1"/>
  <c r="Q214" i="107" a="1"/>
  <c r="Q214" i="107" s="1"/>
  <c r="P214" i="107" a="1"/>
  <c r="P214" i="107" s="1"/>
  <c r="O214" i="107" a="1"/>
  <c r="O214" i="107" s="1"/>
  <c r="N214" i="107" a="1"/>
  <c r="N214" i="107" s="1"/>
  <c r="M214" i="107" a="1"/>
  <c r="M214" i="107" s="1"/>
  <c r="L214" i="107" a="1"/>
  <c r="L214" i="107" s="1"/>
  <c r="K214" i="107" a="1"/>
  <c r="K214" i="107" s="1"/>
  <c r="J214" i="107" a="1"/>
  <c r="J214" i="107" s="1"/>
  <c r="I214" i="107" a="1"/>
  <c r="I214" i="107" s="1"/>
  <c r="H214" i="107" a="1"/>
  <c r="H214" i="107" s="1"/>
  <c r="G214" i="107" a="1"/>
  <c r="G214" i="107" s="1"/>
  <c r="F214" i="107" a="1"/>
  <c r="F214" i="107" s="1"/>
  <c r="E214" i="107" a="1"/>
  <c r="E214" i="107" s="1"/>
  <c r="D214" i="107" a="1"/>
  <c r="D214" i="107" s="1"/>
  <c r="AH213" i="107" a="1"/>
  <c r="AH213" i="107" s="1"/>
  <c r="AG213" i="107" a="1"/>
  <c r="AG213" i="107" s="1"/>
  <c r="AF213" i="107" a="1"/>
  <c r="AF213" i="107" s="1"/>
  <c r="AE213" i="107" a="1"/>
  <c r="AE213" i="107" s="1"/>
  <c r="AD213" i="107" a="1"/>
  <c r="AD213" i="107" s="1"/>
  <c r="AC213" i="107" a="1"/>
  <c r="AC213" i="107" s="1"/>
  <c r="AB213" i="107" a="1"/>
  <c r="AB213" i="107" s="1"/>
  <c r="AA213" i="107" a="1"/>
  <c r="AA213" i="107" s="1"/>
  <c r="Z213" i="107" a="1"/>
  <c r="Z213" i="107" s="1"/>
  <c r="Y213" i="107" a="1"/>
  <c r="Y213" i="107" s="1"/>
  <c r="X213" i="107" a="1"/>
  <c r="X213" i="107" s="1"/>
  <c r="W213" i="107" a="1"/>
  <c r="W213" i="107" s="1"/>
  <c r="V213" i="107" a="1"/>
  <c r="V213" i="107" s="1"/>
  <c r="U213" i="107" a="1"/>
  <c r="U213" i="107" s="1"/>
  <c r="T213" i="107" a="1"/>
  <c r="T213" i="107" s="1"/>
  <c r="S213" i="107" a="1"/>
  <c r="S213" i="107" s="1"/>
  <c r="R213" i="107" a="1"/>
  <c r="R213" i="107" s="1"/>
  <c r="Q213" i="107" a="1"/>
  <c r="Q213" i="107" s="1"/>
  <c r="P213" i="107" a="1"/>
  <c r="P213" i="107" s="1"/>
  <c r="O213" i="107" a="1"/>
  <c r="O213" i="107" s="1"/>
  <c r="N213" i="107" a="1"/>
  <c r="N213" i="107" s="1"/>
  <c r="M213" i="107" a="1"/>
  <c r="M213" i="107" s="1"/>
  <c r="L213" i="107" a="1"/>
  <c r="L213" i="107" s="1"/>
  <c r="K213" i="107" a="1"/>
  <c r="K213" i="107" s="1"/>
  <c r="J213" i="107" a="1"/>
  <c r="J213" i="107" s="1"/>
  <c r="I213" i="107" a="1"/>
  <c r="I213" i="107" s="1"/>
  <c r="H213" i="107" a="1"/>
  <c r="H213" i="107" s="1"/>
  <c r="G213" i="107" a="1"/>
  <c r="G213" i="107" s="1"/>
  <c r="F213" i="107" a="1"/>
  <c r="F213" i="107" s="1"/>
  <c r="E213" i="107" a="1"/>
  <c r="E213" i="107" s="1"/>
  <c r="D213" i="107" a="1"/>
  <c r="D213" i="107" s="1"/>
  <c r="AH212" i="107" a="1"/>
  <c r="AH212" i="107" s="1"/>
  <c r="AG212" i="107" a="1"/>
  <c r="AG212" i="107" s="1"/>
  <c r="AF212" i="107" a="1"/>
  <c r="AF212" i="107" s="1"/>
  <c r="AE212" i="107" a="1"/>
  <c r="AE212" i="107" s="1"/>
  <c r="AD212" i="107" a="1"/>
  <c r="AD212" i="107" s="1"/>
  <c r="AC212" i="107" a="1"/>
  <c r="AC212" i="107" s="1"/>
  <c r="AB212" i="107" a="1"/>
  <c r="AB212" i="107" s="1"/>
  <c r="AA212" i="107" a="1"/>
  <c r="AA212" i="107" s="1"/>
  <c r="Z212" i="107" a="1"/>
  <c r="Z212" i="107" s="1"/>
  <c r="Y212" i="107" a="1"/>
  <c r="Y212" i="107" s="1"/>
  <c r="X212" i="107" a="1"/>
  <c r="X212" i="107" s="1"/>
  <c r="W212" i="107" a="1"/>
  <c r="W212" i="107" s="1"/>
  <c r="V212" i="107" a="1"/>
  <c r="V212" i="107" s="1"/>
  <c r="U212" i="107" a="1"/>
  <c r="U212" i="107" s="1"/>
  <c r="T212" i="107" a="1"/>
  <c r="T212" i="107" s="1"/>
  <c r="S212" i="107" a="1"/>
  <c r="S212" i="107" s="1"/>
  <c r="R212" i="107" a="1"/>
  <c r="R212" i="107" s="1"/>
  <c r="Q212" i="107" a="1"/>
  <c r="Q212" i="107" s="1"/>
  <c r="P212" i="107" a="1"/>
  <c r="P212" i="107" s="1"/>
  <c r="O212" i="107" a="1"/>
  <c r="O212" i="107" s="1"/>
  <c r="N212" i="107" a="1"/>
  <c r="N212" i="107" s="1"/>
  <c r="M212" i="107" a="1"/>
  <c r="M212" i="107" s="1"/>
  <c r="L212" i="107" a="1"/>
  <c r="L212" i="107" s="1"/>
  <c r="K212" i="107" a="1"/>
  <c r="K212" i="107" s="1"/>
  <c r="J212" i="107" a="1"/>
  <c r="J212" i="107" s="1"/>
  <c r="I212" i="107" a="1"/>
  <c r="I212" i="107" s="1"/>
  <c r="H212" i="107" a="1"/>
  <c r="H212" i="107" s="1"/>
  <c r="G212" i="107" a="1"/>
  <c r="G212" i="107" s="1"/>
  <c r="F212" i="107" a="1"/>
  <c r="F212" i="107" s="1"/>
  <c r="E212" i="107" a="1"/>
  <c r="E212" i="107" s="1"/>
  <c r="D212" i="107" a="1"/>
  <c r="D212" i="107" s="1"/>
  <c r="AH211" i="107" a="1"/>
  <c r="AH211" i="107" s="1"/>
  <c r="AG211" i="107" a="1"/>
  <c r="AG211" i="107" s="1"/>
  <c r="AF211" i="107" a="1"/>
  <c r="AF211" i="107" s="1"/>
  <c r="AE211" i="107" a="1"/>
  <c r="AE211" i="107" s="1"/>
  <c r="AD211" i="107" a="1"/>
  <c r="AD211" i="107" s="1"/>
  <c r="AC211" i="107" a="1"/>
  <c r="AC211" i="107" s="1"/>
  <c r="AB211" i="107" a="1"/>
  <c r="AB211" i="107" s="1"/>
  <c r="AA211" i="107" a="1"/>
  <c r="AA211" i="107" s="1"/>
  <c r="Z211" i="107" a="1"/>
  <c r="Z211" i="107" s="1"/>
  <c r="Y211" i="107" a="1"/>
  <c r="Y211" i="107" s="1"/>
  <c r="X211" i="107" a="1"/>
  <c r="X211" i="107" s="1"/>
  <c r="W211" i="107" a="1"/>
  <c r="W211" i="107" s="1"/>
  <c r="V211" i="107" a="1"/>
  <c r="V211" i="107" s="1"/>
  <c r="U211" i="107" a="1"/>
  <c r="U211" i="107" s="1"/>
  <c r="T211" i="107" a="1"/>
  <c r="T211" i="107" s="1"/>
  <c r="S211" i="107" a="1"/>
  <c r="S211" i="107" s="1"/>
  <c r="R211" i="107" a="1"/>
  <c r="R211" i="107" s="1"/>
  <c r="Q211" i="107" a="1"/>
  <c r="Q211" i="107" s="1"/>
  <c r="P211" i="107" a="1"/>
  <c r="P211" i="107" s="1"/>
  <c r="O211" i="107" a="1"/>
  <c r="O211" i="107" s="1"/>
  <c r="N211" i="107" a="1"/>
  <c r="N211" i="107" s="1"/>
  <c r="M211" i="107" a="1"/>
  <c r="M211" i="107" s="1"/>
  <c r="L211" i="107" a="1"/>
  <c r="L211" i="107" s="1"/>
  <c r="K211" i="107" a="1"/>
  <c r="K211" i="107" s="1"/>
  <c r="J211" i="107" a="1"/>
  <c r="J211" i="107" s="1"/>
  <c r="I211" i="107" a="1"/>
  <c r="I211" i="107" s="1"/>
  <c r="H211" i="107" a="1"/>
  <c r="H211" i="107" s="1"/>
  <c r="G211" i="107" a="1"/>
  <c r="G211" i="107" s="1"/>
  <c r="F211" i="107" a="1"/>
  <c r="F211" i="107" s="1"/>
  <c r="E211" i="107" a="1"/>
  <c r="E211" i="107" s="1"/>
  <c r="D211" i="107" a="1"/>
  <c r="D211" i="107" s="1"/>
  <c r="AH210" i="107" a="1"/>
  <c r="AH210" i="107" s="1"/>
  <c r="AG210" i="107" a="1"/>
  <c r="AG210" i="107" s="1"/>
  <c r="AF210" i="107" a="1"/>
  <c r="AF210" i="107" s="1"/>
  <c r="AE210" i="107" a="1"/>
  <c r="AE210" i="107" s="1"/>
  <c r="AD210" i="107" a="1"/>
  <c r="AD210" i="107" s="1"/>
  <c r="AC210" i="107" a="1"/>
  <c r="AC210" i="107" s="1"/>
  <c r="AB210" i="107" a="1"/>
  <c r="AB210" i="107" s="1"/>
  <c r="AA210" i="107" a="1"/>
  <c r="AA210" i="107" s="1"/>
  <c r="Z210" i="107" a="1"/>
  <c r="Z210" i="107" s="1"/>
  <c r="Y210" i="107" a="1"/>
  <c r="Y210" i="107" s="1"/>
  <c r="X210" i="107" a="1"/>
  <c r="X210" i="107" s="1"/>
  <c r="W210" i="107" a="1"/>
  <c r="W210" i="107" s="1"/>
  <c r="V210" i="107" a="1"/>
  <c r="V210" i="107" s="1"/>
  <c r="U210" i="107" a="1"/>
  <c r="U210" i="107" s="1"/>
  <c r="T210" i="107" a="1"/>
  <c r="T210" i="107" s="1"/>
  <c r="S210" i="107" a="1"/>
  <c r="S210" i="107" s="1"/>
  <c r="R210" i="107" a="1"/>
  <c r="R210" i="107" s="1"/>
  <c r="Q210" i="107" a="1"/>
  <c r="Q210" i="107" s="1"/>
  <c r="P210" i="107" a="1"/>
  <c r="P210" i="107" s="1"/>
  <c r="O210" i="107" a="1"/>
  <c r="O210" i="107" s="1"/>
  <c r="N210" i="107" a="1"/>
  <c r="N210" i="107" s="1"/>
  <c r="M210" i="107" a="1"/>
  <c r="M210" i="107" s="1"/>
  <c r="L210" i="107" a="1"/>
  <c r="L210" i="107" s="1"/>
  <c r="K210" i="107" a="1"/>
  <c r="K210" i="107" s="1"/>
  <c r="J210" i="107" a="1"/>
  <c r="J210" i="107" s="1"/>
  <c r="I210" i="107" a="1"/>
  <c r="I210" i="107" s="1"/>
  <c r="H210" i="107" a="1"/>
  <c r="H210" i="107" s="1"/>
  <c r="G210" i="107" a="1"/>
  <c r="G210" i="107" s="1"/>
  <c r="F210" i="107" a="1"/>
  <c r="F210" i="107" s="1"/>
  <c r="E210" i="107" a="1"/>
  <c r="E210" i="107" s="1"/>
  <c r="D210" i="107" a="1"/>
  <c r="D210" i="107" s="1"/>
  <c r="AH209" i="107" a="1"/>
  <c r="AH209" i="107" s="1"/>
  <c r="AG209" i="107" a="1"/>
  <c r="AG209" i="107" s="1"/>
  <c r="AF209" i="107" a="1"/>
  <c r="AF209" i="107" s="1"/>
  <c r="AE209" i="107" a="1"/>
  <c r="AE209" i="107" s="1"/>
  <c r="AD209" i="107" a="1"/>
  <c r="AD209" i="107" s="1"/>
  <c r="AC209" i="107" a="1"/>
  <c r="AC209" i="107" s="1"/>
  <c r="AB209" i="107" a="1"/>
  <c r="AB209" i="107" s="1"/>
  <c r="AA209" i="107" a="1"/>
  <c r="AA209" i="107" s="1"/>
  <c r="Z209" i="107" a="1"/>
  <c r="Z209" i="107" s="1"/>
  <c r="Y209" i="107" a="1"/>
  <c r="Y209" i="107" s="1"/>
  <c r="X209" i="107" a="1"/>
  <c r="X209" i="107" s="1"/>
  <c r="W209" i="107" a="1"/>
  <c r="W209" i="107" s="1"/>
  <c r="V209" i="107" a="1"/>
  <c r="V209" i="107" s="1"/>
  <c r="U209" i="107" a="1"/>
  <c r="U209" i="107" s="1"/>
  <c r="T209" i="107" a="1"/>
  <c r="T209" i="107" s="1"/>
  <c r="S209" i="107" a="1"/>
  <c r="S209" i="107" s="1"/>
  <c r="R209" i="107" a="1"/>
  <c r="R209" i="107" s="1"/>
  <c r="Q209" i="107" a="1"/>
  <c r="Q209" i="107" s="1"/>
  <c r="P209" i="107" a="1"/>
  <c r="P209" i="107" s="1"/>
  <c r="O209" i="107" a="1"/>
  <c r="O209" i="107" s="1"/>
  <c r="N209" i="107" a="1"/>
  <c r="N209" i="107" s="1"/>
  <c r="M209" i="107" a="1"/>
  <c r="M209" i="107" s="1"/>
  <c r="L209" i="107" a="1"/>
  <c r="L209" i="107" s="1"/>
  <c r="K209" i="107" a="1"/>
  <c r="K209" i="107" s="1"/>
  <c r="J209" i="107" a="1"/>
  <c r="J209" i="107" s="1"/>
  <c r="I209" i="107" a="1"/>
  <c r="I209" i="107" s="1"/>
  <c r="H209" i="107" a="1"/>
  <c r="H209" i="107" s="1"/>
  <c r="G209" i="107" a="1"/>
  <c r="G209" i="107" s="1"/>
  <c r="F209" i="107" a="1"/>
  <c r="F209" i="107" s="1"/>
  <c r="E209" i="107" a="1"/>
  <c r="E209" i="107" s="1"/>
  <c r="D209" i="107" a="1"/>
  <c r="D209" i="107" s="1"/>
  <c r="AH208" i="107" a="1"/>
  <c r="AH208" i="107" s="1"/>
  <c r="AG208" i="107" a="1"/>
  <c r="AG208" i="107" s="1"/>
  <c r="AF208" i="107" a="1"/>
  <c r="AF208" i="107" s="1"/>
  <c r="AE208" i="107" a="1"/>
  <c r="AE208" i="107" s="1"/>
  <c r="AD208" i="107" a="1"/>
  <c r="AD208" i="107" s="1"/>
  <c r="AC208" i="107" a="1"/>
  <c r="AC208" i="107" s="1"/>
  <c r="AB208" i="107" a="1"/>
  <c r="AB208" i="107" s="1"/>
  <c r="AA208" i="107" a="1"/>
  <c r="AA208" i="107" s="1"/>
  <c r="Z208" i="107" a="1"/>
  <c r="Z208" i="107" s="1"/>
  <c r="Y208" i="107" a="1"/>
  <c r="Y208" i="107" s="1"/>
  <c r="X208" i="107" a="1"/>
  <c r="X208" i="107" s="1"/>
  <c r="W208" i="107" a="1"/>
  <c r="W208" i="107" s="1"/>
  <c r="V208" i="107" a="1"/>
  <c r="V208" i="107" s="1"/>
  <c r="U208" i="107" a="1"/>
  <c r="U208" i="107" s="1"/>
  <c r="T208" i="107" a="1"/>
  <c r="T208" i="107" s="1"/>
  <c r="S208" i="107" a="1"/>
  <c r="S208" i="107" s="1"/>
  <c r="R208" i="107" a="1"/>
  <c r="R208" i="107" s="1"/>
  <c r="Q208" i="107" a="1"/>
  <c r="Q208" i="107" s="1"/>
  <c r="P208" i="107" a="1"/>
  <c r="P208" i="107" s="1"/>
  <c r="O208" i="107" a="1"/>
  <c r="O208" i="107" s="1"/>
  <c r="N208" i="107" a="1"/>
  <c r="N208" i="107" s="1"/>
  <c r="M208" i="107" a="1"/>
  <c r="M208" i="107" s="1"/>
  <c r="L208" i="107" a="1"/>
  <c r="L208" i="107" s="1"/>
  <c r="K208" i="107" a="1"/>
  <c r="K208" i="107" s="1"/>
  <c r="J208" i="107" a="1"/>
  <c r="J208" i="107" s="1"/>
  <c r="I208" i="107" a="1"/>
  <c r="I208" i="107" s="1"/>
  <c r="H208" i="107" a="1"/>
  <c r="H208" i="107" s="1"/>
  <c r="G208" i="107" a="1"/>
  <c r="G208" i="107" s="1"/>
  <c r="F208" i="107" a="1"/>
  <c r="F208" i="107" s="1"/>
  <c r="E208" i="107" a="1"/>
  <c r="E208" i="107" s="1"/>
  <c r="D208" i="107" a="1"/>
  <c r="D208" i="107" s="1"/>
  <c r="AH207" i="107" a="1"/>
  <c r="AH207" i="107" s="1"/>
  <c r="AG207" i="107" a="1"/>
  <c r="AG207" i="107" s="1"/>
  <c r="AF207" i="107" a="1"/>
  <c r="AF207" i="107" s="1"/>
  <c r="AE207" i="107" a="1"/>
  <c r="AE207" i="107" s="1"/>
  <c r="AD207" i="107" a="1"/>
  <c r="AD207" i="107" s="1"/>
  <c r="AC207" i="107" a="1"/>
  <c r="AC207" i="107" s="1"/>
  <c r="AB207" i="107" a="1"/>
  <c r="AB207" i="107" s="1"/>
  <c r="AA207" i="107" a="1"/>
  <c r="AA207" i="107" s="1"/>
  <c r="Z207" i="107" a="1"/>
  <c r="Z207" i="107" s="1"/>
  <c r="Y207" i="107" a="1"/>
  <c r="Y207" i="107" s="1"/>
  <c r="X207" i="107" a="1"/>
  <c r="X207" i="107" s="1"/>
  <c r="W207" i="107" a="1"/>
  <c r="W207" i="107" s="1"/>
  <c r="V207" i="107" a="1"/>
  <c r="V207" i="107" s="1"/>
  <c r="U207" i="107" a="1"/>
  <c r="U207" i="107" s="1"/>
  <c r="T207" i="107" a="1"/>
  <c r="T207" i="107" s="1"/>
  <c r="S207" i="107" a="1"/>
  <c r="S207" i="107" s="1"/>
  <c r="R207" i="107" a="1"/>
  <c r="R207" i="107" s="1"/>
  <c r="Q207" i="107" a="1"/>
  <c r="Q207" i="107" s="1"/>
  <c r="P207" i="107" a="1"/>
  <c r="P207" i="107" s="1"/>
  <c r="O207" i="107" a="1"/>
  <c r="O207" i="107" s="1"/>
  <c r="N207" i="107" a="1"/>
  <c r="N207" i="107" s="1"/>
  <c r="M207" i="107" a="1"/>
  <c r="M207" i="107" s="1"/>
  <c r="L207" i="107" a="1"/>
  <c r="L207" i="107" s="1"/>
  <c r="K207" i="107" a="1"/>
  <c r="K207" i="107" s="1"/>
  <c r="J207" i="107" a="1"/>
  <c r="J207" i="107" s="1"/>
  <c r="I207" i="107" a="1"/>
  <c r="I207" i="107" s="1"/>
  <c r="H207" i="107" a="1"/>
  <c r="H207" i="107" s="1"/>
  <c r="G207" i="107" a="1"/>
  <c r="G207" i="107" s="1"/>
  <c r="F207" i="107" a="1"/>
  <c r="F207" i="107" s="1"/>
  <c r="E207" i="107" a="1"/>
  <c r="E207" i="107" s="1"/>
  <c r="D207" i="107" a="1"/>
  <c r="D207" i="107" s="1"/>
  <c r="AH206" i="107" a="1"/>
  <c r="AH206" i="107" s="1"/>
  <c r="AG206" i="107" a="1"/>
  <c r="AG206" i="107" s="1"/>
  <c r="AF206" i="107" a="1"/>
  <c r="AF206" i="107" s="1"/>
  <c r="AE206" i="107" a="1"/>
  <c r="AE206" i="107" s="1"/>
  <c r="AD206" i="107" a="1"/>
  <c r="AD206" i="107" s="1"/>
  <c r="AC206" i="107" a="1"/>
  <c r="AC206" i="107" s="1"/>
  <c r="AB206" i="107" a="1"/>
  <c r="AB206" i="107" s="1"/>
  <c r="AA206" i="107" a="1"/>
  <c r="AA206" i="107" s="1"/>
  <c r="Z206" i="107" a="1"/>
  <c r="Z206" i="107" s="1"/>
  <c r="Y206" i="107" a="1"/>
  <c r="Y206" i="107" s="1"/>
  <c r="X206" i="107" a="1"/>
  <c r="X206" i="107" s="1"/>
  <c r="W206" i="107" a="1"/>
  <c r="W206" i="107" s="1"/>
  <c r="V206" i="107" a="1"/>
  <c r="V206" i="107" s="1"/>
  <c r="U206" i="107" a="1"/>
  <c r="U206" i="107" s="1"/>
  <c r="T206" i="107" a="1"/>
  <c r="T206" i="107" s="1"/>
  <c r="S206" i="107" a="1"/>
  <c r="S206" i="107" s="1"/>
  <c r="R206" i="107" a="1"/>
  <c r="R206" i="107" s="1"/>
  <c r="Q206" i="107" a="1"/>
  <c r="Q206" i="107" s="1"/>
  <c r="P206" i="107" a="1"/>
  <c r="P206" i="107" s="1"/>
  <c r="O206" i="107" a="1"/>
  <c r="O206" i="107" s="1"/>
  <c r="N206" i="107" a="1"/>
  <c r="N206" i="107" s="1"/>
  <c r="M206" i="107" a="1"/>
  <c r="M206" i="107" s="1"/>
  <c r="L206" i="107" a="1"/>
  <c r="L206" i="107" s="1"/>
  <c r="K206" i="107" a="1"/>
  <c r="K206" i="107" s="1"/>
  <c r="J206" i="107" a="1"/>
  <c r="J206" i="107" s="1"/>
  <c r="I206" i="107" a="1"/>
  <c r="I206" i="107" s="1"/>
  <c r="H206" i="107" a="1"/>
  <c r="H206" i="107" s="1"/>
  <c r="G206" i="107" a="1"/>
  <c r="G206" i="107" s="1"/>
  <c r="F206" i="107" a="1"/>
  <c r="F206" i="107" s="1"/>
  <c r="E206" i="107" a="1"/>
  <c r="E206" i="107" s="1"/>
  <c r="D206" i="107" a="1"/>
  <c r="D206" i="107" s="1"/>
  <c r="AH205" i="107" a="1"/>
  <c r="AH205" i="107" s="1"/>
  <c r="AG205" i="107" a="1"/>
  <c r="AG205" i="107" s="1"/>
  <c r="AF205" i="107" a="1"/>
  <c r="AF205" i="107" s="1"/>
  <c r="AE205" i="107" a="1"/>
  <c r="AE205" i="107" s="1"/>
  <c r="AD205" i="107" a="1"/>
  <c r="AD205" i="107" s="1"/>
  <c r="AC205" i="107" a="1"/>
  <c r="AC205" i="107" s="1"/>
  <c r="AB205" i="107" a="1"/>
  <c r="AB205" i="107" s="1"/>
  <c r="AA205" i="107" a="1"/>
  <c r="AA205" i="107" s="1"/>
  <c r="Z205" i="107" a="1"/>
  <c r="Z205" i="107" s="1"/>
  <c r="Y205" i="107" a="1"/>
  <c r="Y205" i="107" s="1"/>
  <c r="X205" i="107" a="1"/>
  <c r="X205" i="107" s="1"/>
  <c r="W205" i="107" a="1"/>
  <c r="W205" i="107" s="1"/>
  <c r="V205" i="107" a="1"/>
  <c r="V205" i="107" s="1"/>
  <c r="U205" i="107" a="1"/>
  <c r="U205" i="107" s="1"/>
  <c r="T205" i="107" a="1"/>
  <c r="T205" i="107" s="1"/>
  <c r="S205" i="107" a="1"/>
  <c r="S205" i="107" s="1"/>
  <c r="R205" i="107" a="1"/>
  <c r="R205" i="107" s="1"/>
  <c r="Q205" i="107" a="1"/>
  <c r="Q205" i="107" s="1"/>
  <c r="P205" i="107" a="1"/>
  <c r="P205" i="107" s="1"/>
  <c r="O205" i="107" a="1"/>
  <c r="O205" i="107" s="1"/>
  <c r="N205" i="107" a="1"/>
  <c r="N205" i="107" s="1"/>
  <c r="M205" i="107" a="1"/>
  <c r="M205" i="107" s="1"/>
  <c r="L205" i="107" a="1"/>
  <c r="L205" i="107" s="1"/>
  <c r="K205" i="107" a="1"/>
  <c r="K205" i="107" s="1"/>
  <c r="J205" i="107" a="1"/>
  <c r="J205" i="107" s="1"/>
  <c r="I205" i="107" a="1"/>
  <c r="I205" i="107" s="1"/>
  <c r="H205" i="107" a="1"/>
  <c r="H205" i="107" s="1"/>
  <c r="G205" i="107" a="1"/>
  <c r="G205" i="107" s="1"/>
  <c r="F205" i="107" a="1"/>
  <c r="F205" i="107" s="1"/>
  <c r="E205" i="107" a="1"/>
  <c r="E205" i="107" s="1"/>
  <c r="D205" i="107" a="1"/>
  <c r="D205" i="107" s="1"/>
  <c r="AH204" i="107" a="1"/>
  <c r="AH204" i="107" s="1"/>
  <c r="AG204" i="107" a="1"/>
  <c r="AG204" i="107" s="1"/>
  <c r="AF204" i="107" a="1"/>
  <c r="AF204" i="107" s="1"/>
  <c r="AE204" i="107" a="1"/>
  <c r="AE204" i="107" s="1"/>
  <c r="AD204" i="107" a="1"/>
  <c r="AD204" i="107" s="1"/>
  <c r="AC204" i="107" a="1"/>
  <c r="AC204" i="107" s="1"/>
  <c r="AB204" i="107" a="1"/>
  <c r="AB204" i="107" s="1"/>
  <c r="AA204" i="107" a="1"/>
  <c r="AA204" i="107" s="1"/>
  <c r="Z204" i="107" a="1"/>
  <c r="Z204" i="107" s="1"/>
  <c r="Y204" i="107" a="1"/>
  <c r="Y204" i="107" s="1"/>
  <c r="X204" i="107" a="1"/>
  <c r="X204" i="107" s="1"/>
  <c r="W204" i="107" a="1"/>
  <c r="W204" i="107" s="1"/>
  <c r="V204" i="107" a="1"/>
  <c r="V204" i="107" s="1"/>
  <c r="U204" i="107" a="1"/>
  <c r="U204" i="107" s="1"/>
  <c r="T204" i="107" a="1"/>
  <c r="T204" i="107" s="1"/>
  <c r="S204" i="107" a="1"/>
  <c r="S204" i="107" s="1"/>
  <c r="R204" i="107" a="1"/>
  <c r="R204" i="107" s="1"/>
  <c r="Q204" i="107" a="1"/>
  <c r="Q204" i="107" s="1"/>
  <c r="P204" i="107" a="1"/>
  <c r="P204" i="107" s="1"/>
  <c r="O204" i="107" a="1"/>
  <c r="O204" i="107" s="1"/>
  <c r="N204" i="107" a="1"/>
  <c r="N204" i="107" s="1"/>
  <c r="M204" i="107" a="1"/>
  <c r="M204" i="107" s="1"/>
  <c r="L204" i="107" a="1"/>
  <c r="L204" i="107" s="1"/>
  <c r="K204" i="107" a="1"/>
  <c r="K204" i="107" s="1"/>
  <c r="J204" i="107" a="1"/>
  <c r="J204" i="107" s="1"/>
  <c r="I204" i="107" a="1"/>
  <c r="I204" i="107" s="1"/>
  <c r="H204" i="107" a="1"/>
  <c r="H204" i="107" s="1"/>
  <c r="G204" i="107" a="1"/>
  <c r="G204" i="107" s="1"/>
  <c r="F204" i="107" a="1"/>
  <c r="F204" i="107" s="1"/>
  <c r="E204" i="107" a="1"/>
  <c r="E204" i="107" s="1"/>
  <c r="D204" i="107" a="1"/>
  <c r="D204" i="107" s="1"/>
  <c r="AH203" i="107" a="1"/>
  <c r="AH203" i="107" s="1"/>
  <c r="AG203" i="107" a="1"/>
  <c r="AG203" i="107" s="1"/>
  <c r="AF203" i="107" a="1"/>
  <c r="AF203" i="107" s="1"/>
  <c r="AE203" i="107" a="1"/>
  <c r="AE203" i="107" s="1"/>
  <c r="AD203" i="107" a="1"/>
  <c r="AD203" i="107" s="1"/>
  <c r="AC203" i="107" a="1"/>
  <c r="AC203" i="107" s="1"/>
  <c r="AB203" i="107" a="1"/>
  <c r="AB203" i="107" s="1"/>
  <c r="AA203" i="107" a="1"/>
  <c r="AA203" i="107" s="1"/>
  <c r="Z203" i="107" a="1"/>
  <c r="Z203" i="107" s="1"/>
  <c r="Y203" i="107" a="1"/>
  <c r="Y203" i="107" s="1"/>
  <c r="X203" i="107" a="1"/>
  <c r="X203" i="107" s="1"/>
  <c r="W203" i="107" a="1"/>
  <c r="W203" i="107" s="1"/>
  <c r="V203" i="107" a="1"/>
  <c r="V203" i="107" s="1"/>
  <c r="U203" i="107" a="1"/>
  <c r="U203" i="107" s="1"/>
  <c r="T203" i="107" a="1"/>
  <c r="T203" i="107" s="1"/>
  <c r="S203" i="107" a="1"/>
  <c r="S203" i="107" s="1"/>
  <c r="R203" i="107" a="1"/>
  <c r="R203" i="107" s="1"/>
  <c r="Q203" i="107" a="1"/>
  <c r="Q203" i="107" s="1"/>
  <c r="P203" i="107" a="1"/>
  <c r="P203" i="107" s="1"/>
  <c r="O203" i="107" a="1"/>
  <c r="O203" i="107" s="1"/>
  <c r="N203" i="107" a="1"/>
  <c r="N203" i="107" s="1"/>
  <c r="M203" i="107" a="1"/>
  <c r="M203" i="107" s="1"/>
  <c r="L203" i="107" a="1"/>
  <c r="L203" i="107" s="1"/>
  <c r="K203" i="107" a="1"/>
  <c r="K203" i="107" s="1"/>
  <c r="J203" i="107" a="1"/>
  <c r="J203" i="107" s="1"/>
  <c r="I203" i="107" a="1"/>
  <c r="I203" i="107" s="1"/>
  <c r="H203" i="107" a="1"/>
  <c r="H203" i="107" s="1"/>
  <c r="G203" i="107" a="1"/>
  <c r="G203" i="107" s="1"/>
  <c r="F203" i="107" a="1"/>
  <c r="F203" i="107" s="1"/>
  <c r="E203" i="107" a="1"/>
  <c r="E203" i="107" s="1"/>
  <c r="D203" i="107" a="1"/>
  <c r="D203" i="107" s="1"/>
  <c r="AH202" i="107" a="1"/>
  <c r="AH202" i="107" s="1"/>
  <c r="AG202" i="107" a="1"/>
  <c r="AG202" i="107" s="1"/>
  <c r="AF202" i="107" a="1"/>
  <c r="AF202" i="107" s="1"/>
  <c r="AE202" i="107" a="1"/>
  <c r="AE202" i="107" s="1"/>
  <c r="AD202" i="107" a="1"/>
  <c r="AD202" i="107" s="1"/>
  <c r="AC202" i="107" a="1"/>
  <c r="AC202" i="107" s="1"/>
  <c r="AB202" i="107" a="1"/>
  <c r="AB202" i="107" s="1"/>
  <c r="AA202" i="107" a="1"/>
  <c r="AA202" i="107" s="1"/>
  <c r="Z202" i="107" a="1"/>
  <c r="Z202" i="107" s="1"/>
  <c r="Y202" i="107" a="1"/>
  <c r="Y202" i="107" s="1"/>
  <c r="X202" i="107" a="1"/>
  <c r="X202" i="107" s="1"/>
  <c r="W202" i="107" a="1"/>
  <c r="W202" i="107" s="1"/>
  <c r="V202" i="107" a="1"/>
  <c r="V202" i="107" s="1"/>
  <c r="U202" i="107" a="1"/>
  <c r="U202" i="107" s="1"/>
  <c r="T202" i="107" a="1"/>
  <c r="T202" i="107" s="1"/>
  <c r="S202" i="107" a="1"/>
  <c r="S202" i="107" s="1"/>
  <c r="R202" i="107" a="1"/>
  <c r="R202" i="107" s="1"/>
  <c r="Q202" i="107" a="1"/>
  <c r="Q202" i="107" s="1"/>
  <c r="P202" i="107" a="1"/>
  <c r="P202" i="107" s="1"/>
  <c r="O202" i="107" a="1"/>
  <c r="O202" i="107" s="1"/>
  <c r="N202" i="107" a="1"/>
  <c r="N202" i="107" s="1"/>
  <c r="M202" i="107" a="1"/>
  <c r="M202" i="107" s="1"/>
  <c r="L202" i="107" a="1"/>
  <c r="L202" i="107" s="1"/>
  <c r="K202" i="107" a="1"/>
  <c r="K202" i="107" s="1"/>
  <c r="J202" i="107" a="1"/>
  <c r="J202" i="107" s="1"/>
  <c r="I202" i="107" a="1"/>
  <c r="I202" i="107" s="1"/>
  <c r="H202" i="107" a="1"/>
  <c r="H202" i="107" s="1"/>
  <c r="G202" i="107" a="1"/>
  <c r="G202" i="107" s="1"/>
  <c r="F202" i="107" a="1"/>
  <c r="F202" i="107" s="1"/>
  <c r="E202" i="107" a="1"/>
  <c r="E202" i="107" s="1"/>
  <c r="D202" i="107" a="1"/>
  <c r="D202" i="107" s="1"/>
  <c r="AH201" i="107" a="1"/>
  <c r="AH201" i="107" s="1"/>
  <c r="AG201" i="107" a="1"/>
  <c r="AG201" i="107" s="1"/>
  <c r="AF201" i="107" a="1"/>
  <c r="AF201" i="107" s="1"/>
  <c r="AE201" i="107" a="1"/>
  <c r="AE201" i="107" s="1"/>
  <c r="AD201" i="107" a="1"/>
  <c r="AD201" i="107" s="1"/>
  <c r="AC201" i="107" a="1"/>
  <c r="AC201" i="107" s="1"/>
  <c r="AB201" i="107" a="1"/>
  <c r="AB201" i="107" s="1"/>
  <c r="AA201" i="107" a="1"/>
  <c r="AA201" i="107" s="1"/>
  <c r="Z201" i="107" a="1"/>
  <c r="Z201" i="107" s="1"/>
  <c r="Y201" i="107" a="1"/>
  <c r="Y201" i="107" s="1"/>
  <c r="X201" i="107" a="1"/>
  <c r="X201" i="107" s="1"/>
  <c r="W201" i="107" a="1"/>
  <c r="W201" i="107" s="1"/>
  <c r="V201" i="107" a="1"/>
  <c r="V201" i="107" s="1"/>
  <c r="U201" i="107" a="1"/>
  <c r="U201" i="107" s="1"/>
  <c r="T201" i="107" a="1"/>
  <c r="T201" i="107" s="1"/>
  <c r="S201" i="107" a="1"/>
  <c r="S201" i="107" s="1"/>
  <c r="R201" i="107" a="1"/>
  <c r="R201" i="107" s="1"/>
  <c r="Q201" i="107" a="1"/>
  <c r="Q201" i="107" s="1"/>
  <c r="P201" i="107" a="1"/>
  <c r="P201" i="107" s="1"/>
  <c r="O201" i="107" a="1"/>
  <c r="O201" i="107" s="1"/>
  <c r="N201" i="107" a="1"/>
  <c r="N201" i="107" s="1"/>
  <c r="M201" i="107" a="1"/>
  <c r="M201" i="107" s="1"/>
  <c r="L201" i="107" a="1"/>
  <c r="L201" i="107" s="1"/>
  <c r="K201" i="107" a="1"/>
  <c r="K201" i="107" s="1"/>
  <c r="J201" i="107" a="1"/>
  <c r="J201" i="107" s="1"/>
  <c r="I201" i="107" a="1"/>
  <c r="I201" i="107" s="1"/>
  <c r="H201" i="107" a="1"/>
  <c r="H201" i="107" s="1"/>
  <c r="G201" i="107" a="1"/>
  <c r="G201" i="107" s="1"/>
  <c r="F201" i="107" a="1"/>
  <c r="F201" i="107" s="1"/>
  <c r="E201" i="107" a="1"/>
  <c r="E201" i="107" s="1"/>
  <c r="D201" i="107" a="1"/>
  <c r="D201" i="107" s="1"/>
  <c r="AH200" i="107" a="1"/>
  <c r="AH200" i="107" s="1"/>
  <c r="AG200" i="107" a="1"/>
  <c r="AG200" i="107" s="1"/>
  <c r="AF200" i="107" a="1"/>
  <c r="AF200" i="107" s="1"/>
  <c r="AE200" i="107" a="1"/>
  <c r="AE200" i="107" s="1"/>
  <c r="AD200" i="107" a="1"/>
  <c r="AD200" i="107" s="1"/>
  <c r="AC200" i="107" a="1"/>
  <c r="AC200" i="107" s="1"/>
  <c r="AB200" i="107" a="1"/>
  <c r="AB200" i="107" s="1"/>
  <c r="AA200" i="107" a="1"/>
  <c r="AA200" i="107" s="1"/>
  <c r="Z200" i="107" a="1"/>
  <c r="Z200" i="107" s="1"/>
  <c r="Y200" i="107" a="1"/>
  <c r="Y200" i="107" s="1"/>
  <c r="X200" i="107" a="1"/>
  <c r="X200" i="107" s="1"/>
  <c r="W200" i="107" a="1"/>
  <c r="W200" i="107" s="1"/>
  <c r="V200" i="107" a="1"/>
  <c r="V200" i="107" s="1"/>
  <c r="U200" i="107" a="1"/>
  <c r="U200" i="107" s="1"/>
  <c r="T200" i="107" a="1"/>
  <c r="T200" i="107" s="1"/>
  <c r="S200" i="107" a="1"/>
  <c r="S200" i="107" s="1"/>
  <c r="R200" i="107" a="1"/>
  <c r="R200" i="107" s="1"/>
  <c r="Q200" i="107" a="1"/>
  <c r="Q200" i="107" s="1"/>
  <c r="P200" i="107" a="1"/>
  <c r="P200" i="107" s="1"/>
  <c r="O200" i="107" a="1"/>
  <c r="O200" i="107" s="1"/>
  <c r="N200" i="107" a="1"/>
  <c r="N200" i="107" s="1"/>
  <c r="M200" i="107" a="1"/>
  <c r="M200" i="107" s="1"/>
  <c r="L200" i="107" a="1"/>
  <c r="L200" i="107" s="1"/>
  <c r="K200" i="107" a="1"/>
  <c r="K200" i="107" s="1"/>
  <c r="J200" i="107" a="1"/>
  <c r="J200" i="107" s="1"/>
  <c r="I200" i="107" a="1"/>
  <c r="I200" i="107" s="1"/>
  <c r="H200" i="107" a="1"/>
  <c r="H200" i="107" s="1"/>
  <c r="G200" i="107" a="1"/>
  <c r="G200" i="107" s="1"/>
  <c r="F200" i="107" a="1"/>
  <c r="F200" i="107" s="1"/>
  <c r="E200" i="107" a="1"/>
  <c r="E200" i="107" s="1"/>
  <c r="D200" i="107" a="1"/>
  <c r="D200" i="107" s="1"/>
  <c r="AH199" i="107" a="1"/>
  <c r="AH199" i="107" s="1"/>
  <c r="AG199" i="107" a="1"/>
  <c r="AG199" i="107" s="1"/>
  <c r="AF199" i="107" a="1"/>
  <c r="AF199" i="107" s="1"/>
  <c r="AE199" i="107" a="1"/>
  <c r="AE199" i="107" s="1"/>
  <c r="AD199" i="107" a="1"/>
  <c r="AD199" i="107" s="1"/>
  <c r="AC199" i="107" a="1"/>
  <c r="AC199" i="107" s="1"/>
  <c r="AB199" i="107" a="1"/>
  <c r="AB199" i="107" s="1"/>
  <c r="AA199" i="107" a="1"/>
  <c r="AA199" i="107" s="1"/>
  <c r="Z199" i="107" a="1"/>
  <c r="Z199" i="107" s="1"/>
  <c r="Y199" i="107" a="1"/>
  <c r="Y199" i="107" s="1"/>
  <c r="X199" i="107" a="1"/>
  <c r="X199" i="107" s="1"/>
  <c r="W199" i="107" a="1"/>
  <c r="W199" i="107" s="1"/>
  <c r="V199" i="107" a="1"/>
  <c r="V199" i="107" s="1"/>
  <c r="U199" i="107" a="1"/>
  <c r="U199" i="107" s="1"/>
  <c r="T199" i="107" a="1"/>
  <c r="T199" i="107" s="1"/>
  <c r="S199" i="107" a="1"/>
  <c r="S199" i="107" s="1"/>
  <c r="R199" i="107" a="1"/>
  <c r="R199" i="107" s="1"/>
  <c r="Q199" i="107" a="1"/>
  <c r="Q199" i="107" s="1"/>
  <c r="P199" i="107" a="1"/>
  <c r="P199" i="107" s="1"/>
  <c r="O199" i="107" a="1"/>
  <c r="O199" i="107" s="1"/>
  <c r="N199" i="107" a="1"/>
  <c r="N199" i="107" s="1"/>
  <c r="M199" i="107" a="1"/>
  <c r="M199" i="107" s="1"/>
  <c r="L199" i="107" a="1"/>
  <c r="L199" i="107" s="1"/>
  <c r="K199" i="107" a="1"/>
  <c r="K199" i="107" s="1"/>
  <c r="J199" i="107" a="1"/>
  <c r="J199" i="107" s="1"/>
  <c r="I199" i="107" a="1"/>
  <c r="I199" i="107" s="1"/>
  <c r="H199" i="107" a="1"/>
  <c r="H199" i="107" s="1"/>
  <c r="G199" i="107" a="1"/>
  <c r="G199" i="107" s="1"/>
  <c r="F199" i="107" a="1"/>
  <c r="F199" i="107" s="1"/>
  <c r="E199" i="107" a="1"/>
  <c r="E199" i="107" s="1"/>
  <c r="D199" i="107" a="1"/>
  <c r="D199" i="107" s="1"/>
  <c r="AH198" i="107" a="1"/>
  <c r="AH198" i="107" s="1"/>
  <c r="AG198" i="107" a="1"/>
  <c r="AG198" i="107" s="1"/>
  <c r="AF198" i="107" a="1"/>
  <c r="AF198" i="107" s="1"/>
  <c r="AE198" i="107" a="1"/>
  <c r="AE198" i="107" s="1"/>
  <c r="AD198" i="107" a="1"/>
  <c r="AD198" i="107" s="1"/>
  <c r="AC198" i="107" a="1"/>
  <c r="AC198" i="107" s="1"/>
  <c r="AB198" i="107" a="1"/>
  <c r="AB198" i="107" s="1"/>
  <c r="AA198" i="107" a="1"/>
  <c r="AA198" i="107" s="1"/>
  <c r="Z198" i="107" a="1"/>
  <c r="Z198" i="107" s="1"/>
  <c r="Y198" i="107" a="1"/>
  <c r="Y198" i="107" s="1"/>
  <c r="X198" i="107" a="1"/>
  <c r="X198" i="107" s="1"/>
  <c r="W198" i="107" a="1"/>
  <c r="W198" i="107" s="1"/>
  <c r="V198" i="107" a="1"/>
  <c r="V198" i="107" s="1"/>
  <c r="U198" i="107" a="1"/>
  <c r="U198" i="107" s="1"/>
  <c r="T198" i="107" a="1"/>
  <c r="T198" i="107" s="1"/>
  <c r="S198" i="107" a="1"/>
  <c r="S198" i="107" s="1"/>
  <c r="R198" i="107" a="1"/>
  <c r="R198" i="107" s="1"/>
  <c r="Q198" i="107" a="1"/>
  <c r="Q198" i="107" s="1"/>
  <c r="P198" i="107" a="1"/>
  <c r="P198" i="107" s="1"/>
  <c r="O198" i="107" a="1"/>
  <c r="O198" i="107" s="1"/>
  <c r="N198" i="107" a="1"/>
  <c r="N198" i="107" s="1"/>
  <c r="M198" i="107" a="1"/>
  <c r="M198" i="107" s="1"/>
  <c r="L198" i="107" a="1"/>
  <c r="L198" i="107" s="1"/>
  <c r="K198" i="107" a="1"/>
  <c r="K198" i="107" s="1"/>
  <c r="J198" i="107" a="1"/>
  <c r="J198" i="107" s="1"/>
  <c r="I198" i="107" a="1"/>
  <c r="I198" i="107" s="1"/>
  <c r="H198" i="107" a="1"/>
  <c r="H198" i="107" s="1"/>
  <c r="G198" i="107" a="1"/>
  <c r="G198" i="107" s="1"/>
  <c r="F198" i="107" a="1"/>
  <c r="F198" i="107" s="1"/>
  <c r="E198" i="107" a="1"/>
  <c r="E198" i="107" s="1"/>
  <c r="D198" i="107" a="1"/>
  <c r="D198" i="107" s="1"/>
  <c r="AH197" i="107" a="1"/>
  <c r="AH197" i="107" s="1"/>
  <c r="AG197" i="107" a="1"/>
  <c r="AG197" i="107" s="1"/>
  <c r="AF197" i="107" a="1"/>
  <c r="AF197" i="107" s="1"/>
  <c r="AE197" i="107" a="1"/>
  <c r="AE197" i="107" s="1"/>
  <c r="AD197" i="107" a="1"/>
  <c r="AD197" i="107" s="1"/>
  <c r="AC197" i="107" a="1"/>
  <c r="AC197" i="107" s="1"/>
  <c r="AB197" i="107" a="1"/>
  <c r="AB197" i="107" s="1"/>
  <c r="AA197" i="107" a="1"/>
  <c r="AA197" i="107" s="1"/>
  <c r="Z197" i="107" a="1"/>
  <c r="Z197" i="107" s="1"/>
  <c r="Y197" i="107" a="1"/>
  <c r="Y197" i="107" s="1"/>
  <c r="X197" i="107" a="1"/>
  <c r="X197" i="107" s="1"/>
  <c r="W197" i="107" a="1"/>
  <c r="W197" i="107" s="1"/>
  <c r="V197" i="107" a="1"/>
  <c r="V197" i="107" s="1"/>
  <c r="U197" i="107" a="1"/>
  <c r="U197" i="107" s="1"/>
  <c r="T197" i="107" a="1"/>
  <c r="T197" i="107" s="1"/>
  <c r="S197" i="107" a="1"/>
  <c r="S197" i="107" s="1"/>
  <c r="R197" i="107" a="1"/>
  <c r="R197" i="107" s="1"/>
  <c r="Q197" i="107" a="1"/>
  <c r="Q197" i="107" s="1"/>
  <c r="P197" i="107" a="1"/>
  <c r="P197" i="107" s="1"/>
  <c r="O197" i="107" a="1"/>
  <c r="O197" i="107" s="1"/>
  <c r="N197" i="107" a="1"/>
  <c r="N197" i="107" s="1"/>
  <c r="M197" i="107" a="1"/>
  <c r="M197" i="107" s="1"/>
  <c r="L197" i="107" a="1"/>
  <c r="L197" i="107" s="1"/>
  <c r="K197" i="107" a="1"/>
  <c r="K197" i="107" s="1"/>
  <c r="J197" i="107" a="1"/>
  <c r="J197" i="107" s="1"/>
  <c r="I197" i="107" a="1"/>
  <c r="I197" i="107" s="1"/>
  <c r="H197" i="107" a="1"/>
  <c r="H197" i="107" s="1"/>
  <c r="G197" i="107" a="1"/>
  <c r="G197" i="107" s="1"/>
  <c r="F197" i="107" a="1"/>
  <c r="F197" i="107" s="1"/>
  <c r="E197" i="107" a="1"/>
  <c r="E197" i="107" s="1"/>
  <c r="D197" i="107" a="1"/>
  <c r="D197" i="107" s="1"/>
  <c r="AH196" i="107" a="1"/>
  <c r="AH196" i="107" s="1"/>
  <c r="AG196" i="107" a="1"/>
  <c r="AG196" i="107" s="1"/>
  <c r="AF196" i="107" a="1"/>
  <c r="AF196" i="107" s="1"/>
  <c r="AE196" i="107" a="1"/>
  <c r="AE196" i="107" s="1"/>
  <c r="AD196" i="107" a="1"/>
  <c r="AD196" i="107" s="1"/>
  <c r="AC196" i="107" a="1"/>
  <c r="AC196" i="107" s="1"/>
  <c r="AB196" i="107" a="1"/>
  <c r="AB196" i="107" s="1"/>
  <c r="AA196" i="107" a="1"/>
  <c r="AA196" i="107" s="1"/>
  <c r="Z196" i="107" a="1"/>
  <c r="Z196" i="107" s="1"/>
  <c r="Y196" i="107" a="1"/>
  <c r="Y196" i="107" s="1"/>
  <c r="X196" i="107" a="1"/>
  <c r="X196" i="107" s="1"/>
  <c r="W196" i="107" a="1"/>
  <c r="W196" i="107" s="1"/>
  <c r="V196" i="107" a="1"/>
  <c r="V196" i="107" s="1"/>
  <c r="U196" i="107" a="1"/>
  <c r="U196" i="107" s="1"/>
  <c r="T196" i="107" a="1"/>
  <c r="T196" i="107" s="1"/>
  <c r="S196" i="107" a="1"/>
  <c r="S196" i="107" s="1"/>
  <c r="R196" i="107" a="1"/>
  <c r="R196" i="107" s="1"/>
  <c r="Q196" i="107" a="1"/>
  <c r="Q196" i="107" s="1"/>
  <c r="P196" i="107" a="1"/>
  <c r="P196" i="107" s="1"/>
  <c r="O196" i="107" a="1"/>
  <c r="O196" i="107" s="1"/>
  <c r="N196" i="107" a="1"/>
  <c r="N196" i="107" s="1"/>
  <c r="M196" i="107" a="1"/>
  <c r="M196" i="107" s="1"/>
  <c r="L196" i="107" a="1"/>
  <c r="L196" i="107" s="1"/>
  <c r="K196" i="107" a="1"/>
  <c r="K196" i="107" s="1"/>
  <c r="J196" i="107" a="1"/>
  <c r="J196" i="107" s="1"/>
  <c r="I196" i="107" a="1"/>
  <c r="I196" i="107" s="1"/>
  <c r="H196" i="107" a="1"/>
  <c r="H196" i="107" s="1"/>
  <c r="G196" i="107" a="1"/>
  <c r="G196" i="107" s="1"/>
  <c r="F196" i="107" a="1"/>
  <c r="F196" i="107" s="1"/>
  <c r="E196" i="107" a="1"/>
  <c r="E196" i="107" s="1"/>
  <c r="D196" i="107" a="1"/>
  <c r="D196" i="107" s="1"/>
  <c r="AH195" i="107" a="1"/>
  <c r="AH195" i="107" s="1"/>
  <c r="AG195" i="107" a="1"/>
  <c r="AG195" i="107" s="1"/>
  <c r="AF195" i="107" a="1"/>
  <c r="AF195" i="107" s="1"/>
  <c r="AE195" i="107" a="1"/>
  <c r="AE195" i="107" s="1"/>
  <c r="AD195" i="107" a="1"/>
  <c r="AD195" i="107" s="1"/>
  <c r="AC195" i="107" a="1"/>
  <c r="AC195" i="107" s="1"/>
  <c r="AB195" i="107" a="1"/>
  <c r="AB195" i="107" s="1"/>
  <c r="AA195" i="107" a="1"/>
  <c r="AA195" i="107" s="1"/>
  <c r="Z195" i="107" a="1"/>
  <c r="Z195" i="107" s="1"/>
  <c r="Y195" i="107" a="1"/>
  <c r="Y195" i="107" s="1"/>
  <c r="X195" i="107" a="1"/>
  <c r="X195" i="107" s="1"/>
  <c r="W195" i="107" a="1"/>
  <c r="W195" i="107" s="1"/>
  <c r="V195" i="107" a="1"/>
  <c r="V195" i="107" s="1"/>
  <c r="U195" i="107" a="1"/>
  <c r="U195" i="107" s="1"/>
  <c r="T195" i="107" a="1"/>
  <c r="T195" i="107" s="1"/>
  <c r="S195" i="107" a="1"/>
  <c r="S195" i="107" s="1"/>
  <c r="R195" i="107" a="1"/>
  <c r="R195" i="107" s="1"/>
  <c r="Q195" i="107" a="1"/>
  <c r="Q195" i="107" s="1"/>
  <c r="P195" i="107" a="1"/>
  <c r="P195" i="107" s="1"/>
  <c r="O195" i="107" a="1"/>
  <c r="O195" i="107" s="1"/>
  <c r="N195" i="107" a="1"/>
  <c r="N195" i="107" s="1"/>
  <c r="M195" i="107" a="1"/>
  <c r="M195" i="107" s="1"/>
  <c r="L195" i="107" a="1"/>
  <c r="L195" i="107" s="1"/>
  <c r="K195" i="107" a="1"/>
  <c r="K195" i="107" s="1"/>
  <c r="J195" i="107" a="1"/>
  <c r="J195" i="107" s="1"/>
  <c r="I195" i="107" a="1"/>
  <c r="I195" i="107" s="1"/>
  <c r="H195" i="107" a="1"/>
  <c r="H195" i="107" s="1"/>
  <c r="G195" i="107" a="1"/>
  <c r="G195" i="107" s="1"/>
  <c r="F195" i="107" a="1"/>
  <c r="F195" i="107" s="1"/>
  <c r="E195" i="107" a="1"/>
  <c r="E195" i="107" s="1"/>
  <c r="D195" i="107" a="1"/>
  <c r="D195" i="107" s="1"/>
  <c r="AH194" i="107" a="1"/>
  <c r="AH194" i="107" s="1"/>
  <c r="AG194" i="107" a="1"/>
  <c r="AG194" i="107" s="1"/>
  <c r="AF194" i="107" a="1"/>
  <c r="AF194" i="107" s="1"/>
  <c r="AE194" i="107" a="1"/>
  <c r="AE194" i="107" s="1"/>
  <c r="AD194" i="107" a="1"/>
  <c r="AD194" i="107" s="1"/>
  <c r="AC194" i="107" a="1"/>
  <c r="AC194" i="107" s="1"/>
  <c r="AB194" i="107" a="1"/>
  <c r="AB194" i="107" s="1"/>
  <c r="AA194" i="107" a="1"/>
  <c r="AA194" i="107" s="1"/>
  <c r="Z194" i="107" a="1"/>
  <c r="Z194" i="107" s="1"/>
  <c r="Y194" i="107" a="1"/>
  <c r="Y194" i="107" s="1"/>
  <c r="X194" i="107" a="1"/>
  <c r="X194" i="107" s="1"/>
  <c r="W194" i="107" a="1"/>
  <c r="W194" i="107" s="1"/>
  <c r="V194" i="107" a="1"/>
  <c r="V194" i="107" s="1"/>
  <c r="U194" i="107" a="1"/>
  <c r="U194" i="107" s="1"/>
  <c r="T194" i="107" a="1"/>
  <c r="T194" i="107" s="1"/>
  <c r="S194" i="107" a="1"/>
  <c r="S194" i="107" s="1"/>
  <c r="R194" i="107" a="1"/>
  <c r="R194" i="107" s="1"/>
  <c r="Q194" i="107" a="1"/>
  <c r="Q194" i="107" s="1"/>
  <c r="P194" i="107" a="1"/>
  <c r="P194" i="107" s="1"/>
  <c r="O194" i="107" a="1"/>
  <c r="O194" i="107" s="1"/>
  <c r="N194" i="107" a="1"/>
  <c r="N194" i="107" s="1"/>
  <c r="M194" i="107" a="1"/>
  <c r="M194" i="107" s="1"/>
  <c r="L194" i="107" a="1"/>
  <c r="L194" i="107" s="1"/>
  <c r="K194" i="107" a="1"/>
  <c r="K194" i="107" s="1"/>
  <c r="J194" i="107" a="1"/>
  <c r="J194" i="107" s="1"/>
  <c r="I194" i="107" a="1"/>
  <c r="I194" i="107" s="1"/>
  <c r="H194" i="107" a="1"/>
  <c r="H194" i="107" s="1"/>
  <c r="G194" i="107" a="1"/>
  <c r="G194" i="107" s="1"/>
  <c r="F194" i="107" a="1"/>
  <c r="F194" i="107" s="1"/>
  <c r="E194" i="107" a="1"/>
  <c r="E194" i="107" s="1"/>
  <c r="D194" i="107" a="1"/>
  <c r="D194" i="107" s="1"/>
  <c r="AH193" i="107" a="1"/>
  <c r="AH193" i="107" s="1"/>
  <c r="AG193" i="107" a="1"/>
  <c r="AG193" i="107" s="1"/>
  <c r="AF193" i="107" a="1"/>
  <c r="AF193" i="107" s="1"/>
  <c r="AE193" i="107" a="1"/>
  <c r="AE193" i="107" s="1"/>
  <c r="AD193" i="107" a="1"/>
  <c r="AD193" i="107" s="1"/>
  <c r="AC193" i="107" a="1"/>
  <c r="AC193" i="107" s="1"/>
  <c r="AB193" i="107" a="1"/>
  <c r="AB193" i="107" s="1"/>
  <c r="AA193" i="107" a="1"/>
  <c r="AA193" i="107" s="1"/>
  <c r="Z193" i="107" a="1"/>
  <c r="Z193" i="107" s="1"/>
  <c r="Y193" i="107" a="1"/>
  <c r="Y193" i="107" s="1"/>
  <c r="X193" i="107" a="1"/>
  <c r="X193" i="107" s="1"/>
  <c r="W193" i="107" a="1"/>
  <c r="W193" i="107" s="1"/>
  <c r="V193" i="107" a="1"/>
  <c r="V193" i="107" s="1"/>
  <c r="U193" i="107" a="1"/>
  <c r="U193" i="107" s="1"/>
  <c r="T193" i="107" a="1"/>
  <c r="T193" i="107" s="1"/>
  <c r="S193" i="107" a="1"/>
  <c r="S193" i="107" s="1"/>
  <c r="R193" i="107" a="1"/>
  <c r="R193" i="107" s="1"/>
  <c r="Q193" i="107" a="1"/>
  <c r="Q193" i="107" s="1"/>
  <c r="P193" i="107" a="1"/>
  <c r="P193" i="107" s="1"/>
  <c r="O193" i="107" a="1"/>
  <c r="O193" i="107" s="1"/>
  <c r="N193" i="107" a="1"/>
  <c r="N193" i="107" s="1"/>
  <c r="M193" i="107" a="1"/>
  <c r="M193" i="107" s="1"/>
  <c r="L193" i="107" a="1"/>
  <c r="L193" i="107" s="1"/>
  <c r="K193" i="107" a="1"/>
  <c r="K193" i="107" s="1"/>
  <c r="J193" i="107" a="1"/>
  <c r="J193" i="107" s="1"/>
  <c r="I193" i="107" a="1"/>
  <c r="I193" i="107" s="1"/>
  <c r="H193" i="107" a="1"/>
  <c r="H193" i="107" s="1"/>
  <c r="G193" i="107" a="1"/>
  <c r="G193" i="107" s="1"/>
  <c r="F193" i="107" a="1"/>
  <c r="F193" i="107" s="1"/>
  <c r="E193" i="107" a="1"/>
  <c r="E193" i="107" s="1"/>
  <c r="D193" i="107" a="1"/>
  <c r="D193" i="107" s="1"/>
  <c r="AH192" i="107" a="1"/>
  <c r="AH192" i="107" s="1"/>
  <c r="AG192" i="107" a="1"/>
  <c r="AG192" i="107" s="1"/>
  <c r="AF192" i="107" a="1"/>
  <c r="AF192" i="107" s="1"/>
  <c r="AE192" i="107" a="1"/>
  <c r="AE192" i="107" s="1"/>
  <c r="AD192" i="107" a="1"/>
  <c r="AD192" i="107" s="1"/>
  <c r="AC192" i="107" a="1"/>
  <c r="AC192" i="107" s="1"/>
  <c r="AB192" i="107" a="1"/>
  <c r="AB192" i="107" s="1"/>
  <c r="AA192" i="107" a="1"/>
  <c r="AA192" i="107" s="1"/>
  <c r="Z192" i="107" a="1"/>
  <c r="Z192" i="107" s="1"/>
  <c r="Y192" i="107" a="1"/>
  <c r="Y192" i="107" s="1"/>
  <c r="X192" i="107" a="1"/>
  <c r="X192" i="107" s="1"/>
  <c r="W192" i="107" a="1"/>
  <c r="W192" i="107" s="1"/>
  <c r="V192" i="107" a="1"/>
  <c r="V192" i="107" s="1"/>
  <c r="U192" i="107" a="1"/>
  <c r="U192" i="107" s="1"/>
  <c r="T192" i="107" a="1"/>
  <c r="T192" i="107" s="1"/>
  <c r="S192" i="107" a="1"/>
  <c r="S192" i="107" s="1"/>
  <c r="R192" i="107" a="1"/>
  <c r="R192" i="107" s="1"/>
  <c r="Q192" i="107" a="1"/>
  <c r="Q192" i="107" s="1"/>
  <c r="P192" i="107" a="1"/>
  <c r="P192" i="107" s="1"/>
  <c r="O192" i="107" a="1"/>
  <c r="O192" i="107" s="1"/>
  <c r="N192" i="107" a="1"/>
  <c r="N192" i="107" s="1"/>
  <c r="M192" i="107" a="1"/>
  <c r="M192" i="107" s="1"/>
  <c r="L192" i="107" a="1"/>
  <c r="L192" i="107" s="1"/>
  <c r="K192" i="107" a="1"/>
  <c r="K192" i="107" s="1"/>
  <c r="J192" i="107" a="1"/>
  <c r="J192" i="107" s="1"/>
  <c r="I192" i="107" a="1"/>
  <c r="I192" i="107" s="1"/>
  <c r="H192" i="107" a="1"/>
  <c r="H192" i="107" s="1"/>
  <c r="G192" i="107" a="1"/>
  <c r="G192" i="107" s="1"/>
  <c r="F192" i="107" a="1"/>
  <c r="F192" i="107" s="1"/>
  <c r="E192" i="107" a="1"/>
  <c r="E192" i="107" s="1"/>
  <c r="D192" i="107" a="1"/>
  <c r="D192" i="107" s="1"/>
  <c r="AH191" i="107" a="1"/>
  <c r="AH191" i="107" s="1"/>
  <c r="AG191" i="107" a="1"/>
  <c r="AG191" i="107" s="1"/>
  <c r="AF191" i="107" a="1"/>
  <c r="AF191" i="107" s="1"/>
  <c r="AE191" i="107" a="1"/>
  <c r="AE191" i="107" s="1"/>
  <c r="AD191" i="107" a="1"/>
  <c r="AD191" i="107" s="1"/>
  <c r="AC191" i="107" a="1"/>
  <c r="AC191" i="107" s="1"/>
  <c r="AB191" i="107" a="1"/>
  <c r="AB191" i="107" s="1"/>
  <c r="AA191" i="107" a="1"/>
  <c r="AA191" i="107" s="1"/>
  <c r="Z191" i="107" a="1"/>
  <c r="Z191" i="107" s="1"/>
  <c r="Y191" i="107" a="1"/>
  <c r="Y191" i="107" s="1"/>
  <c r="X191" i="107" a="1"/>
  <c r="X191" i="107" s="1"/>
  <c r="W191" i="107" a="1"/>
  <c r="W191" i="107" s="1"/>
  <c r="V191" i="107" a="1"/>
  <c r="V191" i="107" s="1"/>
  <c r="U191" i="107" a="1"/>
  <c r="U191" i="107" s="1"/>
  <c r="T191" i="107" a="1"/>
  <c r="T191" i="107" s="1"/>
  <c r="S191" i="107" a="1"/>
  <c r="S191" i="107" s="1"/>
  <c r="R191" i="107" a="1"/>
  <c r="R191" i="107" s="1"/>
  <c r="Q191" i="107" a="1"/>
  <c r="Q191" i="107" s="1"/>
  <c r="P191" i="107" a="1"/>
  <c r="P191" i="107" s="1"/>
  <c r="O191" i="107" a="1"/>
  <c r="O191" i="107" s="1"/>
  <c r="N191" i="107" a="1"/>
  <c r="N191" i="107" s="1"/>
  <c r="M191" i="107" a="1"/>
  <c r="M191" i="107" s="1"/>
  <c r="L191" i="107" a="1"/>
  <c r="L191" i="107" s="1"/>
  <c r="K191" i="107" a="1"/>
  <c r="K191" i="107" s="1"/>
  <c r="J191" i="107" a="1"/>
  <c r="J191" i="107" s="1"/>
  <c r="I191" i="107" a="1"/>
  <c r="I191" i="107" s="1"/>
  <c r="H191" i="107" a="1"/>
  <c r="H191" i="107" s="1"/>
  <c r="G191" i="107" a="1"/>
  <c r="G191" i="107" s="1"/>
  <c r="F191" i="107" a="1"/>
  <c r="F191" i="107" s="1"/>
  <c r="E191" i="107" a="1"/>
  <c r="E191" i="107" s="1"/>
  <c r="D191" i="107" a="1"/>
  <c r="D191" i="107" s="1"/>
  <c r="AH190" i="107" a="1"/>
  <c r="AH190" i="107" s="1"/>
  <c r="AG190" i="107" a="1"/>
  <c r="AG190" i="107" s="1"/>
  <c r="AF190" i="107" a="1"/>
  <c r="AF190" i="107" s="1"/>
  <c r="AE190" i="107" a="1"/>
  <c r="AE190" i="107" s="1"/>
  <c r="AD190" i="107" a="1"/>
  <c r="AD190" i="107" s="1"/>
  <c r="AC190" i="107" a="1"/>
  <c r="AC190" i="107" s="1"/>
  <c r="AB190" i="107" a="1"/>
  <c r="AB190" i="107" s="1"/>
  <c r="AA190" i="107" a="1"/>
  <c r="AA190" i="107" s="1"/>
  <c r="Z190" i="107" a="1"/>
  <c r="Z190" i="107" s="1"/>
  <c r="Y190" i="107" a="1"/>
  <c r="Y190" i="107" s="1"/>
  <c r="X190" i="107" a="1"/>
  <c r="X190" i="107" s="1"/>
  <c r="W190" i="107" a="1"/>
  <c r="W190" i="107" s="1"/>
  <c r="V190" i="107" a="1"/>
  <c r="V190" i="107" s="1"/>
  <c r="U190" i="107" a="1"/>
  <c r="U190" i="107" s="1"/>
  <c r="T190" i="107" a="1"/>
  <c r="T190" i="107" s="1"/>
  <c r="S190" i="107" a="1"/>
  <c r="S190" i="107" s="1"/>
  <c r="R190" i="107" a="1"/>
  <c r="R190" i="107" s="1"/>
  <c r="Q190" i="107" a="1"/>
  <c r="Q190" i="107" s="1"/>
  <c r="P190" i="107" a="1"/>
  <c r="P190" i="107" s="1"/>
  <c r="O190" i="107" a="1"/>
  <c r="O190" i="107" s="1"/>
  <c r="N190" i="107" a="1"/>
  <c r="N190" i="107" s="1"/>
  <c r="M190" i="107" a="1"/>
  <c r="M190" i="107" s="1"/>
  <c r="L190" i="107" a="1"/>
  <c r="L190" i="107" s="1"/>
  <c r="K190" i="107" a="1"/>
  <c r="K190" i="107" s="1"/>
  <c r="J190" i="107" a="1"/>
  <c r="J190" i="107" s="1"/>
  <c r="I190" i="107" a="1"/>
  <c r="I190" i="107" s="1"/>
  <c r="H190" i="107" a="1"/>
  <c r="H190" i="107" s="1"/>
  <c r="G190" i="107" a="1"/>
  <c r="G190" i="107" s="1"/>
  <c r="F190" i="107" a="1"/>
  <c r="F190" i="107" s="1"/>
  <c r="E190" i="107" a="1"/>
  <c r="E190" i="107" s="1"/>
  <c r="D190" i="107" a="1"/>
  <c r="D190" i="107" s="1"/>
  <c r="AH189" i="107" a="1"/>
  <c r="AH189" i="107" s="1"/>
  <c r="AG189" i="107" a="1"/>
  <c r="AG189" i="107" s="1"/>
  <c r="AF189" i="107" a="1"/>
  <c r="AF189" i="107" s="1"/>
  <c r="AE189" i="107" a="1"/>
  <c r="AE189" i="107" s="1"/>
  <c r="AD189" i="107" a="1"/>
  <c r="AD189" i="107" s="1"/>
  <c r="AC189" i="107" a="1"/>
  <c r="AC189" i="107" s="1"/>
  <c r="AB189" i="107" a="1"/>
  <c r="AB189" i="107" s="1"/>
  <c r="AA189" i="107" a="1"/>
  <c r="AA189" i="107" s="1"/>
  <c r="Z189" i="107" a="1"/>
  <c r="Z189" i="107" s="1"/>
  <c r="Y189" i="107" a="1"/>
  <c r="Y189" i="107" s="1"/>
  <c r="X189" i="107" a="1"/>
  <c r="X189" i="107" s="1"/>
  <c r="W189" i="107" a="1"/>
  <c r="W189" i="107" s="1"/>
  <c r="V189" i="107" a="1"/>
  <c r="V189" i="107" s="1"/>
  <c r="U189" i="107" a="1"/>
  <c r="U189" i="107" s="1"/>
  <c r="T189" i="107" a="1"/>
  <c r="T189" i="107" s="1"/>
  <c r="S189" i="107" a="1"/>
  <c r="S189" i="107" s="1"/>
  <c r="R189" i="107" a="1"/>
  <c r="R189" i="107" s="1"/>
  <c r="Q189" i="107" a="1"/>
  <c r="Q189" i="107" s="1"/>
  <c r="P189" i="107" a="1"/>
  <c r="P189" i="107" s="1"/>
  <c r="O189" i="107" a="1"/>
  <c r="O189" i="107" s="1"/>
  <c r="N189" i="107" a="1"/>
  <c r="N189" i="107" s="1"/>
  <c r="M189" i="107" a="1"/>
  <c r="M189" i="107" s="1"/>
  <c r="L189" i="107" a="1"/>
  <c r="L189" i="107" s="1"/>
  <c r="K189" i="107" a="1"/>
  <c r="K189" i="107" s="1"/>
  <c r="J189" i="107" a="1"/>
  <c r="J189" i="107" s="1"/>
  <c r="I189" i="107" a="1"/>
  <c r="I189" i="107" s="1"/>
  <c r="H189" i="107" a="1"/>
  <c r="H189" i="107" s="1"/>
  <c r="G189" i="107" a="1"/>
  <c r="G189" i="107" s="1"/>
  <c r="F189" i="107" a="1"/>
  <c r="F189" i="107" s="1"/>
  <c r="E189" i="107" a="1"/>
  <c r="E189" i="107" s="1"/>
  <c r="D189" i="107" a="1"/>
  <c r="D189" i="107" s="1"/>
  <c r="AH188" i="107" a="1"/>
  <c r="AH188" i="107" s="1"/>
  <c r="AG188" i="107" a="1"/>
  <c r="AG188" i="107" s="1"/>
  <c r="AF188" i="107" a="1"/>
  <c r="AF188" i="107" s="1"/>
  <c r="AE188" i="107" a="1"/>
  <c r="AE188" i="107" s="1"/>
  <c r="AD188" i="107" a="1"/>
  <c r="AD188" i="107" s="1"/>
  <c r="AC188" i="107" a="1"/>
  <c r="AC188" i="107" s="1"/>
  <c r="AB188" i="107" a="1"/>
  <c r="AB188" i="107" s="1"/>
  <c r="AA188" i="107" a="1"/>
  <c r="AA188" i="107" s="1"/>
  <c r="Z188" i="107" a="1"/>
  <c r="Z188" i="107" s="1"/>
  <c r="Y188" i="107" a="1"/>
  <c r="Y188" i="107" s="1"/>
  <c r="X188" i="107" a="1"/>
  <c r="X188" i="107" s="1"/>
  <c r="W188" i="107" a="1"/>
  <c r="W188" i="107" s="1"/>
  <c r="V188" i="107" a="1"/>
  <c r="V188" i="107" s="1"/>
  <c r="U188" i="107" a="1"/>
  <c r="U188" i="107" s="1"/>
  <c r="T188" i="107" a="1"/>
  <c r="T188" i="107" s="1"/>
  <c r="S188" i="107" a="1"/>
  <c r="S188" i="107" s="1"/>
  <c r="R188" i="107" a="1"/>
  <c r="R188" i="107" s="1"/>
  <c r="Q188" i="107" a="1"/>
  <c r="Q188" i="107" s="1"/>
  <c r="P188" i="107" a="1"/>
  <c r="P188" i="107" s="1"/>
  <c r="O188" i="107" a="1"/>
  <c r="O188" i="107" s="1"/>
  <c r="N188" i="107" a="1"/>
  <c r="N188" i="107" s="1"/>
  <c r="M188" i="107" a="1"/>
  <c r="M188" i="107" s="1"/>
  <c r="L188" i="107" a="1"/>
  <c r="L188" i="107" s="1"/>
  <c r="K188" i="107" a="1"/>
  <c r="K188" i="107" s="1"/>
  <c r="J188" i="107" a="1"/>
  <c r="J188" i="107" s="1"/>
  <c r="I188" i="107" a="1"/>
  <c r="I188" i="107" s="1"/>
  <c r="H188" i="107" a="1"/>
  <c r="H188" i="107" s="1"/>
  <c r="G188" i="107" a="1"/>
  <c r="G188" i="107" s="1"/>
  <c r="F188" i="107" a="1"/>
  <c r="F188" i="107" s="1"/>
  <c r="E188" i="107" a="1"/>
  <c r="E188" i="107" s="1"/>
  <c r="D188" i="107" a="1"/>
  <c r="D188" i="107" s="1"/>
  <c r="AH187" i="107" a="1"/>
  <c r="AH187" i="107" s="1"/>
  <c r="AG187" i="107" a="1"/>
  <c r="AG187" i="107" s="1"/>
  <c r="AF187" i="107" a="1"/>
  <c r="AF187" i="107" s="1"/>
  <c r="AE187" i="107" a="1"/>
  <c r="AE187" i="107" s="1"/>
  <c r="AD187" i="107" a="1"/>
  <c r="AD187" i="107" s="1"/>
  <c r="AC187" i="107" a="1"/>
  <c r="AC187" i="107" s="1"/>
  <c r="AB187" i="107" a="1"/>
  <c r="AB187" i="107" s="1"/>
  <c r="AA187" i="107" a="1"/>
  <c r="AA187" i="107" s="1"/>
  <c r="Z187" i="107" a="1"/>
  <c r="Z187" i="107" s="1"/>
  <c r="Y187" i="107" a="1"/>
  <c r="Y187" i="107" s="1"/>
  <c r="X187" i="107" a="1"/>
  <c r="X187" i="107" s="1"/>
  <c r="W187" i="107" a="1"/>
  <c r="W187" i="107" s="1"/>
  <c r="V187" i="107" a="1"/>
  <c r="V187" i="107" s="1"/>
  <c r="U187" i="107" a="1"/>
  <c r="U187" i="107" s="1"/>
  <c r="T187" i="107" a="1"/>
  <c r="T187" i="107" s="1"/>
  <c r="S187" i="107" a="1"/>
  <c r="S187" i="107" s="1"/>
  <c r="R187" i="107" a="1"/>
  <c r="R187" i="107" s="1"/>
  <c r="Q187" i="107" a="1"/>
  <c r="Q187" i="107" s="1"/>
  <c r="P187" i="107" a="1"/>
  <c r="P187" i="107" s="1"/>
  <c r="O187" i="107" a="1"/>
  <c r="O187" i="107" s="1"/>
  <c r="N187" i="107" a="1"/>
  <c r="N187" i="107" s="1"/>
  <c r="M187" i="107" a="1"/>
  <c r="M187" i="107" s="1"/>
  <c r="L187" i="107" a="1"/>
  <c r="L187" i="107" s="1"/>
  <c r="K187" i="107" a="1"/>
  <c r="K187" i="107" s="1"/>
  <c r="J187" i="107" a="1"/>
  <c r="J187" i="107" s="1"/>
  <c r="I187" i="107" a="1"/>
  <c r="I187" i="107" s="1"/>
  <c r="H187" i="107" a="1"/>
  <c r="H187" i="107" s="1"/>
  <c r="G187" i="107" a="1"/>
  <c r="G187" i="107" s="1"/>
  <c r="F187" i="107" a="1"/>
  <c r="F187" i="107" s="1"/>
  <c r="E187" i="107" a="1"/>
  <c r="E187" i="107" s="1"/>
  <c r="D187" i="107" a="1"/>
  <c r="D187" i="107" s="1"/>
  <c r="AH186" i="107" a="1"/>
  <c r="AH186" i="107" s="1"/>
  <c r="AG186" i="107" a="1"/>
  <c r="AG186" i="107" s="1"/>
  <c r="AF186" i="107" a="1"/>
  <c r="AF186" i="107" s="1"/>
  <c r="AE186" i="107" a="1"/>
  <c r="AE186" i="107" s="1"/>
  <c r="AD186" i="107" a="1"/>
  <c r="AD186" i="107" s="1"/>
  <c r="AC186" i="107" a="1"/>
  <c r="AC186" i="107" s="1"/>
  <c r="AB186" i="107" a="1"/>
  <c r="AB186" i="107" s="1"/>
  <c r="AA186" i="107" a="1"/>
  <c r="AA186" i="107" s="1"/>
  <c r="Z186" i="107" a="1"/>
  <c r="Z186" i="107" s="1"/>
  <c r="Y186" i="107" a="1"/>
  <c r="Y186" i="107" s="1"/>
  <c r="X186" i="107" a="1"/>
  <c r="X186" i="107" s="1"/>
  <c r="W186" i="107" a="1"/>
  <c r="W186" i="107" s="1"/>
  <c r="V186" i="107" a="1"/>
  <c r="V186" i="107" s="1"/>
  <c r="U186" i="107" a="1"/>
  <c r="U186" i="107" s="1"/>
  <c r="T186" i="107" a="1"/>
  <c r="T186" i="107" s="1"/>
  <c r="S186" i="107" a="1"/>
  <c r="S186" i="107" s="1"/>
  <c r="R186" i="107" a="1"/>
  <c r="R186" i="107" s="1"/>
  <c r="Q186" i="107" a="1"/>
  <c r="Q186" i="107" s="1"/>
  <c r="P186" i="107" a="1"/>
  <c r="P186" i="107" s="1"/>
  <c r="O186" i="107" a="1"/>
  <c r="O186" i="107" s="1"/>
  <c r="N186" i="107" a="1"/>
  <c r="N186" i="107" s="1"/>
  <c r="M186" i="107" a="1"/>
  <c r="M186" i="107" s="1"/>
  <c r="L186" i="107" a="1"/>
  <c r="L186" i="107" s="1"/>
  <c r="K186" i="107" a="1"/>
  <c r="K186" i="107" s="1"/>
  <c r="J186" i="107" a="1"/>
  <c r="J186" i="107" s="1"/>
  <c r="I186" i="107" a="1"/>
  <c r="I186" i="107" s="1"/>
  <c r="H186" i="107" a="1"/>
  <c r="H186" i="107" s="1"/>
  <c r="G186" i="107" a="1"/>
  <c r="G186" i="107" s="1"/>
  <c r="F186" i="107" a="1"/>
  <c r="F186" i="107" s="1"/>
  <c r="E186" i="107" a="1"/>
  <c r="E186" i="107" s="1"/>
  <c r="D186" i="107" a="1"/>
  <c r="D186" i="107" s="1"/>
  <c r="AH185" i="107" a="1"/>
  <c r="AH185" i="107" s="1"/>
  <c r="AG185" i="107" a="1"/>
  <c r="AG185" i="107" s="1"/>
  <c r="AF185" i="107" a="1"/>
  <c r="AF185" i="107" s="1"/>
  <c r="AE185" i="107" a="1"/>
  <c r="AE185" i="107" s="1"/>
  <c r="AD185" i="107" a="1"/>
  <c r="AD185" i="107" s="1"/>
  <c r="AC185" i="107" a="1"/>
  <c r="AC185" i="107" s="1"/>
  <c r="AB185" i="107" a="1"/>
  <c r="AB185" i="107" s="1"/>
  <c r="AA185" i="107" a="1"/>
  <c r="AA185" i="107" s="1"/>
  <c r="Z185" i="107" a="1"/>
  <c r="Z185" i="107" s="1"/>
  <c r="Y185" i="107" a="1"/>
  <c r="Y185" i="107" s="1"/>
  <c r="X185" i="107" a="1"/>
  <c r="X185" i="107" s="1"/>
  <c r="W185" i="107" a="1"/>
  <c r="W185" i="107" s="1"/>
  <c r="V185" i="107" a="1"/>
  <c r="V185" i="107" s="1"/>
  <c r="U185" i="107" a="1"/>
  <c r="U185" i="107" s="1"/>
  <c r="T185" i="107" a="1"/>
  <c r="T185" i="107" s="1"/>
  <c r="S185" i="107" a="1"/>
  <c r="S185" i="107" s="1"/>
  <c r="R185" i="107" a="1"/>
  <c r="R185" i="107" s="1"/>
  <c r="Q185" i="107" a="1"/>
  <c r="Q185" i="107" s="1"/>
  <c r="P185" i="107" a="1"/>
  <c r="P185" i="107" s="1"/>
  <c r="O185" i="107" a="1"/>
  <c r="O185" i="107" s="1"/>
  <c r="N185" i="107" a="1"/>
  <c r="N185" i="107" s="1"/>
  <c r="M185" i="107" a="1"/>
  <c r="M185" i="107" s="1"/>
  <c r="L185" i="107" a="1"/>
  <c r="L185" i="107" s="1"/>
  <c r="K185" i="107" a="1"/>
  <c r="K185" i="107" s="1"/>
  <c r="J185" i="107" a="1"/>
  <c r="J185" i="107" s="1"/>
  <c r="I185" i="107" a="1"/>
  <c r="I185" i="107" s="1"/>
  <c r="H185" i="107" a="1"/>
  <c r="H185" i="107" s="1"/>
  <c r="G185" i="107" a="1"/>
  <c r="G185" i="107" s="1"/>
  <c r="F185" i="107" a="1"/>
  <c r="F185" i="107" s="1"/>
  <c r="E185" i="107" a="1"/>
  <c r="E185" i="107" s="1"/>
  <c r="D185" i="107" a="1"/>
  <c r="D185" i="107" s="1"/>
  <c r="AH184" i="107" a="1"/>
  <c r="AH184" i="107" s="1"/>
  <c r="AG184" i="107" a="1"/>
  <c r="AG184" i="107" s="1"/>
  <c r="AF184" i="107" a="1"/>
  <c r="AF184" i="107" s="1"/>
  <c r="AE184" i="107" a="1"/>
  <c r="AE184" i="107" s="1"/>
  <c r="AD184" i="107" a="1"/>
  <c r="AD184" i="107" s="1"/>
  <c r="AC184" i="107" a="1"/>
  <c r="AC184" i="107" s="1"/>
  <c r="AB184" i="107" a="1"/>
  <c r="AB184" i="107" s="1"/>
  <c r="AA184" i="107" a="1"/>
  <c r="AA184" i="107" s="1"/>
  <c r="Z184" i="107" a="1"/>
  <c r="Z184" i="107" s="1"/>
  <c r="Y184" i="107" a="1"/>
  <c r="Y184" i="107" s="1"/>
  <c r="X184" i="107" a="1"/>
  <c r="X184" i="107" s="1"/>
  <c r="W184" i="107" a="1"/>
  <c r="W184" i="107" s="1"/>
  <c r="V184" i="107" a="1"/>
  <c r="V184" i="107" s="1"/>
  <c r="U184" i="107" a="1"/>
  <c r="U184" i="107" s="1"/>
  <c r="T184" i="107" a="1"/>
  <c r="T184" i="107" s="1"/>
  <c r="S184" i="107" a="1"/>
  <c r="S184" i="107" s="1"/>
  <c r="R184" i="107" a="1"/>
  <c r="R184" i="107" s="1"/>
  <c r="Q184" i="107" a="1"/>
  <c r="Q184" i="107" s="1"/>
  <c r="P184" i="107" a="1"/>
  <c r="P184" i="107" s="1"/>
  <c r="O184" i="107" a="1"/>
  <c r="O184" i="107" s="1"/>
  <c r="N184" i="107" a="1"/>
  <c r="N184" i="107" s="1"/>
  <c r="M184" i="107" a="1"/>
  <c r="M184" i="107" s="1"/>
  <c r="L184" i="107" a="1"/>
  <c r="L184" i="107" s="1"/>
  <c r="K184" i="107" a="1"/>
  <c r="K184" i="107" s="1"/>
  <c r="J184" i="107" a="1"/>
  <c r="J184" i="107" s="1"/>
  <c r="I184" i="107" a="1"/>
  <c r="I184" i="107" s="1"/>
  <c r="H184" i="107" a="1"/>
  <c r="H184" i="107" s="1"/>
  <c r="G184" i="107" a="1"/>
  <c r="G184" i="107" s="1"/>
  <c r="F184" i="107" a="1"/>
  <c r="F184" i="107" s="1"/>
  <c r="E184" i="107" a="1"/>
  <c r="E184" i="107" s="1"/>
  <c r="D184" i="107" a="1"/>
  <c r="D184" i="107" s="1"/>
  <c r="AH183" i="107" a="1"/>
  <c r="AH183" i="107" s="1"/>
  <c r="AG183" i="107" a="1"/>
  <c r="AG183" i="107" s="1"/>
  <c r="AF183" i="107" a="1"/>
  <c r="AF183" i="107" s="1"/>
  <c r="AE183" i="107" a="1"/>
  <c r="AE183" i="107" s="1"/>
  <c r="AD183" i="107" a="1"/>
  <c r="AD183" i="107" s="1"/>
  <c r="AC183" i="107" a="1"/>
  <c r="AC183" i="107" s="1"/>
  <c r="AB183" i="107" a="1"/>
  <c r="AB183" i="107" s="1"/>
  <c r="AA183" i="107" a="1"/>
  <c r="AA183" i="107" s="1"/>
  <c r="Z183" i="107" a="1"/>
  <c r="Z183" i="107" s="1"/>
  <c r="Y183" i="107" a="1"/>
  <c r="Y183" i="107" s="1"/>
  <c r="X183" i="107" a="1"/>
  <c r="X183" i="107" s="1"/>
  <c r="W183" i="107" a="1"/>
  <c r="W183" i="107" s="1"/>
  <c r="V183" i="107" a="1"/>
  <c r="V183" i="107" s="1"/>
  <c r="U183" i="107" a="1"/>
  <c r="U183" i="107" s="1"/>
  <c r="T183" i="107" a="1"/>
  <c r="T183" i="107" s="1"/>
  <c r="S183" i="107" a="1"/>
  <c r="S183" i="107" s="1"/>
  <c r="R183" i="107" a="1"/>
  <c r="R183" i="107" s="1"/>
  <c r="Q183" i="107" a="1"/>
  <c r="Q183" i="107" s="1"/>
  <c r="P183" i="107" a="1"/>
  <c r="P183" i="107" s="1"/>
  <c r="O183" i="107" a="1"/>
  <c r="O183" i="107" s="1"/>
  <c r="N183" i="107" a="1"/>
  <c r="N183" i="107" s="1"/>
  <c r="M183" i="107" a="1"/>
  <c r="M183" i="107" s="1"/>
  <c r="L183" i="107" a="1"/>
  <c r="L183" i="107" s="1"/>
  <c r="K183" i="107" a="1"/>
  <c r="K183" i="107" s="1"/>
  <c r="J183" i="107" a="1"/>
  <c r="J183" i="107" s="1"/>
  <c r="I183" i="107" a="1"/>
  <c r="I183" i="107" s="1"/>
  <c r="H183" i="107" a="1"/>
  <c r="H183" i="107" s="1"/>
  <c r="G183" i="107" a="1"/>
  <c r="G183" i="107" s="1"/>
  <c r="F183" i="107" a="1"/>
  <c r="F183" i="107" s="1"/>
  <c r="E183" i="107" a="1"/>
  <c r="E183" i="107" s="1"/>
  <c r="D183" i="107" a="1"/>
  <c r="D183" i="107" s="1"/>
  <c r="AH182" i="107" a="1"/>
  <c r="AH182" i="107" s="1"/>
  <c r="AG182" i="107" a="1"/>
  <c r="AG182" i="107" s="1"/>
  <c r="AF182" i="107" a="1"/>
  <c r="AF182" i="107" s="1"/>
  <c r="AE182" i="107" a="1"/>
  <c r="AE182" i="107" s="1"/>
  <c r="AD182" i="107" a="1"/>
  <c r="AD182" i="107" s="1"/>
  <c r="AC182" i="107" a="1"/>
  <c r="AC182" i="107" s="1"/>
  <c r="AB182" i="107" a="1"/>
  <c r="AB182" i="107" s="1"/>
  <c r="AA182" i="107" a="1"/>
  <c r="AA182" i="107" s="1"/>
  <c r="Z182" i="107" a="1"/>
  <c r="Z182" i="107" s="1"/>
  <c r="Y182" i="107" a="1"/>
  <c r="Y182" i="107" s="1"/>
  <c r="X182" i="107" a="1"/>
  <c r="X182" i="107" s="1"/>
  <c r="W182" i="107" a="1"/>
  <c r="W182" i="107" s="1"/>
  <c r="V182" i="107" a="1"/>
  <c r="V182" i="107" s="1"/>
  <c r="U182" i="107" a="1"/>
  <c r="U182" i="107" s="1"/>
  <c r="T182" i="107" a="1"/>
  <c r="T182" i="107" s="1"/>
  <c r="S182" i="107" a="1"/>
  <c r="S182" i="107" s="1"/>
  <c r="R182" i="107" a="1"/>
  <c r="R182" i="107" s="1"/>
  <c r="Q182" i="107" a="1"/>
  <c r="Q182" i="107" s="1"/>
  <c r="P182" i="107" a="1"/>
  <c r="P182" i="107" s="1"/>
  <c r="O182" i="107" a="1"/>
  <c r="O182" i="107" s="1"/>
  <c r="N182" i="107" a="1"/>
  <c r="N182" i="107" s="1"/>
  <c r="M182" i="107" a="1"/>
  <c r="M182" i="107" s="1"/>
  <c r="L182" i="107" a="1"/>
  <c r="L182" i="107" s="1"/>
  <c r="K182" i="107" a="1"/>
  <c r="K182" i="107" s="1"/>
  <c r="J182" i="107" a="1"/>
  <c r="J182" i="107" s="1"/>
  <c r="I182" i="107" a="1"/>
  <c r="I182" i="107" s="1"/>
  <c r="H182" i="107" a="1"/>
  <c r="H182" i="107" s="1"/>
  <c r="G182" i="107" a="1"/>
  <c r="G182" i="107" s="1"/>
  <c r="F182" i="107" a="1"/>
  <c r="F182" i="107" s="1"/>
  <c r="E182" i="107" a="1"/>
  <c r="E182" i="107" s="1"/>
  <c r="D182" i="107" a="1"/>
  <c r="D182" i="107" s="1"/>
  <c r="AH181" i="107" a="1"/>
  <c r="AH181" i="107" s="1"/>
  <c r="AG181" i="107" a="1"/>
  <c r="AG181" i="107" s="1"/>
  <c r="AF181" i="107" a="1"/>
  <c r="AF181" i="107" s="1"/>
  <c r="AE181" i="107" a="1"/>
  <c r="AE181" i="107" s="1"/>
  <c r="AD181" i="107" a="1"/>
  <c r="AD181" i="107" s="1"/>
  <c r="AC181" i="107" a="1"/>
  <c r="AC181" i="107" s="1"/>
  <c r="AB181" i="107" a="1"/>
  <c r="AB181" i="107" s="1"/>
  <c r="AA181" i="107" a="1"/>
  <c r="AA181" i="107" s="1"/>
  <c r="Z181" i="107" a="1"/>
  <c r="Z181" i="107" s="1"/>
  <c r="Y181" i="107" a="1"/>
  <c r="Y181" i="107" s="1"/>
  <c r="X181" i="107" a="1"/>
  <c r="X181" i="107" s="1"/>
  <c r="W181" i="107" a="1"/>
  <c r="W181" i="107" s="1"/>
  <c r="V181" i="107" a="1"/>
  <c r="V181" i="107" s="1"/>
  <c r="U181" i="107" a="1"/>
  <c r="U181" i="107" s="1"/>
  <c r="T181" i="107" a="1"/>
  <c r="T181" i="107" s="1"/>
  <c r="S181" i="107" a="1"/>
  <c r="S181" i="107" s="1"/>
  <c r="R181" i="107" a="1"/>
  <c r="R181" i="107" s="1"/>
  <c r="Q181" i="107" a="1"/>
  <c r="Q181" i="107" s="1"/>
  <c r="P181" i="107" a="1"/>
  <c r="P181" i="107" s="1"/>
  <c r="O181" i="107" a="1"/>
  <c r="O181" i="107" s="1"/>
  <c r="N181" i="107" a="1"/>
  <c r="N181" i="107" s="1"/>
  <c r="M181" i="107" a="1"/>
  <c r="M181" i="107" s="1"/>
  <c r="L181" i="107" a="1"/>
  <c r="L181" i="107" s="1"/>
  <c r="K181" i="107" a="1"/>
  <c r="K181" i="107" s="1"/>
  <c r="J181" i="107" a="1"/>
  <c r="J181" i="107" s="1"/>
  <c r="I181" i="107" a="1"/>
  <c r="I181" i="107" s="1"/>
  <c r="H181" i="107" a="1"/>
  <c r="H181" i="107" s="1"/>
  <c r="G181" i="107" a="1"/>
  <c r="G181" i="107" s="1"/>
  <c r="F181" i="107" a="1"/>
  <c r="F181" i="107" s="1"/>
  <c r="E181" i="107" a="1"/>
  <c r="E181" i="107" s="1"/>
  <c r="D181" i="107" a="1"/>
  <c r="D181" i="107" s="1"/>
  <c r="AH180" i="107" a="1"/>
  <c r="AH180" i="107" s="1"/>
  <c r="AG180" i="107" a="1"/>
  <c r="AG180" i="107" s="1"/>
  <c r="AF180" i="107" a="1"/>
  <c r="AF180" i="107" s="1"/>
  <c r="AE180" i="107" a="1"/>
  <c r="AE180" i="107" s="1"/>
  <c r="AD180" i="107" a="1"/>
  <c r="AD180" i="107" s="1"/>
  <c r="AC180" i="107" a="1"/>
  <c r="AC180" i="107" s="1"/>
  <c r="AB180" i="107" a="1"/>
  <c r="AB180" i="107" s="1"/>
  <c r="AA180" i="107" a="1"/>
  <c r="AA180" i="107" s="1"/>
  <c r="Z180" i="107" a="1"/>
  <c r="Z180" i="107" s="1"/>
  <c r="Y180" i="107" a="1"/>
  <c r="Y180" i="107" s="1"/>
  <c r="X180" i="107" a="1"/>
  <c r="X180" i="107" s="1"/>
  <c r="W180" i="107" a="1"/>
  <c r="W180" i="107" s="1"/>
  <c r="V180" i="107" a="1"/>
  <c r="V180" i="107" s="1"/>
  <c r="U180" i="107" a="1"/>
  <c r="U180" i="107" s="1"/>
  <c r="T180" i="107" a="1"/>
  <c r="T180" i="107" s="1"/>
  <c r="S180" i="107" a="1"/>
  <c r="S180" i="107" s="1"/>
  <c r="R180" i="107" a="1"/>
  <c r="R180" i="107" s="1"/>
  <c r="Q180" i="107" a="1"/>
  <c r="Q180" i="107" s="1"/>
  <c r="P180" i="107" a="1"/>
  <c r="P180" i="107" s="1"/>
  <c r="O180" i="107" a="1"/>
  <c r="O180" i="107" s="1"/>
  <c r="N180" i="107" a="1"/>
  <c r="N180" i="107" s="1"/>
  <c r="M180" i="107" a="1"/>
  <c r="M180" i="107" s="1"/>
  <c r="L180" i="107" a="1"/>
  <c r="L180" i="107" s="1"/>
  <c r="K180" i="107" a="1"/>
  <c r="K180" i="107" s="1"/>
  <c r="J180" i="107" a="1"/>
  <c r="J180" i="107" s="1"/>
  <c r="I180" i="107" a="1"/>
  <c r="I180" i="107" s="1"/>
  <c r="H180" i="107" a="1"/>
  <c r="H180" i="107" s="1"/>
  <c r="G180" i="107" a="1"/>
  <c r="G180" i="107" s="1"/>
  <c r="F180" i="107" a="1"/>
  <c r="F180" i="107" s="1"/>
  <c r="E180" i="107" a="1"/>
  <c r="E180" i="107" s="1"/>
  <c r="D180" i="107" a="1"/>
  <c r="D180" i="107" s="1"/>
  <c r="AH179" i="107" a="1"/>
  <c r="AH179" i="107" s="1"/>
  <c r="AG179" i="107" a="1"/>
  <c r="AG179" i="107" s="1"/>
  <c r="AF179" i="107" a="1"/>
  <c r="AF179" i="107" s="1"/>
  <c r="AE179" i="107" a="1"/>
  <c r="AE179" i="107" s="1"/>
  <c r="AD179" i="107" a="1"/>
  <c r="AD179" i="107" s="1"/>
  <c r="AC179" i="107" a="1"/>
  <c r="AC179" i="107" s="1"/>
  <c r="AB179" i="107" a="1"/>
  <c r="AB179" i="107" s="1"/>
  <c r="AA179" i="107" a="1"/>
  <c r="AA179" i="107" s="1"/>
  <c r="Z179" i="107" a="1"/>
  <c r="Z179" i="107" s="1"/>
  <c r="Y179" i="107" a="1"/>
  <c r="Y179" i="107" s="1"/>
  <c r="X179" i="107" a="1"/>
  <c r="X179" i="107" s="1"/>
  <c r="W179" i="107" a="1"/>
  <c r="W179" i="107" s="1"/>
  <c r="V179" i="107" a="1"/>
  <c r="V179" i="107" s="1"/>
  <c r="U179" i="107" a="1"/>
  <c r="U179" i="107" s="1"/>
  <c r="T179" i="107" a="1"/>
  <c r="T179" i="107" s="1"/>
  <c r="S179" i="107" a="1"/>
  <c r="S179" i="107" s="1"/>
  <c r="R179" i="107" a="1"/>
  <c r="R179" i="107" s="1"/>
  <c r="Q179" i="107" a="1"/>
  <c r="Q179" i="107" s="1"/>
  <c r="P179" i="107" a="1"/>
  <c r="P179" i="107" s="1"/>
  <c r="O179" i="107" a="1"/>
  <c r="O179" i="107" s="1"/>
  <c r="N179" i="107" a="1"/>
  <c r="N179" i="107" s="1"/>
  <c r="M179" i="107" a="1"/>
  <c r="M179" i="107" s="1"/>
  <c r="L179" i="107" a="1"/>
  <c r="L179" i="107" s="1"/>
  <c r="K179" i="107" a="1"/>
  <c r="K179" i="107" s="1"/>
  <c r="J179" i="107" a="1"/>
  <c r="J179" i="107" s="1"/>
  <c r="I179" i="107" a="1"/>
  <c r="I179" i="107" s="1"/>
  <c r="H179" i="107" a="1"/>
  <c r="H179" i="107" s="1"/>
  <c r="G179" i="107" a="1"/>
  <c r="G179" i="107" s="1"/>
  <c r="F179" i="107" a="1"/>
  <c r="F179" i="107" s="1"/>
  <c r="E179" i="107" a="1"/>
  <c r="E179" i="107" s="1"/>
  <c r="D179" i="107" a="1"/>
  <c r="D179" i="107" s="1"/>
  <c r="AH178" i="107" a="1"/>
  <c r="AH178" i="107" s="1"/>
  <c r="AG178" i="107" a="1"/>
  <c r="AG178" i="107" s="1"/>
  <c r="AF178" i="107" a="1"/>
  <c r="AF178" i="107" s="1"/>
  <c r="AE178" i="107" a="1"/>
  <c r="AE178" i="107" s="1"/>
  <c r="AD178" i="107" a="1"/>
  <c r="AD178" i="107" s="1"/>
  <c r="AC178" i="107" a="1"/>
  <c r="AC178" i="107" s="1"/>
  <c r="AB178" i="107" a="1"/>
  <c r="AB178" i="107" s="1"/>
  <c r="AA178" i="107" a="1"/>
  <c r="AA178" i="107" s="1"/>
  <c r="Z178" i="107" a="1"/>
  <c r="Z178" i="107" s="1"/>
  <c r="Y178" i="107" a="1"/>
  <c r="Y178" i="107" s="1"/>
  <c r="X178" i="107" a="1"/>
  <c r="X178" i="107" s="1"/>
  <c r="W178" i="107" a="1"/>
  <c r="W178" i="107" s="1"/>
  <c r="V178" i="107" a="1"/>
  <c r="V178" i="107" s="1"/>
  <c r="U178" i="107" a="1"/>
  <c r="U178" i="107" s="1"/>
  <c r="T178" i="107" a="1"/>
  <c r="T178" i="107" s="1"/>
  <c r="S178" i="107" a="1"/>
  <c r="S178" i="107" s="1"/>
  <c r="R178" i="107" a="1"/>
  <c r="R178" i="107" s="1"/>
  <c r="Q178" i="107" a="1"/>
  <c r="Q178" i="107" s="1"/>
  <c r="P178" i="107" a="1"/>
  <c r="P178" i="107" s="1"/>
  <c r="O178" i="107" a="1"/>
  <c r="O178" i="107" s="1"/>
  <c r="N178" i="107" a="1"/>
  <c r="N178" i="107" s="1"/>
  <c r="M178" i="107" a="1"/>
  <c r="M178" i="107" s="1"/>
  <c r="L178" i="107" a="1"/>
  <c r="L178" i="107" s="1"/>
  <c r="K178" i="107" a="1"/>
  <c r="K178" i="107" s="1"/>
  <c r="J178" i="107" a="1"/>
  <c r="J178" i="107" s="1"/>
  <c r="I178" i="107" a="1"/>
  <c r="I178" i="107" s="1"/>
  <c r="H178" i="107" a="1"/>
  <c r="H178" i="107" s="1"/>
  <c r="G178" i="107" a="1"/>
  <c r="G178" i="107" s="1"/>
  <c r="F178" i="107" a="1"/>
  <c r="F178" i="107" s="1"/>
  <c r="E178" i="107" a="1"/>
  <c r="E178" i="107" s="1"/>
  <c r="D178" i="107" a="1"/>
  <c r="D178" i="107" s="1"/>
  <c r="AH177" i="107" a="1"/>
  <c r="AH177" i="107" s="1"/>
  <c r="AG177" i="107" a="1"/>
  <c r="AG177" i="107" s="1"/>
  <c r="AF177" i="107" a="1"/>
  <c r="AF177" i="107" s="1"/>
  <c r="AE177" i="107" a="1"/>
  <c r="AE177" i="107" s="1"/>
  <c r="AD177" i="107" a="1"/>
  <c r="AD177" i="107" s="1"/>
  <c r="AC177" i="107" a="1"/>
  <c r="AC177" i="107" s="1"/>
  <c r="AB177" i="107" a="1"/>
  <c r="AB177" i="107" s="1"/>
  <c r="AA177" i="107" a="1"/>
  <c r="AA177" i="107" s="1"/>
  <c r="Z177" i="107" a="1"/>
  <c r="Z177" i="107" s="1"/>
  <c r="Y177" i="107" a="1"/>
  <c r="Y177" i="107" s="1"/>
  <c r="X177" i="107" a="1"/>
  <c r="X177" i="107" s="1"/>
  <c r="W177" i="107" a="1"/>
  <c r="W177" i="107" s="1"/>
  <c r="V177" i="107" a="1"/>
  <c r="V177" i="107" s="1"/>
  <c r="U177" i="107" a="1"/>
  <c r="U177" i="107" s="1"/>
  <c r="T177" i="107" a="1"/>
  <c r="T177" i="107" s="1"/>
  <c r="S177" i="107" a="1"/>
  <c r="S177" i="107" s="1"/>
  <c r="R177" i="107" a="1"/>
  <c r="R177" i="107" s="1"/>
  <c r="Q177" i="107" a="1"/>
  <c r="Q177" i="107" s="1"/>
  <c r="P177" i="107" a="1"/>
  <c r="P177" i="107" s="1"/>
  <c r="O177" i="107" a="1"/>
  <c r="O177" i="107" s="1"/>
  <c r="N177" i="107" a="1"/>
  <c r="N177" i="107" s="1"/>
  <c r="M177" i="107" a="1"/>
  <c r="M177" i="107" s="1"/>
  <c r="L177" i="107" a="1"/>
  <c r="L177" i="107" s="1"/>
  <c r="K177" i="107" a="1"/>
  <c r="K177" i="107" s="1"/>
  <c r="J177" i="107" a="1"/>
  <c r="J177" i="107" s="1"/>
  <c r="I177" i="107" a="1"/>
  <c r="I177" i="107" s="1"/>
  <c r="H177" i="107" a="1"/>
  <c r="H177" i="107" s="1"/>
  <c r="G177" i="107" a="1"/>
  <c r="G177" i="107" s="1"/>
  <c r="F177" i="107" a="1"/>
  <c r="F177" i="107" s="1"/>
  <c r="E177" i="107" a="1"/>
  <c r="E177" i="107" s="1"/>
  <c r="D177" i="107" a="1"/>
  <c r="D177" i="107" s="1"/>
  <c r="AH176" i="107" a="1"/>
  <c r="AH176" i="107" s="1"/>
  <c r="AG176" i="107" a="1"/>
  <c r="AG176" i="107" s="1"/>
  <c r="AF176" i="107" a="1"/>
  <c r="AF176" i="107" s="1"/>
  <c r="AE176" i="107" a="1"/>
  <c r="AE176" i="107" s="1"/>
  <c r="AD176" i="107" a="1"/>
  <c r="AD176" i="107" s="1"/>
  <c r="AC176" i="107" a="1"/>
  <c r="AC176" i="107" s="1"/>
  <c r="AB176" i="107" a="1"/>
  <c r="AB176" i="107" s="1"/>
  <c r="AA176" i="107" a="1"/>
  <c r="AA176" i="107" s="1"/>
  <c r="Z176" i="107" a="1"/>
  <c r="Z176" i="107" s="1"/>
  <c r="Y176" i="107" a="1"/>
  <c r="Y176" i="107" s="1"/>
  <c r="X176" i="107" a="1"/>
  <c r="X176" i="107" s="1"/>
  <c r="W176" i="107" a="1"/>
  <c r="W176" i="107" s="1"/>
  <c r="V176" i="107" a="1"/>
  <c r="V176" i="107" s="1"/>
  <c r="U176" i="107" a="1"/>
  <c r="U176" i="107" s="1"/>
  <c r="T176" i="107" a="1"/>
  <c r="T176" i="107" s="1"/>
  <c r="S176" i="107" a="1"/>
  <c r="S176" i="107" s="1"/>
  <c r="R176" i="107" a="1"/>
  <c r="R176" i="107" s="1"/>
  <c r="Q176" i="107" a="1"/>
  <c r="Q176" i="107" s="1"/>
  <c r="P176" i="107" a="1"/>
  <c r="P176" i="107" s="1"/>
  <c r="O176" i="107" a="1"/>
  <c r="O176" i="107" s="1"/>
  <c r="N176" i="107" a="1"/>
  <c r="N176" i="107" s="1"/>
  <c r="M176" i="107" a="1"/>
  <c r="M176" i="107" s="1"/>
  <c r="L176" i="107" a="1"/>
  <c r="L176" i="107" s="1"/>
  <c r="K176" i="107" a="1"/>
  <c r="K176" i="107" s="1"/>
  <c r="J176" i="107" a="1"/>
  <c r="J176" i="107" s="1"/>
  <c r="I176" i="107" a="1"/>
  <c r="I176" i="107" s="1"/>
  <c r="H176" i="107" a="1"/>
  <c r="H176" i="107" s="1"/>
  <c r="G176" i="107" a="1"/>
  <c r="G176" i="107" s="1"/>
  <c r="F176" i="107" a="1"/>
  <c r="F176" i="107" s="1"/>
  <c r="E176" i="107" a="1"/>
  <c r="E176" i="107" s="1"/>
  <c r="D176" i="107" a="1"/>
  <c r="D176" i="107" s="1"/>
  <c r="AH175" i="107" a="1"/>
  <c r="AH175" i="107" s="1"/>
  <c r="AG175" i="107" a="1"/>
  <c r="AG175" i="107" s="1"/>
  <c r="AF175" i="107" a="1"/>
  <c r="AF175" i="107" s="1"/>
  <c r="AE175" i="107" a="1"/>
  <c r="AE175" i="107" s="1"/>
  <c r="AD175" i="107" a="1"/>
  <c r="AD175" i="107" s="1"/>
  <c r="AC175" i="107" a="1"/>
  <c r="AC175" i="107" s="1"/>
  <c r="AB175" i="107" a="1"/>
  <c r="AB175" i="107" s="1"/>
  <c r="AA175" i="107" a="1"/>
  <c r="AA175" i="107" s="1"/>
  <c r="Z175" i="107" a="1"/>
  <c r="Z175" i="107" s="1"/>
  <c r="Y175" i="107" a="1"/>
  <c r="Y175" i="107" s="1"/>
  <c r="X175" i="107" a="1"/>
  <c r="X175" i="107" s="1"/>
  <c r="W175" i="107" a="1"/>
  <c r="W175" i="107" s="1"/>
  <c r="V175" i="107" a="1"/>
  <c r="V175" i="107" s="1"/>
  <c r="U175" i="107" a="1"/>
  <c r="U175" i="107" s="1"/>
  <c r="T175" i="107" a="1"/>
  <c r="T175" i="107" s="1"/>
  <c r="S175" i="107" a="1"/>
  <c r="S175" i="107" s="1"/>
  <c r="R175" i="107" a="1"/>
  <c r="R175" i="107" s="1"/>
  <c r="Q175" i="107" a="1"/>
  <c r="Q175" i="107" s="1"/>
  <c r="P175" i="107" a="1"/>
  <c r="P175" i="107" s="1"/>
  <c r="O175" i="107" a="1"/>
  <c r="O175" i="107" s="1"/>
  <c r="N175" i="107" a="1"/>
  <c r="N175" i="107" s="1"/>
  <c r="M175" i="107" a="1"/>
  <c r="M175" i="107" s="1"/>
  <c r="L175" i="107" a="1"/>
  <c r="L175" i="107" s="1"/>
  <c r="K175" i="107" a="1"/>
  <c r="K175" i="107" s="1"/>
  <c r="J175" i="107" a="1"/>
  <c r="J175" i="107" s="1"/>
  <c r="I175" i="107" a="1"/>
  <c r="I175" i="107" s="1"/>
  <c r="H175" i="107" a="1"/>
  <c r="H175" i="107" s="1"/>
  <c r="G175" i="107" a="1"/>
  <c r="G175" i="107" s="1"/>
  <c r="F175" i="107" a="1"/>
  <c r="F175" i="107" s="1"/>
  <c r="E175" i="107" a="1"/>
  <c r="E175" i="107" s="1"/>
  <c r="D175" i="107" a="1"/>
  <c r="D175" i="107" s="1"/>
  <c r="AH174" i="107" a="1"/>
  <c r="AH174" i="107" s="1"/>
  <c r="AG174" i="107" a="1"/>
  <c r="AG174" i="107" s="1"/>
  <c r="AF174" i="107" a="1"/>
  <c r="AF174" i="107" s="1"/>
  <c r="AE174" i="107" a="1"/>
  <c r="AE174" i="107" s="1"/>
  <c r="AD174" i="107" a="1"/>
  <c r="AD174" i="107" s="1"/>
  <c r="AC174" i="107" a="1"/>
  <c r="AC174" i="107" s="1"/>
  <c r="AB174" i="107" a="1"/>
  <c r="AB174" i="107" s="1"/>
  <c r="AA174" i="107" a="1"/>
  <c r="AA174" i="107" s="1"/>
  <c r="Z174" i="107" a="1"/>
  <c r="Z174" i="107" s="1"/>
  <c r="Y174" i="107" a="1"/>
  <c r="Y174" i="107" s="1"/>
  <c r="X174" i="107" a="1"/>
  <c r="X174" i="107" s="1"/>
  <c r="W174" i="107" a="1"/>
  <c r="W174" i="107" s="1"/>
  <c r="V174" i="107" a="1"/>
  <c r="V174" i="107" s="1"/>
  <c r="U174" i="107" a="1"/>
  <c r="U174" i="107" s="1"/>
  <c r="T174" i="107" a="1"/>
  <c r="T174" i="107" s="1"/>
  <c r="S174" i="107" a="1"/>
  <c r="S174" i="107" s="1"/>
  <c r="R174" i="107" a="1"/>
  <c r="R174" i="107" s="1"/>
  <c r="Q174" i="107" a="1"/>
  <c r="Q174" i="107" s="1"/>
  <c r="P174" i="107" a="1"/>
  <c r="P174" i="107" s="1"/>
  <c r="O174" i="107" a="1"/>
  <c r="O174" i="107" s="1"/>
  <c r="N174" i="107" a="1"/>
  <c r="N174" i="107" s="1"/>
  <c r="M174" i="107" a="1"/>
  <c r="M174" i="107" s="1"/>
  <c r="L174" i="107" a="1"/>
  <c r="L174" i="107" s="1"/>
  <c r="K174" i="107" a="1"/>
  <c r="K174" i="107" s="1"/>
  <c r="J174" i="107" a="1"/>
  <c r="J174" i="107" s="1"/>
  <c r="I174" i="107" a="1"/>
  <c r="I174" i="107" s="1"/>
  <c r="H174" i="107" a="1"/>
  <c r="H174" i="107" s="1"/>
  <c r="G174" i="107" a="1"/>
  <c r="G174" i="107" s="1"/>
  <c r="F174" i="107" a="1"/>
  <c r="F174" i="107" s="1"/>
  <c r="E174" i="107" a="1"/>
  <c r="E174" i="107" s="1"/>
  <c r="D174" i="107" a="1"/>
  <c r="D174" i="107" s="1"/>
  <c r="AH173" i="107" a="1"/>
  <c r="AH173" i="107" s="1"/>
  <c r="AG173" i="107" a="1"/>
  <c r="AG173" i="107" s="1"/>
  <c r="AF173" i="107" a="1"/>
  <c r="AF173" i="107" s="1"/>
  <c r="AE173" i="107" a="1"/>
  <c r="AE173" i="107" s="1"/>
  <c r="AD173" i="107" a="1"/>
  <c r="AD173" i="107" s="1"/>
  <c r="AC173" i="107" a="1"/>
  <c r="AC173" i="107" s="1"/>
  <c r="AB173" i="107" a="1"/>
  <c r="AB173" i="107" s="1"/>
  <c r="AA173" i="107" a="1"/>
  <c r="AA173" i="107" s="1"/>
  <c r="Z173" i="107" a="1"/>
  <c r="Z173" i="107" s="1"/>
  <c r="Y173" i="107" a="1"/>
  <c r="Y173" i="107" s="1"/>
  <c r="X173" i="107" a="1"/>
  <c r="X173" i="107" s="1"/>
  <c r="W173" i="107" a="1"/>
  <c r="W173" i="107" s="1"/>
  <c r="V173" i="107" a="1"/>
  <c r="V173" i="107" s="1"/>
  <c r="U173" i="107" a="1"/>
  <c r="U173" i="107" s="1"/>
  <c r="T173" i="107" a="1"/>
  <c r="T173" i="107" s="1"/>
  <c r="S173" i="107" a="1"/>
  <c r="S173" i="107" s="1"/>
  <c r="R173" i="107" a="1"/>
  <c r="R173" i="107" s="1"/>
  <c r="Q173" i="107" a="1"/>
  <c r="Q173" i="107" s="1"/>
  <c r="P173" i="107" a="1"/>
  <c r="P173" i="107" s="1"/>
  <c r="O173" i="107" a="1"/>
  <c r="O173" i="107" s="1"/>
  <c r="N173" i="107" a="1"/>
  <c r="N173" i="107" s="1"/>
  <c r="M173" i="107" a="1"/>
  <c r="M173" i="107" s="1"/>
  <c r="L173" i="107" a="1"/>
  <c r="L173" i="107" s="1"/>
  <c r="K173" i="107" a="1"/>
  <c r="K173" i="107" s="1"/>
  <c r="J173" i="107" a="1"/>
  <c r="J173" i="107" s="1"/>
  <c r="I173" i="107" a="1"/>
  <c r="I173" i="107" s="1"/>
  <c r="H173" i="107" a="1"/>
  <c r="H173" i="107" s="1"/>
  <c r="G173" i="107" a="1"/>
  <c r="G173" i="107" s="1"/>
  <c r="F173" i="107" a="1"/>
  <c r="F173" i="107" s="1"/>
  <c r="E173" i="107" a="1"/>
  <c r="E173" i="107" s="1"/>
  <c r="D173" i="107" a="1"/>
  <c r="D173" i="107" s="1"/>
  <c r="AH172" i="107" a="1"/>
  <c r="AH172" i="107" s="1"/>
  <c r="AG172" i="107" a="1"/>
  <c r="AG172" i="107" s="1"/>
  <c r="AF172" i="107" a="1"/>
  <c r="AF172" i="107" s="1"/>
  <c r="AE172" i="107" a="1"/>
  <c r="AE172" i="107" s="1"/>
  <c r="AD172" i="107" a="1"/>
  <c r="AD172" i="107" s="1"/>
  <c r="AC172" i="107" a="1"/>
  <c r="AC172" i="107" s="1"/>
  <c r="AB172" i="107" a="1"/>
  <c r="AB172" i="107" s="1"/>
  <c r="AA172" i="107" a="1"/>
  <c r="AA172" i="107" s="1"/>
  <c r="Z172" i="107" a="1"/>
  <c r="Z172" i="107" s="1"/>
  <c r="Y172" i="107" a="1"/>
  <c r="Y172" i="107" s="1"/>
  <c r="X172" i="107" a="1"/>
  <c r="X172" i="107" s="1"/>
  <c r="W172" i="107" a="1"/>
  <c r="W172" i="107" s="1"/>
  <c r="V172" i="107" a="1"/>
  <c r="V172" i="107" s="1"/>
  <c r="U172" i="107" a="1"/>
  <c r="U172" i="107" s="1"/>
  <c r="T172" i="107" a="1"/>
  <c r="T172" i="107" s="1"/>
  <c r="S172" i="107" a="1"/>
  <c r="S172" i="107" s="1"/>
  <c r="R172" i="107" a="1"/>
  <c r="R172" i="107" s="1"/>
  <c r="Q172" i="107" a="1"/>
  <c r="Q172" i="107" s="1"/>
  <c r="P172" i="107" a="1"/>
  <c r="P172" i="107" s="1"/>
  <c r="O172" i="107" a="1"/>
  <c r="O172" i="107" s="1"/>
  <c r="N172" i="107" a="1"/>
  <c r="N172" i="107" s="1"/>
  <c r="M172" i="107" a="1"/>
  <c r="M172" i="107" s="1"/>
  <c r="L172" i="107" a="1"/>
  <c r="L172" i="107" s="1"/>
  <c r="K172" i="107" a="1"/>
  <c r="K172" i="107" s="1"/>
  <c r="J172" i="107" a="1"/>
  <c r="J172" i="107" s="1"/>
  <c r="I172" i="107" a="1"/>
  <c r="I172" i="107" s="1"/>
  <c r="H172" i="107" a="1"/>
  <c r="H172" i="107" s="1"/>
  <c r="G172" i="107" a="1"/>
  <c r="G172" i="107" s="1"/>
  <c r="F172" i="107" a="1"/>
  <c r="F172" i="107" s="1"/>
  <c r="E172" i="107" a="1"/>
  <c r="E172" i="107" s="1"/>
  <c r="D172" i="107" a="1"/>
  <c r="D172" i="107" s="1"/>
  <c r="AH171" i="107" a="1"/>
  <c r="AH171" i="107" s="1"/>
  <c r="AG171" i="107" a="1"/>
  <c r="AG171" i="107" s="1"/>
  <c r="AF171" i="107" a="1"/>
  <c r="AF171" i="107" s="1"/>
  <c r="AE171" i="107" a="1"/>
  <c r="AE171" i="107" s="1"/>
  <c r="AD171" i="107" a="1"/>
  <c r="AD171" i="107" s="1"/>
  <c r="AC171" i="107" a="1"/>
  <c r="AC171" i="107" s="1"/>
  <c r="AB171" i="107" a="1"/>
  <c r="AB171" i="107" s="1"/>
  <c r="AA171" i="107" a="1"/>
  <c r="AA171" i="107" s="1"/>
  <c r="Z171" i="107" a="1"/>
  <c r="Z171" i="107" s="1"/>
  <c r="Y171" i="107" a="1"/>
  <c r="Y171" i="107" s="1"/>
  <c r="X171" i="107" a="1"/>
  <c r="X171" i="107" s="1"/>
  <c r="W171" i="107" a="1"/>
  <c r="W171" i="107" s="1"/>
  <c r="V171" i="107" a="1"/>
  <c r="V171" i="107" s="1"/>
  <c r="U171" i="107" a="1"/>
  <c r="U171" i="107" s="1"/>
  <c r="T171" i="107" a="1"/>
  <c r="T171" i="107" s="1"/>
  <c r="S171" i="107" a="1"/>
  <c r="S171" i="107" s="1"/>
  <c r="R171" i="107" a="1"/>
  <c r="R171" i="107" s="1"/>
  <c r="Q171" i="107" a="1"/>
  <c r="Q171" i="107" s="1"/>
  <c r="P171" i="107" a="1"/>
  <c r="P171" i="107" s="1"/>
  <c r="O171" i="107" a="1"/>
  <c r="O171" i="107" s="1"/>
  <c r="N171" i="107" a="1"/>
  <c r="N171" i="107" s="1"/>
  <c r="M171" i="107" a="1"/>
  <c r="M171" i="107" s="1"/>
  <c r="L171" i="107" a="1"/>
  <c r="L171" i="107" s="1"/>
  <c r="K171" i="107" a="1"/>
  <c r="K171" i="107" s="1"/>
  <c r="J171" i="107" a="1"/>
  <c r="J171" i="107" s="1"/>
  <c r="I171" i="107" a="1"/>
  <c r="I171" i="107" s="1"/>
  <c r="H171" i="107" a="1"/>
  <c r="H171" i="107" s="1"/>
  <c r="G171" i="107" a="1"/>
  <c r="G171" i="107" s="1"/>
  <c r="F171" i="107" a="1"/>
  <c r="F171" i="107" s="1"/>
  <c r="E171" i="107" a="1"/>
  <c r="E171" i="107" s="1"/>
  <c r="D171" i="107" a="1"/>
  <c r="D171" i="107" s="1"/>
  <c r="AH170" i="107" a="1"/>
  <c r="AH170" i="107" s="1"/>
  <c r="AG170" i="107" a="1"/>
  <c r="AG170" i="107" s="1"/>
  <c r="AF170" i="107" a="1"/>
  <c r="AF170" i="107" s="1"/>
  <c r="AE170" i="107" a="1"/>
  <c r="AE170" i="107" s="1"/>
  <c r="AD170" i="107" a="1"/>
  <c r="AD170" i="107" s="1"/>
  <c r="AC170" i="107" a="1"/>
  <c r="AC170" i="107" s="1"/>
  <c r="AB170" i="107" a="1"/>
  <c r="AB170" i="107" s="1"/>
  <c r="AA170" i="107" a="1"/>
  <c r="AA170" i="107" s="1"/>
  <c r="Z170" i="107" a="1"/>
  <c r="Z170" i="107" s="1"/>
  <c r="Y170" i="107" a="1"/>
  <c r="Y170" i="107" s="1"/>
  <c r="X170" i="107" a="1"/>
  <c r="X170" i="107" s="1"/>
  <c r="W170" i="107" a="1"/>
  <c r="W170" i="107" s="1"/>
  <c r="V170" i="107" a="1"/>
  <c r="V170" i="107" s="1"/>
  <c r="U170" i="107" a="1"/>
  <c r="U170" i="107" s="1"/>
  <c r="T170" i="107" a="1"/>
  <c r="T170" i="107" s="1"/>
  <c r="S170" i="107" a="1"/>
  <c r="S170" i="107" s="1"/>
  <c r="R170" i="107" a="1"/>
  <c r="R170" i="107" s="1"/>
  <c r="Q170" i="107" a="1"/>
  <c r="Q170" i="107" s="1"/>
  <c r="P170" i="107" a="1"/>
  <c r="P170" i="107" s="1"/>
  <c r="O170" i="107" a="1"/>
  <c r="O170" i="107" s="1"/>
  <c r="N170" i="107" a="1"/>
  <c r="N170" i="107" s="1"/>
  <c r="M170" i="107" a="1"/>
  <c r="M170" i="107" s="1"/>
  <c r="L170" i="107" a="1"/>
  <c r="L170" i="107" s="1"/>
  <c r="K170" i="107" a="1"/>
  <c r="K170" i="107" s="1"/>
  <c r="J170" i="107" a="1"/>
  <c r="J170" i="107" s="1"/>
  <c r="I170" i="107" a="1"/>
  <c r="I170" i="107" s="1"/>
  <c r="H170" i="107" a="1"/>
  <c r="H170" i="107" s="1"/>
  <c r="G170" i="107" a="1"/>
  <c r="G170" i="107" s="1"/>
  <c r="F170" i="107" a="1"/>
  <c r="F170" i="107" s="1"/>
  <c r="E170" i="107" a="1"/>
  <c r="E170" i="107" s="1"/>
  <c r="D170" i="107" a="1"/>
  <c r="D170" i="107" s="1"/>
  <c r="AH169" i="107" a="1"/>
  <c r="AH169" i="107" s="1"/>
  <c r="AG169" i="107" a="1"/>
  <c r="AG169" i="107" s="1"/>
  <c r="AF169" i="107" a="1"/>
  <c r="AF169" i="107" s="1"/>
  <c r="AE169" i="107" a="1"/>
  <c r="AE169" i="107" s="1"/>
  <c r="AD169" i="107" a="1"/>
  <c r="AD169" i="107" s="1"/>
  <c r="AC169" i="107" a="1"/>
  <c r="AC169" i="107" s="1"/>
  <c r="AB169" i="107" a="1"/>
  <c r="AB169" i="107" s="1"/>
  <c r="AA169" i="107" a="1"/>
  <c r="AA169" i="107" s="1"/>
  <c r="Z169" i="107" a="1"/>
  <c r="Z169" i="107" s="1"/>
  <c r="Y169" i="107" a="1"/>
  <c r="Y169" i="107" s="1"/>
  <c r="X169" i="107" a="1"/>
  <c r="X169" i="107" s="1"/>
  <c r="W169" i="107" a="1"/>
  <c r="W169" i="107" s="1"/>
  <c r="V169" i="107" a="1"/>
  <c r="V169" i="107" s="1"/>
  <c r="U169" i="107" a="1"/>
  <c r="U169" i="107" s="1"/>
  <c r="T169" i="107" a="1"/>
  <c r="T169" i="107" s="1"/>
  <c r="S169" i="107" a="1"/>
  <c r="S169" i="107" s="1"/>
  <c r="R169" i="107" a="1"/>
  <c r="R169" i="107" s="1"/>
  <c r="Q169" i="107" a="1"/>
  <c r="Q169" i="107" s="1"/>
  <c r="P169" i="107" a="1"/>
  <c r="P169" i="107" s="1"/>
  <c r="O169" i="107" a="1"/>
  <c r="O169" i="107" s="1"/>
  <c r="N169" i="107" a="1"/>
  <c r="N169" i="107" s="1"/>
  <c r="M169" i="107" a="1"/>
  <c r="M169" i="107" s="1"/>
  <c r="L169" i="107" a="1"/>
  <c r="L169" i="107" s="1"/>
  <c r="K169" i="107" a="1"/>
  <c r="K169" i="107" s="1"/>
  <c r="J169" i="107" a="1"/>
  <c r="J169" i="107" s="1"/>
  <c r="I169" i="107" a="1"/>
  <c r="I169" i="107" s="1"/>
  <c r="H169" i="107" a="1"/>
  <c r="H169" i="107" s="1"/>
  <c r="G169" i="107" a="1"/>
  <c r="G169" i="107" s="1"/>
  <c r="F169" i="107" a="1"/>
  <c r="F169" i="107" s="1"/>
  <c r="E169" i="107" a="1"/>
  <c r="E169" i="107" s="1"/>
  <c r="D169" i="107" a="1"/>
  <c r="D169" i="107" s="1"/>
  <c r="AH168" i="107" a="1"/>
  <c r="AH168" i="107" s="1"/>
  <c r="AG168" i="107" a="1"/>
  <c r="AG168" i="107" s="1"/>
  <c r="AF168" i="107" a="1"/>
  <c r="AF168" i="107" s="1"/>
  <c r="AE168" i="107" a="1"/>
  <c r="AE168" i="107" s="1"/>
  <c r="AD168" i="107" a="1"/>
  <c r="AD168" i="107" s="1"/>
  <c r="AC168" i="107" a="1"/>
  <c r="AC168" i="107" s="1"/>
  <c r="AB168" i="107" a="1"/>
  <c r="AB168" i="107" s="1"/>
  <c r="AA168" i="107" a="1"/>
  <c r="AA168" i="107" s="1"/>
  <c r="Z168" i="107" a="1"/>
  <c r="Z168" i="107" s="1"/>
  <c r="Y168" i="107" a="1"/>
  <c r="Y168" i="107" s="1"/>
  <c r="X168" i="107" a="1"/>
  <c r="X168" i="107" s="1"/>
  <c r="W168" i="107" a="1"/>
  <c r="W168" i="107" s="1"/>
  <c r="V168" i="107" a="1"/>
  <c r="V168" i="107" s="1"/>
  <c r="U168" i="107" a="1"/>
  <c r="U168" i="107" s="1"/>
  <c r="T168" i="107" a="1"/>
  <c r="T168" i="107" s="1"/>
  <c r="S168" i="107" a="1"/>
  <c r="S168" i="107" s="1"/>
  <c r="R168" i="107" a="1"/>
  <c r="R168" i="107" s="1"/>
  <c r="Q168" i="107" a="1"/>
  <c r="Q168" i="107" s="1"/>
  <c r="P168" i="107" a="1"/>
  <c r="P168" i="107" s="1"/>
  <c r="O168" i="107" a="1"/>
  <c r="O168" i="107" s="1"/>
  <c r="N168" i="107" a="1"/>
  <c r="N168" i="107" s="1"/>
  <c r="M168" i="107" a="1"/>
  <c r="M168" i="107" s="1"/>
  <c r="L168" i="107" a="1"/>
  <c r="L168" i="107" s="1"/>
  <c r="K168" i="107" a="1"/>
  <c r="K168" i="107" s="1"/>
  <c r="J168" i="107" a="1"/>
  <c r="J168" i="107" s="1"/>
  <c r="I168" i="107" a="1"/>
  <c r="I168" i="107" s="1"/>
  <c r="H168" i="107" a="1"/>
  <c r="H168" i="107" s="1"/>
  <c r="G168" i="107" a="1"/>
  <c r="G168" i="107" s="1"/>
  <c r="F168" i="107" a="1"/>
  <c r="F168" i="107" s="1"/>
  <c r="E168" i="107" a="1"/>
  <c r="E168" i="107" s="1"/>
  <c r="D168" i="107" a="1"/>
  <c r="D168" i="107" s="1"/>
  <c r="AH167" i="107" a="1"/>
  <c r="AH167" i="107" s="1"/>
  <c r="AG167" i="107" a="1"/>
  <c r="AG167" i="107" s="1"/>
  <c r="AF167" i="107" a="1"/>
  <c r="AF167" i="107" s="1"/>
  <c r="AE167" i="107" a="1"/>
  <c r="AE167" i="107" s="1"/>
  <c r="AD167" i="107" a="1"/>
  <c r="AD167" i="107" s="1"/>
  <c r="AC167" i="107" a="1"/>
  <c r="AC167" i="107" s="1"/>
  <c r="AB167" i="107" a="1"/>
  <c r="AB167" i="107" s="1"/>
  <c r="AA167" i="107" a="1"/>
  <c r="AA167" i="107" s="1"/>
  <c r="Z167" i="107" a="1"/>
  <c r="Z167" i="107" s="1"/>
  <c r="Y167" i="107" a="1"/>
  <c r="Y167" i="107" s="1"/>
  <c r="X167" i="107" a="1"/>
  <c r="X167" i="107" s="1"/>
  <c r="W167" i="107" a="1"/>
  <c r="W167" i="107" s="1"/>
  <c r="V167" i="107" a="1"/>
  <c r="V167" i="107" s="1"/>
  <c r="U167" i="107" a="1"/>
  <c r="U167" i="107" s="1"/>
  <c r="T167" i="107" a="1"/>
  <c r="T167" i="107" s="1"/>
  <c r="S167" i="107" a="1"/>
  <c r="S167" i="107" s="1"/>
  <c r="R167" i="107" a="1"/>
  <c r="R167" i="107" s="1"/>
  <c r="Q167" i="107" a="1"/>
  <c r="Q167" i="107" s="1"/>
  <c r="P167" i="107" a="1"/>
  <c r="P167" i="107" s="1"/>
  <c r="O167" i="107" a="1"/>
  <c r="O167" i="107" s="1"/>
  <c r="N167" i="107" a="1"/>
  <c r="N167" i="107" s="1"/>
  <c r="M167" i="107" a="1"/>
  <c r="M167" i="107" s="1"/>
  <c r="L167" i="107" a="1"/>
  <c r="L167" i="107" s="1"/>
  <c r="K167" i="107" a="1"/>
  <c r="K167" i="107" s="1"/>
  <c r="J167" i="107" a="1"/>
  <c r="J167" i="107" s="1"/>
  <c r="I167" i="107" a="1"/>
  <c r="I167" i="107" s="1"/>
  <c r="H167" i="107" a="1"/>
  <c r="H167" i="107" s="1"/>
  <c r="G167" i="107" a="1"/>
  <c r="G167" i="107" s="1"/>
  <c r="F167" i="107" a="1"/>
  <c r="F167" i="107" s="1"/>
  <c r="E167" i="107" a="1"/>
  <c r="E167" i="107" s="1"/>
  <c r="D167" i="107" a="1"/>
  <c r="D167" i="107" s="1"/>
  <c r="AH166" i="107" a="1"/>
  <c r="AH166" i="107" s="1"/>
  <c r="AG166" i="107" a="1"/>
  <c r="AG166" i="107" s="1"/>
  <c r="AF166" i="107" a="1"/>
  <c r="AF166" i="107" s="1"/>
  <c r="AE166" i="107" a="1"/>
  <c r="AE166" i="107" s="1"/>
  <c r="AD166" i="107" a="1"/>
  <c r="AD166" i="107" s="1"/>
  <c r="AC166" i="107" a="1"/>
  <c r="AC166" i="107" s="1"/>
  <c r="AB166" i="107" a="1"/>
  <c r="AB166" i="107" s="1"/>
  <c r="AA166" i="107" a="1"/>
  <c r="AA166" i="107" s="1"/>
  <c r="Z166" i="107" a="1"/>
  <c r="Z166" i="107" s="1"/>
  <c r="Y166" i="107" a="1"/>
  <c r="Y166" i="107" s="1"/>
  <c r="X166" i="107" a="1"/>
  <c r="X166" i="107" s="1"/>
  <c r="W166" i="107" a="1"/>
  <c r="W166" i="107" s="1"/>
  <c r="V166" i="107" a="1"/>
  <c r="V166" i="107" s="1"/>
  <c r="U166" i="107" a="1"/>
  <c r="U166" i="107" s="1"/>
  <c r="T166" i="107" a="1"/>
  <c r="T166" i="107" s="1"/>
  <c r="S166" i="107" a="1"/>
  <c r="S166" i="107" s="1"/>
  <c r="R166" i="107" a="1"/>
  <c r="R166" i="107" s="1"/>
  <c r="Q166" i="107" a="1"/>
  <c r="Q166" i="107" s="1"/>
  <c r="P166" i="107" a="1"/>
  <c r="P166" i="107" s="1"/>
  <c r="O166" i="107" a="1"/>
  <c r="O166" i="107" s="1"/>
  <c r="N166" i="107" a="1"/>
  <c r="N166" i="107" s="1"/>
  <c r="M166" i="107" a="1"/>
  <c r="M166" i="107" s="1"/>
  <c r="L166" i="107" a="1"/>
  <c r="L166" i="107" s="1"/>
  <c r="K166" i="107" a="1"/>
  <c r="K166" i="107" s="1"/>
  <c r="J166" i="107" a="1"/>
  <c r="J166" i="107" s="1"/>
  <c r="I166" i="107" a="1"/>
  <c r="I166" i="107" s="1"/>
  <c r="H166" i="107" a="1"/>
  <c r="H166" i="107" s="1"/>
  <c r="G166" i="107" a="1"/>
  <c r="G166" i="107" s="1"/>
  <c r="F166" i="107" a="1"/>
  <c r="F166" i="107" s="1"/>
  <c r="E166" i="107" a="1"/>
  <c r="E166" i="107" s="1"/>
  <c r="D166" i="107" a="1"/>
  <c r="D166" i="107" s="1"/>
  <c r="AH165" i="107" a="1"/>
  <c r="AH165" i="107" s="1"/>
  <c r="AG165" i="107" a="1"/>
  <c r="AG165" i="107" s="1"/>
  <c r="AF165" i="107" a="1"/>
  <c r="AF165" i="107" s="1"/>
  <c r="AE165" i="107" a="1"/>
  <c r="AE165" i="107" s="1"/>
  <c r="AD165" i="107" a="1"/>
  <c r="AD165" i="107" s="1"/>
  <c r="AC165" i="107" a="1"/>
  <c r="AC165" i="107" s="1"/>
  <c r="AB165" i="107" a="1"/>
  <c r="AB165" i="107" s="1"/>
  <c r="AA165" i="107" a="1"/>
  <c r="AA165" i="107" s="1"/>
  <c r="Z165" i="107" a="1"/>
  <c r="Z165" i="107" s="1"/>
  <c r="Y165" i="107" a="1"/>
  <c r="Y165" i="107" s="1"/>
  <c r="X165" i="107" a="1"/>
  <c r="X165" i="107" s="1"/>
  <c r="W165" i="107" a="1"/>
  <c r="W165" i="107" s="1"/>
  <c r="V165" i="107" a="1"/>
  <c r="V165" i="107" s="1"/>
  <c r="U165" i="107" a="1"/>
  <c r="U165" i="107" s="1"/>
  <c r="T165" i="107" a="1"/>
  <c r="T165" i="107" s="1"/>
  <c r="S165" i="107" a="1"/>
  <c r="S165" i="107" s="1"/>
  <c r="R165" i="107" a="1"/>
  <c r="R165" i="107" s="1"/>
  <c r="Q165" i="107" a="1"/>
  <c r="Q165" i="107" s="1"/>
  <c r="P165" i="107" a="1"/>
  <c r="P165" i="107" s="1"/>
  <c r="O165" i="107" a="1"/>
  <c r="O165" i="107" s="1"/>
  <c r="N165" i="107" a="1"/>
  <c r="N165" i="107" s="1"/>
  <c r="M165" i="107" a="1"/>
  <c r="M165" i="107" s="1"/>
  <c r="L165" i="107" a="1"/>
  <c r="L165" i="107" s="1"/>
  <c r="K165" i="107" a="1"/>
  <c r="K165" i="107" s="1"/>
  <c r="J165" i="107" a="1"/>
  <c r="J165" i="107" s="1"/>
  <c r="I165" i="107" a="1"/>
  <c r="I165" i="107" s="1"/>
  <c r="H165" i="107" a="1"/>
  <c r="H165" i="107" s="1"/>
  <c r="G165" i="107" a="1"/>
  <c r="G165" i="107" s="1"/>
  <c r="F165" i="107" a="1"/>
  <c r="F165" i="107" s="1"/>
  <c r="E165" i="107" a="1"/>
  <c r="E165" i="107" s="1"/>
  <c r="D165" i="107" a="1"/>
  <c r="D165" i="107" s="1"/>
  <c r="AH164" i="107" a="1"/>
  <c r="AH164" i="107" s="1"/>
  <c r="AG164" i="107" a="1"/>
  <c r="AG164" i="107" s="1"/>
  <c r="AF164" i="107" a="1"/>
  <c r="AF164" i="107" s="1"/>
  <c r="AE164" i="107" a="1"/>
  <c r="AE164" i="107" s="1"/>
  <c r="AD164" i="107" a="1"/>
  <c r="AD164" i="107" s="1"/>
  <c r="AC164" i="107" a="1"/>
  <c r="AC164" i="107" s="1"/>
  <c r="AB164" i="107" a="1"/>
  <c r="AB164" i="107" s="1"/>
  <c r="AA164" i="107" a="1"/>
  <c r="AA164" i="107" s="1"/>
  <c r="Z164" i="107" a="1"/>
  <c r="Z164" i="107" s="1"/>
  <c r="Y164" i="107" a="1"/>
  <c r="Y164" i="107" s="1"/>
  <c r="X164" i="107" a="1"/>
  <c r="X164" i="107" s="1"/>
  <c r="W164" i="107" a="1"/>
  <c r="W164" i="107" s="1"/>
  <c r="V164" i="107" a="1"/>
  <c r="V164" i="107" s="1"/>
  <c r="U164" i="107" a="1"/>
  <c r="U164" i="107" s="1"/>
  <c r="T164" i="107" a="1"/>
  <c r="T164" i="107" s="1"/>
  <c r="S164" i="107" a="1"/>
  <c r="S164" i="107" s="1"/>
  <c r="R164" i="107" a="1"/>
  <c r="R164" i="107" s="1"/>
  <c r="Q164" i="107" a="1"/>
  <c r="Q164" i="107" s="1"/>
  <c r="P164" i="107" a="1"/>
  <c r="P164" i="107" s="1"/>
  <c r="O164" i="107" a="1"/>
  <c r="O164" i="107" s="1"/>
  <c r="N164" i="107" a="1"/>
  <c r="N164" i="107" s="1"/>
  <c r="M164" i="107" a="1"/>
  <c r="M164" i="107" s="1"/>
  <c r="L164" i="107" a="1"/>
  <c r="L164" i="107" s="1"/>
  <c r="K164" i="107" a="1"/>
  <c r="K164" i="107" s="1"/>
  <c r="J164" i="107" a="1"/>
  <c r="J164" i="107" s="1"/>
  <c r="I164" i="107" a="1"/>
  <c r="I164" i="107" s="1"/>
  <c r="H164" i="107" a="1"/>
  <c r="H164" i="107" s="1"/>
  <c r="G164" i="107" a="1"/>
  <c r="G164" i="107" s="1"/>
  <c r="F164" i="107" a="1"/>
  <c r="F164" i="107" s="1"/>
  <c r="E164" i="107" a="1"/>
  <c r="E164" i="107" s="1"/>
  <c r="D164" i="107" a="1"/>
  <c r="D164" i="107" s="1"/>
  <c r="AH163" i="107" a="1"/>
  <c r="AH163" i="107" s="1"/>
  <c r="AG163" i="107" a="1"/>
  <c r="AG163" i="107" s="1"/>
  <c r="AF163" i="107" a="1"/>
  <c r="AF163" i="107" s="1"/>
  <c r="AE163" i="107" a="1"/>
  <c r="AE163" i="107" s="1"/>
  <c r="AD163" i="107" a="1"/>
  <c r="AD163" i="107" s="1"/>
  <c r="AC163" i="107" a="1"/>
  <c r="AC163" i="107" s="1"/>
  <c r="AB163" i="107" a="1"/>
  <c r="AB163" i="107" s="1"/>
  <c r="AA163" i="107" a="1"/>
  <c r="AA163" i="107" s="1"/>
  <c r="Z163" i="107" a="1"/>
  <c r="Z163" i="107" s="1"/>
  <c r="Y163" i="107" a="1"/>
  <c r="Y163" i="107" s="1"/>
  <c r="X163" i="107" a="1"/>
  <c r="X163" i="107" s="1"/>
  <c r="W163" i="107" a="1"/>
  <c r="W163" i="107" s="1"/>
  <c r="V163" i="107" a="1"/>
  <c r="V163" i="107" s="1"/>
  <c r="U163" i="107" a="1"/>
  <c r="U163" i="107" s="1"/>
  <c r="T163" i="107" a="1"/>
  <c r="T163" i="107" s="1"/>
  <c r="S163" i="107" a="1"/>
  <c r="S163" i="107" s="1"/>
  <c r="R163" i="107" a="1"/>
  <c r="R163" i="107" s="1"/>
  <c r="Q163" i="107" a="1"/>
  <c r="Q163" i="107" s="1"/>
  <c r="P163" i="107" a="1"/>
  <c r="P163" i="107" s="1"/>
  <c r="O163" i="107" a="1"/>
  <c r="O163" i="107" s="1"/>
  <c r="N163" i="107" a="1"/>
  <c r="N163" i="107" s="1"/>
  <c r="M163" i="107" a="1"/>
  <c r="M163" i="107" s="1"/>
  <c r="L163" i="107" a="1"/>
  <c r="L163" i="107" s="1"/>
  <c r="K163" i="107" a="1"/>
  <c r="K163" i="107" s="1"/>
  <c r="J163" i="107" a="1"/>
  <c r="J163" i="107" s="1"/>
  <c r="I163" i="107" a="1"/>
  <c r="I163" i="107" s="1"/>
  <c r="H163" i="107" a="1"/>
  <c r="H163" i="107" s="1"/>
  <c r="G163" i="107" a="1"/>
  <c r="G163" i="107" s="1"/>
  <c r="F163" i="107" a="1"/>
  <c r="F163" i="107" s="1"/>
  <c r="E163" i="107" a="1"/>
  <c r="E163" i="107" s="1"/>
  <c r="D163" i="107" a="1"/>
  <c r="D163" i="107" s="1"/>
  <c r="AH162" i="107" a="1"/>
  <c r="AH162" i="107" s="1"/>
  <c r="AG162" i="107" a="1"/>
  <c r="AG162" i="107" s="1"/>
  <c r="AF162" i="107" a="1"/>
  <c r="AF162" i="107" s="1"/>
  <c r="AE162" i="107" a="1"/>
  <c r="AE162" i="107" s="1"/>
  <c r="AD162" i="107" a="1"/>
  <c r="AD162" i="107" s="1"/>
  <c r="AC162" i="107" a="1"/>
  <c r="AC162" i="107" s="1"/>
  <c r="AB162" i="107" a="1"/>
  <c r="AB162" i="107" s="1"/>
  <c r="AA162" i="107" a="1"/>
  <c r="AA162" i="107" s="1"/>
  <c r="Z162" i="107" a="1"/>
  <c r="Z162" i="107" s="1"/>
  <c r="Y162" i="107" a="1"/>
  <c r="Y162" i="107" s="1"/>
  <c r="X162" i="107" a="1"/>
  <c r="X162" i="107" s="1"/>
  <c r="W162" i="107" a="1"/>
  <c r="W162" i="107" s="1"/>
  <c r="V162" i="107" a="1"/>
  <c r="V162" i="107" s="1"/>
  <c r="U162" i="107" a="1"/>
  <c r="U162" i="107" s="1"/>
  <c r="T162" i="107" a="1"/>
  <c r="T162" i="107" s="1"/>
  <c r="S162" i="107" a="1"/>
  <c r="S162" i="107" s="1"/>
  <c r="R162" i="107" a="1"/>
  <c r="R162" i="107" s="1"/>
  <c r="Q162" i="107" a="1"/>
  <c r="Q162" i="107" s="1"/>
  <c r="P162" i="107" a="1"/>
  <c r="P162" i="107" s="1"/>
  <c r="O162" i="107" a="1"/>
  <c r="O162" i="107" s="1"/>
  <c r="N162" i="107" a="1"/>
  <c r="N162" i="107" s="1"/>
  <c r="M162" i="107" a="1"/>
  <c r="M162" i="107" s="1"/>
  <c r="L162" i="107" a="1"/>
  <c r="L162" i="107" s="1"/>
  <c r="K162" i="107" a="1"/>
  <c r="K162" i="107" s="1"/>
  <c r="J162" i="107" a="1"/>
  <c r="J162" i="107" s="1"/>
  <c r="I162" i="107" a="1"/>
  <c r="I162" i="107" s="1"/>
  <c r="H162" i="107" a="1"/>
  <c r="H162" i="107" s="1"/>
  <c r="G162" i="107" a="1"/>
  <c r="G162" i="107" s="1"/>
  <c r="F162" i="107" a="1"/>
  <c r="F162" i="107" s="1"/>
  <c r="E162" i="107" a="1"/>
  <c r="E162" i="107" s="1"/>
  <c r="D162" i="107" a="1"/>
  <c r="D162" i="107" s="1"/>
  <c r="AH161" i="107" a="1"/>
  <c r="AH161" i="107" s="1"/>
  <c r="AG161" i="107" a="1"/>
  <c r="AG161" i="107" s="1"/>
  <c r="AF161" i="107" a="1"/>
  <c r="AF161" i="107" s="1"/>
  <c r="AE161" i="107" a="1"/>
  <c r="AE161" i="107" s="1"/>
  <c r="AD161" i="107" a="1"/>
  <c r="AD161" i="107" s="1"/>
  <c r="AC161" i="107" a="1"/>
  <c r="AC161" i="107" s="1"/>
  <c r="AB161" i="107" a="1"/>
  <c r="AB161" i="107" s="1"/>
  <c r="AA161" i="107" a="1"/>
  <c r="AA161" i="107" s="1"/>
  <c r="Z161" i="107" a="1"/>
  <c r="Z161" i="107" s="1"/>
  <c r="Y161" i="107" a="1"/>
  <c r="Y161" i="107" s="1"/>
  <c r="X161" i="107" a="1"/>
  <c r="X161" i="107" s="1"/>
  <c r="W161" i="107" a="1"/>
  <c r="W161" i="107" s="1"/>
  <c r="V161" i="107" a="1"/>
  <c r="V161" i="107" s="1"/>
  <c r="U161" i="107" a="1"/>
  <c r="U161" i="107" s="1"/>
  <c r="T161" i="107" a="1"/>
  <c r="T161" i="107" s="1"/>
  <c r="S161" i="107" a="1"/>
  <c r="S161" i="107" s="1"/>
  <c r="R161" i="107" a="1"/>
  <c r="R161" i="107" s="1"/>
  <c r="Q161" i="107" a="1"/>
  <c r="Q161" i="107" s="1"/>
  <c r="P161" i="107" a="1"/>
  <c r="P161" i="107" s="1"/>
  <c r="O161" i="107" a="1"/>
  <c r="O161" i="107" s="1"/>
  <c r="N161" i="107" a="1"/>
  <c r="N161" i="107" s="1"/>
  <c r="M161" i="107" a="1"/>
  <c r="M161" i="107" s="1"/>
  <c r="L161" i="107" a="1"/>
  <c r="L161" i="107" s="1"/>
  <c r="K161" i="107" a="1"/>
  <c r="K161" i="107" s="1"/>
  <c r="J161" i="107" a="1"/>
  <c r="J161" i="107" s="1"/>
  <c r="I161" i="107" a="1"/>
  <c r="I161" i="107" s="1"/>
  <c r="H161" i="107" a="1"/>
  <c r="H161" i="107" s="1"/>
  <c r="G161" i="107" a="1"/>
  <c r="G161" i="107" s="1"/>
  <c r="F161" i="107" a="1"/>
  <c r="F161" i="107" s="1"/>
  <c r="E161" i="107" a="1"/>
  <c r="E161" i="107" s="1"/>
  <c r="D161" i="107" a="1"/>
  <c r="D161" i="107" s="1"/>
  <c r="AH160" i="107" a="1"/>
  <c r="AH160" i="107" s="1"/>
  <c r="AG160" i="107" a="1"/>
  <c r="AG160" i="107" s="1"/>
  <c r="AF160" i="107" a="1"/>
  <c r="AF160" i="107" s="1"/>
  <c r="AE160" i="107" a="1"/>
  <c r="AE160" i="107" s="1"/>
  <c r="AD160" i="107" a="1"/>
  <c r="AD160" i="107" s="1"/>
  <c r="AC160" i="107" a="1"/>
  <c r="AC160" i="107" s="1"/>
  <c r="AB160" i="107" a="1"/>
  <c r="AB160" i="107" s="1"/>
  <c r="AA160" i="107" a="1"/>
  <c r="AA160" i="107" s="1"/>
  <c r="Z160" i="107" a="1"/>
  <c r="Z160" i="107" s="1"/>
  <c r="Y160" i="107" a="1"/>
  <c r="Y160" i="107" s="1"/>
  <c r="X160" i="107" a="1"/>
  <c r="X160" i="107" s="1"/>
  <c r="W160" i="107" a="1"/>
  <c r="W160" i="107" s="1"/>
  <c r="V160" i="107" a="1"/>
  <c r="V160" i="107" s="1"/>
  <c r="U160" i="107" a="1"/>
  <c r="U160" i="107" s="1"/>
  <c r="T160" i="107" a="1"/>
  <c r="T160" i="107" s="1"/>
  <c r="S160" i="107" a="1"/>
  <c r="S160" i="107" s="1"/>
  <c r="R160" i="107" a="1"/>
  <c r="R160" i="107" s="1"/>
  <c r="Q160" i="107" a="1"/>
  <c r="Q160" i="107" s="1"/>
  <c r="P160" i="107" a="1"/>
  <c r="P160" i="107" s="1"/>
  <c r="O160" i="107" a="1"/>
  <c r="O160" i="107" s="1"/>
  <c r="N160" i="107" a="1"/>
  <c r="N160" i="107" s="1"/>
  <c r="M160" i="107" a="1"/>
  <c r="M160" i="107" s="1"/>
  <c r="L160" i="107" a="1"/>
  <c r="L160" i="107" s="1"/>
  <c r="K160" i="107" a="1"/>
  <c r="K160" i="107" s="1"/>
  <c r="J160" i="107" a="1"/>
  <c r="J160" i="107" s="1"/>
  <c r="I160" i="107" a="1"/>
  <c r="I160" i="107" s="1"/>
  <c r="H160" i="107" a="1"/>
  <c r="H160" i="107" s="1"/>
  <c r="G160" i="107" a="1"/>
  <c r="G160" i="107" s="1"/>
  <c r="F160" i="107" a="1"/>
  <c r="F160" i="107" s="1"/>
  <c r="E160" i="107" a="1"/>
  <c r="E160" i="107" s="1"/>
  <c r="D160" i="107" a="1"/>
  <c r="D160" i="107" s="1"/>
  <c r="AH159" i="107" a="1"/>
  <c r="AH159" i="107" s="1"/>
  <c r="AG159" i="107" a="1"/>
  <c r="AG159" i="107" s="1"/>
  <c r="AF159" i="107" a="1"/>
  <c r="AF159" i="107" s="1"/>
  <c r="AE159" i="107" a="1"/>
  <c r="AE159" i="107" s="1"/>
  <c r="AD159" i="107" a="1"/>
  <c r="AD159" i="107" s="1"/>
  <c r="AC159" i="107" a="1"/>
  <c r="AC159" i="107" s="1"/>
  <c r="AB159" i="107" a="1"/>
  <c r="AB159" i="107" s="1"/>
  <c r="AA159" i="107" a="1"/>
  <c r="AA159" i="107" s="1"/>
  <c r="Z159" i="107" a="1"/>
  <c r="Z159" i="107" s="1"/>
  <c r="Y159" i="107" a="1"/>
  <c r="Y159" i="107" s="1"/>
  <c r="X159" i="107" a="1"/>
  <c r="X159" i="107" s="1"/>
  <c r="W159" i="107" a="1"/>
  <c r="W159" i="107" s="1"/>
  <c r="V159" i="107" a="1"/>
  <c r="V159" i="107" s="1"/>
  <c r="U159" i="107" a="1"/>
  <c r="U159" i="107" s="1"/>
  <c r="T159" i="107" a="1"/>
  <c r="T159" i="107" s="1"/>
  <c r="S159" i="107" a="1"/>
  <c r="S159" i="107" s="1"/>
  <c r="R159" i="107" a="1"/>
  <c r="R159" i="107" s="1"/>
  <c r="Q159" i="107" a="1"/>
  <c r="Q159" i="107" s="1"/>
  <c r="P159" i="107" a="1"/>
  <c r="P159" i="107" s="1"/>
  <c r="O159" i="107" a="1"/>
  <c r="O159" i="107" s="1"/>
  <c r="N159" i="107" a="1"/>
  <c r="N159" i="107" s="1"/>
  <c r="M159" i="107" a="1"/>
  <c r="M159" i="107" s="1"/>
  <c r="L159" i="107" a="1"/>
  <c r="L159" i="107" s="1"/>
  <c r="K159" i="107" a="1"/>
  <c r="K159" i="107" s="1"/>
  <c r="J159" i="107" a="1"/>
  <c r="J159" i="107" s="1"/>
  <c r="I159" i="107" a="1"/>
  <c r="I159" i="107" s="1"/>
  <c r="H159" i="107" a="1"/>
  <c r="H159" i="107" s="1"/>
  <c r="G159" i="107" a="1"/>
  <c r="G159" i="107" s="1"/>
  <c r="F159" i="107" a="1"/>
  <c r="F159" i="107" s="1"/>
  <c r="E159" i="107" a="1"/>
  <c r="E159" i="107" s="1"/>
  <c r="D159" i="107" a="1"/>
  <c r="D159" i="107" s="1"/>
  <c r="AH158" i="107" a="1"/>
  <c r="AH158" i="107" s="1"/>
  <c r="AG158" i="107" a="1"/>
  <c r="AG158" i="107" s="1"/>
  <c r="AF158" i="107" a="1"/>
  <c r="AF158" i="107" s="1"/>
  <c r="AE158" i="107" a="1"/>
  <c r="AE158" i="107" s="1"/>
  <c r="AD158" i="107" a="1"/>
  <c r="AD158" i="107" s="1"/>
  <c r="AC158" i="107" a="1"/>
  <c r="AC158" i="107" s="1"/>
  <c r="AB158" i="107" a="1"/>
  <c r="AB158" i="107" s="1"/>
  <c r="AA158" i="107" a="1"/>
  <c r="AA158" i="107" s="1"/>
  <c r="Z158" i="107" a="1"/>
  <c r="Z158" i="107" s="1"/>
  <c r="Y158" i="107" a="1"/>
  <c r="Y158" i="107" s="1"/>
  <c r="X158" i="107" a="1"/>
  <c r="X158" i="107" s="1"/>
  <c r="W158" i="107" a="1"/>
  <c r="W158" i="107" s="1"/>
  <c r="V158" i="107" a="1"/>
  <c r="V158" i="107" s="1"/>
  <c r="U158" i="107" a="1"/>
  <c r="U158" i="107" s="1"/>
  <c r="T158" i="107" a="1"/>
  <c r="T158" i="107" s="1"/>
  <c r="S158" i="107" a="1"/>
  <c r="S158" i="107" s="1"/>
  <c r="R158" i="107" a="1"/>
  <c r="R158" i="107" s="1"/>
  <c r="Q158" i="107" a="1"/>
  <c r="Q158" i="107" s="1"/>
  <c r="P158" i="107" a="1"/>
  <c r="P158" i="107" s="1"/>
  <c r="O158" i="107" a="1"/>
  <c r="O158" i="107" s="1"/>
  <c r="N158" i="107" a="1"/>
  <c r="N158" i="107" s="1"/>
  <c r="M158" i="107" a="1"/>
  <c r="M158" i="107" s="1"/>
  <c r="L158" i="107" a="1"/>
  <c r="L158" i="107" s="1"/>
  <c r="K158" i="107" a="1"/>
  <c r="K158" i="107" s="1"/>
  <c r="J158" i="107" a="1"/>
  <c r="J158" i="107" s="1"/>
  <c r="I158" i="107" a="1"/>
  <c r="I158" i="107" s="1"/>
  <c r="H158" i="107" a="1"/>
  <c r="H158" i="107" s="1"/>
  <c r="G158" i="107" a="1"/>
  <c r="G158" i="107" s="1"/>
  <c r="F158" i="107" a="1"/>
  <c r="F158" i="107" s="1"/>
  <c r="E158" i="107" a="1"/>
  <c r="E158" i="107" s="1"/>
  <c r="D158" i="107" a="1"/>
  <c r="D158" i="107" s="1"/>
  <c r="AH157" i="107" a="1"/>
  <c r="AH157" i="107" s="1"/>
  <c r="AG157" i="107" a="1"/>
  <c r="AG157" i="107" s="1"/>
  <c r="AF157" i="107" a="1"/>
  <c r="AF157" i="107" s="1"/>
  <c r="AE157" i="107" a="1"/>
  <c r="AE157" i="107" s="1"/>
  <c r="AD157" i="107" a="1"/>
  <c r="AD157" i="107" s="1"/>
  <c r="AC157" i="107" a="1"/>
  <c r="AC157" i="107" s="1"/>
  <c r="AB157" i="107" a="1"/>
  <c r="AB157" i="107" s="1"/>
  <c r="AA157" i="107" a="1"/>
  <c r="AA157" i="107" s="1"/>
  <c r="Z157" i="107" a="1"/>
  <c r="Z157" i="107" s="1"/>
  <c r="Y157" i="107" a="1"/>
  <c r="Y157" i="107" s="1"/>
  <c r="X157" i="107" a="1"/>
  <c r="X157" i="107" s="1"/>
  <c r="W157" i="107" a="1"/>
  <c r="W157" i="107" s="1"/>
  <c r="V157" i="107" a="1"/>
  <c r="V157" i="107" s="1"/>
  <c r="U157" i="107" a="1"/>
  <c r="U157" i="107" s="1"/>
  <c r="T157" i="107" a="1"/>
  <c r="T157" i="107" s="1"/>
  <c r="S157" i="107" a="1"/>
  <c r="S157" i="107" s="1"/>
  <c r="R157" i="107" a="1"/>
  <c r="R157" i="107" s="1"/>
  <c r="Q157" i="107" a="1"/>
  <c r="Q157" i="107" s="1"/>
  <c r="P157" i="107" a="1"/>
  <c r="P157" i="107" s="1"/>
  <c r="O157" i="107" a="1"/>
  <c r="O157" i="107" s="1"/>
  <c r="N157" i="107" a="1"/>
  <c r="N157" i="107" s="1"/>
  <c r="M157" i="107" a="1"/>
  <c r="M157" i="107" s="1"/>
  <c r="L157" i="107" a="1"/>
  <c r="L157" i="107" s="1"/>
  <c r="K157" i="107" a="1"/>
  <c r="K157" i="107" s="1"/>
  <c r="J157" i="107" a="1"/>
  <c r="J157" i="107" s="1"/>
  <c r="I157" i="107" a="1"/>
  <c r="I157" i="107" s="1"/>
  <c r="H157" i="107" a="1"/>
  <c r="H157" i="107" s="1"/>
  <c r="G157" i="107" a="1"/>
  <c r="G157" i="107" s="1"/>
  <c r="F157" i="107" a="1"/>
  <c r="F157" i="107" s="1"/>
  <c r="E157" i="107" a="1"/>
  <c r="E157" i="107" s="1"/>
  <c r="D157" i="107" a="1"/>
  <c r="D157" i="107" s="1"/>
  <c r="AH156" i="107" a="1"/>
  <c r="AH156" i="107" s="1"/>
  <c r="AG156" i="107" a="1"/>
  <c r="AG156" i="107" s="1"/>
  <c r="AF156" i="107" a="1"/>
  <c r="AF156" i="107" s="1"/>
  <c r="AE156" i="107" a="1"/>
  <c r="AE156" i="107" s="1"/>
  <c r="AD156" i="107" a="1"/>
  <c r="AD156" i="107" s="1"/>
  <c r="AC156" i="107" a="1"/>
  <c r="AC156" i="107" s="1"/>
  <c r="AB156" i="107" a="1"/>
  <c r="AB156" i="107" s="1"/>
  <c r="AA156" i="107" a="1"/>
  <c r="AA156" i="107" s="1"/>
  <c r="Z156" i="107" a="1"/>
  <c r="Z156" i="107" s="1"/>
  <c r="Y156" i="107" a="1"/>
  <c r="Y156" i="107" s="1"/>
  <c r="X156" i="107" a="1"/>
  <c r="X156" i="107" s="1"/>
  <c r="W156" i="107" a="1"/>
  <c r="W156" i="107" s="1"/>
  <c r="V156" i="107" a="1"/>
  <c r="V156" i="107" s="1"/>
  <c r="U156" i="107" a="1"/>
  <c r="U156" i="107" s="1"/>
  <c r="T156" i="107" a="1"/>
  <c r="T156" i="107" s="1"/>
  <c r="S156" i="107" a="1"/>
  <c r="S156" i="107" s="1"/>
  <c r="R156" i="107" a="1"/>
  <c r="R156" i="107" s="1"/>
  <c r="Q156" i="107" a="1"/>
  <c r="Q156" i="107" s="1"/>
  <c r="P156" i="107" a="1"/>
  <c r="P156" i="107" s="1"/>
  <c r="O156" i="107" a="1"/>
  <c r="O156" i="107" s="1"/>
  <c r="N156" i="107" a="1"/>
  <c r="N156" i="107" s="1"/>
  <c r="M156" i="107" a="1"/>
  <c r="M156" i="107" s="1"/>
  <c r="L156" i="107" a="1"/>
  <c r="L156" i="107" s="1"/>
  <c r="K156" i="107" a="1"/>
  <c r="K156" i="107" s="1"/>
  <c r="J156" i="107" a="1"/>
  <c r="J156" i="107" s="1"/>
  <c r="I156" i="107" a="1"/>
  <c r="I156" i="107" s="1"/>
  <c r="H156" i="107" a="1"/>
  <c r="H156" i="107" s="1"/>
  <c r="G156" i="107" a="1"/>
  <c r="G156" i="107" s="1"/>
  <c r="F156" i="107" a="1"/>
  <c r="F156" i="107" s="1"/>
  <c r="E156" i="107" a="1"/>
  <c r="E156" i="107" s="1"/>
  <c r="D156" i="107" a="1"/>
  <c r="D156" i="107" s="1"/>
  <c r="AH155" i="107" a="1"/>
  <c r="AH155" i="107" s="1"/>
  <c r="AG155" i="107" a="1"/>
  <c r="AG155" i="107" s="1"/>
  <c r="AF155" i="107" a="1"/>
  <c r="AF155" i="107" s="1"/>
  <c r="AE155" i="107" a="1"/>
  <c r="AE155" i="107" s="1"/>
  <c r="AD155" i="107" a="1"/>
  <c r="AD155" i="107" s="1"/>
  <c r="AC155" i="107" a="1"/>
  <c r="AC155" i="107" s="1"/>
  <c r="AB155" i="107" a="1"/>
  <c r="AB155" i="107" s="1"/>
  <c r="AA155" i="107" a="1"/>
  <c r="AA155" i="107" s="1"/>
  <c r="Z155" i="107" a="1"/>
  <c r="Z155" i="107" s="1"/>
  <c r="Y155" i="107" a="1"/>
  <c r="Y155" i="107" s="1"/>
  <c r="X155" i="107" a="1"/>
  <c r="X155" i="107" s="1"/>
  <c r="W155" i="107" a="1"/>
  <c r="W155" i="107" s="1"/>
  <c r="V155" i="107" a="1"/>
  <c r="V155" i="107" s="1"/>
  <c r="U155" i="107" a="1"/>
  <c r="U155" i="107" s="1"/>
  <c r="T155" i="107" a="1"/>
  <c r="T155" i="107" s="1"/>
  <c r="S155" i="107" a="1"/>
  <c r="S155" i="107" s="1"/>
  <c r="R155" i="107" a="1"/>
  <c r="R155" i="107" s="1"/>
  <c r="Q155" i="107" a="1"/>
  <c r="Q155" i="107" s="1"/>
  <c r="P155" i="107" a="1"/>
  <c r="P155" i="107" s="1"/>
  <c r="O155" i="107" a="1"/>
  <c r="O155" i="107" s="1"/>
  <c r="N155" i="107" a="1"/>
  <c r="N155" i="107" s="1"/>
  <c r="M155" i="107" a="1"/>
  <c r="M155" i="107" s="1"/>
  <c r="L155" i="107" a="1"/>
  <c r="L155" i="107" s="1"/>
  <c r="K155" i="107" a="1"/>
  <c r="K155" i="107" s="1"/>
  <c r="J155" i="107" a="1"/>
  <c r="J155" i="107" s="1"/>
  <c r="I155" i="107" a="1"/>
  <c r="I155" i="107" s="1"/>
  <c r="H155" i="107" a="1"/>
  <c r="H155" i="107" s="1"/>
  <c r="G155" i="107" a="1"/>
  <c r="G155" i="107" s="1"/>
  <c r="F155" i="107" a="1"/>
  <c r="F155" i="107" s="1"/>
  <c r="E155" i="107" a="1"/>
  <c r="E155" i="107" s="1"/>
  <c r="D155" i="107" a="1"/>
  <c r="D155" i="107" s="1"/>
  <c r="AH154" i="107" a="1"/>
  <c r="AH154" i="107" s="1"/>
  <c r="AG154" i="107" a="1"/>
  <c r="AG154" i="107" s="1"/>
  <c r="AF154" i="107" a="1"/>
  <c r="AF154" i="107" s="1"/>
  <c r="AE154" i="107" a="1"/>
  <c r="AE154" i="107" s="1"/>
  <c r="AD154" i="107" a="1"/>
  <c r="AD154" i="107" s="1"/>
  <c r="AC154" i="107" a="1"/>
  <c r="AC154" i="107" s="1"/>
  <c r="AB154" i="107" a="1"/>
  <c r="AB154" i="107" s="1"/>
  <c r="AA154" i="107" a="1"/>
  <c r="AA154" i="107" s="1"/>
  <c r="Z154" i="107" a="1"/>
  <c r="Z154" i="107" s="1"/>
  <c r="Y154" i="107" a="1"/>
  <c r="Y154" i="107" s="1"/>
  <c r="X154" i="107" a="1"/>
  <c r="X154" i="107" s="1"/>
  <c r="W154" i="107" a="1"/>
  <c r="W154" i="107" s="1"/>
  <c r="V154" i="107" a="1"/>
  <c r="V154" i="107" s="1"/>
  <c r="U154" i="107" a="1"/>
  <c r="U154" i="107" s="1"/>
  <c r="T154" i="107" a="1"/>
  <c r="T154" i="107" s="1"/>
  <c r="S154" i="107" a="1"/>
  <c r="S154" i="107" s="1"/>
  <c r="R154" i="107" a="1"/>
  <c r="R154" i="107" s="1"/>
  <c r="Q154" i="107" a="1"/>
  <c r="Q154" i="107" s="1"/>
  <c r="P154" i="107" a="1"/>
  <c r="P154" i="107" s="1"/>
  <c r="O154" i="107" a="1"/>
  <c r="O154" i="107" s="1"/>
  <c r="N154" i="107" a="1"/>
  <c r="N154" i="107" s="1"/>
  <c r="M154" i="107" a="1"/>
  <c r="M154" i="107" s="1"/>
  <c r="L154" i="107" a="1"/>
  <c r="L154" i="107" s="1"/>
  <c r="K154" i="107" a="1"/>
  <c r="K154" i="107" s="1"/>
  <c r="J154" i="107" a="1"/>
  <c r="J154" i="107" s="1"/>
  <c r="I154" i="107" a="1"/>
  <c r="I154" i="107" s="1"/>
  <c r="H154" i="107" a="1"/>
  <c r="H154" i="107" s="1"/>
  <c r="G154" i="107" a="1"/>
  <c r="G154" i="107" s="1"/>
  <c r="F154" i="107" a="1"/>
  <c r="F154" i="107" s="1"/>
  <c r="E154" i="107" a="1"/>
  <c r="E154" i="107" s="1"/>
  <c r="D154" i="107" a="1"/>
  <c r="D154" i="107" s="1"/>
  <c r="AH153" i="107" a="1"/>
  <c r="AH153" i="107" s="1"/>
  <c r="AG153" i="107" a="1"/>
  <c r="AG153" i="107" s="1"/>
  <c r="AF153" i="107" a="1"/>
  <c r="AF153" i="107" s="1"/>
  <c r="AE153" i="107" a="1"/>
  <c r="AE153" i="107" s="1"/>
  <c r="AD153" i="107" a="1"/>
  <c r="AD153" i="107" s="1"/>
  <c r="AC153" i="107" a="1"/>
  <c r="AC153" i="107" s="1"/>
  <c r="AB153" i="107" a="1"/>
  <c r="AB153" i="107" s="1"/>
  <c r="AA153" i="107" a="1"/>
  <c r="AA153" i="107" s="1"/>
  <c r="Z153" i="107" a="1"/>
  <c r="Z153" i="107" s="1"/>
  <c r="Y153" i="107" a="1"/>
  <c r="Y153" i="107" s="1"/>
  <c r="X153" i="107" a="1"/>
  <c r="X153" i="107" s="1"/>
  <c r="W153" i="107" a="1"/>
  <c r="W153" i="107" s="1"/>
  <c r="V153" i="107" a="1"/>
  <c r="V153" i="107" s="1"/>
  <c r="U153" i="107" a="1"/>
  <c r="U153" i="107" s="1"/>
  <c r="T153" i="107" a="1"/>
  <c r="T153" i="107" s="1"/>
  <c r="S153" i="107" a="1"/>
  <c r="S153" i="107" s="1"/>
  <c r="R153" i="107" a="1"/>
  <c r="R153" i="107" s="1"/>
  <c r="Q153" i="107" a="1"/>
  <c r="Q153" i="107" s="1"/>
  <c r="P153" i="107" a="1"/>
  <c r="P153" i="107" s="1"/>
  <c r="O153" i="107" a="1"/>
  <c r="O153" i="107" s="1"/>
  <c r="N153" i="107" a="1"/>
  <c r="N153" i="107" s="1"/>
  <c r="M153" i="107" a="1"/>
  <c r="M153" i="107" s="1"/>
  <c r="L153" i="107" a="1"/>
  <c r="L153" i="107" s="1"/>
  <c r="K153" i="107" a="1"/>
  <c r="K153" i="107" s="1"/>
  <c r="J153" i="107" a="1"/>
  <c r="J153" i="107" s="1"/>
  <c r="I153" i="107" a="1"/>
  <c r="I153" i="107" s="1"/>
  <c r="H153" i="107" a="1"/>
  <c r="H153" i="107" s="1"/>
  <c r="G153" i="107" a="1"/>
  <c r="G153" i="107" s="1"/>
  <c r="F153" i="107" a="1"/>
  <c r="F153" i="107" s="1"/>
  <c r="E153" i="107" a="1"/>
  <c r="E153" i="107" s="1"/>
  <c r="D153" i="107" a="1"/>
  <c r="D153" i="107" s="1"/>
  <c r="AH152" i="107" a="1"/>
  <c r="AH152" i="107" s="1"/>
  <c r="AG152" i="107" a="1"/>
  <c r="AG152" i="107" s="1"/>
  <c r="AF152" i="107" a="1"/>
  <c r="AF152" i="107" s="1"/>
  <c r="AE152" i="107" a="1"/>
  <c r="AE152" i="107" s="1"/>
  <c r="AD152" i="107" a="1"/>
  <c r="AD152" i="107" s="1"/>
  <c r="AC152" i="107" a="1"/>
  <c r="AC152" i="107" s="1"/>
  <c r="AB152" i="107" a="1"/>
  <c r="AB152" i="107" s="1"/>
  <c r="AA152" i="107" a="1"/>
  <c r="AA152" i="107" s="1"/>
  <c r="Z152" i="107" a="1"/>
  <c r="Z152" i="107" s="1"/>
  <c r="Y152" i="107" a="1"/>
  <c r="Y152" i="107" s="1"/>
  <c r="X152" i="107" a="1"/>
  <c r="X152" i="107" s="1"/>
  <c r="W152" i="107" a="1"/>
  <c r="W152" i="107" s="1"/>
  <c r="V152" i="107" a="1"/>
  <c r="V152" i="107" s="1"/>
  <c r="U152" i="107" a="1"/>
  <c r="U152" i="107" s="1"/>
  <c r="T152" i="107" a="1"/>
  <c r="T152" i="107" s="1"/>
  <c r="S152" i="107" a="1"/>
  <c r="S152" i="107" s="1"/>
  <c r="R152" i="107" a="1"/>
  <c r="R152" i="107" s="1"/>
  <c r="Q152" i="107" a="1"/>
  <c r="Q152" i="107" s="1"/>
  <c r="P152" i="107" a="1"/>
  <c r="P152" i="107" s="1"/>
  <c r="O152" i="107" a="1"/>
  <c r="O152" i="107" s="1"/>
  <c r="N152" i="107" a="1"/>
  <c r="N152" i="107" s="1"/>
  <c r="M152" i="107" a="1"/>
  <c r="M152" i="107" s="1"/>
  <c r="L152" i="107" a="1"/>
  <c r="L152" i="107" s="1"/>
  <c r="K152" i="107" a="1"/>
  <c r="K152" i="107" s="1"/>
  <c r="J152" i="107" a="1"/>
  <c r="J152" i="107" s="1"/>
  <c r="I152" i="107" a="1"/>
  <c r="I152" i="107" s="1"/>
  <c r="H152" i="107" a="1"/>
  <c r="H152" i="107" s="1"/>
  <c r="G152" i="107" a="1"/>
  <c r="G152" i="107" s="1"/>
  <c r="F152" i="107" a="1"/>
  <c r="F152" i="107" s="1"/>
  <c r="E152" i="107" a="1"/>
  <c r="E152" i="107" s="1"/>
  <c r="D152" i="107" a="1"/>
  <c r="D152" i="107" s="1"/>
  <c r="AH151" i="107" a="1"/>
  <c r="AH151" i="107" s="1"/>
  <c r="AG151" i="107" a="1"/>
  <c r="AG151" i="107" s="1"/>
  <c r="AF151" i="107" a="1"/>
  <c r="AF151" i="107" s="1"/>
  <c r="AE151" i="107" a="1"/>
  <c r="AE151" i="107" s="1"/>
  <c r="AD151" i="107" a="1"/>
  <c r="AD151" i="107" s="1"/>
  <c r="AC151" i="107" a="1"/>
  <c r="AC151" i="107" s="1"/>
  <c r="AB151" i="107" a="1"/>
  <c r="AB151" i="107" s="1"/>
  <c r="AA151" i="107" a="1"/>
  <c r="AA151" i="107" s="1"/>
  <c r="Z151" i="107" a="1"/>
  <c r="Z151" i="107" s="1"/>
  <c r="Y151" i="107" a="1"/>
  <c r="Y151" i="107" s="1"/>
  <c r="X151" i="107" a="1"/>
  <c r="X151" i="107" s="1"/>
  <c r="W151" i="107" a="1"/>
  <c r="W151" i="107" s="1"/>
  <c r="V151" i="107" a="1"/>
  <c r="V151" i="107" s="1"/>
  <c r="U151" i="107" a="1"/>
  <c r="U151" i="107" s="1"/>
  <c r="T151" i="107" a="1"/>
  <c r="T151" i="107" s="1"/>
  <c r="S151" i="107" a="1"/>
  <c r="S151" i="107" s="1"/>
  <c r="R151" i="107" a="1"/>
  <c r="R151" i="107" s="1"/>
  <c r="Q151" i="107" a="1"/>
  <c r="Q151" i="107" s="1"/>
  <c r="P151" i="107" a="1"/>
  <c r="P151" i="107" s="1"/>
  <c r="O151" i="107" a="1"/>
  <c r="O151" i="107" s="1"/>
  <c r="N151" i="107" a="1"/>
  <c r="N151" i="107" s="1"/>
  <c r="M151" i="107" a="1"/>
  <c r="M151" i="107" s="1"/>
  <c r="L151" i="107" a="1"/>
  <c r="L151" i="107" s="1"/>
  <c r="K151" i="107" a="1"/>
  <c r="K151" i="107" s="1"/>
  <c r="J151" i="107" a="1"/>
  <c r="J151" i="107" s="1"/>
  <c r="I151" i="107" a="1"/>
  <c r="I151" i="107" s="1"/>
  <c r="H151" i="107" a="1"/>
  <c r="H151" i="107" s="1"/>
  <c r="G151" i="107" a="1"/>
  <c r="G151" i="107" s="1"/>
  <c r="F151" i="107" a="1"/>
  <c r="F151" i="107" s="1"/>
  <c r="E151" i="107" a="1"/>
  <c r="E151" i="107" s="1"/>
  <c r="D151" i="107" a="1"/>
  <c r="D151" i="107" s="1"/>
  <c r="AH150" i="107" a="1"/>
  <c r="AH150" i="107" s="1"/>
  <c r="AG150" i="107" a="1"/>
  <c r="AG150" i="107" s="1"/>
  <c r="AF150" i="107" a="1"/>
  <c r="AF150" i="107" s="1"/>
  <c r="AE150" i="107" a="1"/>
  <c r="AE150" i="107" s="1"/>
  <c r="AD150" i="107" a="1"/>
  <c r="AD150" i="107" s="1"/>
  <c r="AC150" i="107" a="1"/>
  <c r="AC150" i="107" s="1"/>
  <c r="AB150" i="107" a="1"/>
  <c r="AB150" i="107" s="1"/>
  <c r="AA150" i="107" a="1"/>
  <c r="AA150" i="107" s="1"/>
  <c r="Z150" i="107" a="1"/>
  <c r="Z150" i="107" s="1"/>
  <c r="Y150" i="107" a="1"/>
  <c r="Y150" i="107" s="1"/>
  <c r="X150" i="107" a="1"/>
  <c r="X150" i="107" s="1"/>
  <c r="W150" i="107" a="1"/>
  <c r="W150" i="107" s="1"/>
  <c r="V150" i="107" a="1"/>
  <c r="V150" i="107" s="1"/>
  <c r="U150" i="107" a="1"/>
  <c r="U150" i="107" s="1"/>
  <c r="T150" i="107" a="1"/>
  <c r="T150" i="107" s="1"/>
  <c r="S150" i="107" a="1"/>
  <c r="S150" i="107" s="1"/>
  <c r="R150" i="107" a="1"/>
  <c r="R150" i="107" s="1"/>
  <c r="Q150" i="107" a="1"/>
  <c r="Q150" i="107" s="1"/>
  <c r="P150" i="107" a="1"/>
  <c r="P150" i="107" s="1"/>
  <c r="O150" i="107" a="1"/>
  <c r="O150" i="107" s="1"/>
  <c r="N150" i="107" a="1"/>
  <c r="N150" i="107" s="1"/>
  <c r="M150" i="107" a="1"/>
  <c r="M150" i="107" s="1"/>
  <c r="L150" i="107" a="1"/>
  <c r="L150" i="107" s="1"/>
  <c r="K150" i="107" a="1"/>
  <c r="K150" i="107" s="1"/>
  <c r="J150" i="107" a="1"/>
  <c r="J150" i="107" s="1"/>
  <c r="I150" i="107" a="1"/>
  <c r="I150" i="107" s="1"/>
  <c r="H150" i="107" a="1"/>
  <c r="H150" i="107" s="1"/>
  <c r="G150" i="107" a="1"/>
  <c r="G150" i="107" s="1"/>
  <c r="F150" i="107" a="1"/>
  <c r="F150" i="107" s="1"/>
  <c r="E150" i="107" a="1"/>
  <c r="E150" i="107" s="1"/>
  <c r="D150" i="107" a="1"/>
  <c r="D150" i="107" s="1"/>
  <c r="AH149" i="107" a="1"/>
  <c r="AH149" i="107" s="1"/>
  <c r="AG149" i="107" a="1"/>
  <c r="AG149" i="107" s="1"/>
  <c r="AF149" i="107" a="1"/>
  <c r="AF149" i="107" s="1"/>
  <c r="AE149" i="107" a="1"/>
  <c r="AE149" i="107" s="1"/>
  <c r="AD149" i="107" a="1"/>
  <c r="AD149" i="107" s="1"/>
  <c r="AC149" i="107" a="1"/>
  <c r="AC149" i="107" s="1"/>
  <c r="AB149" i="107" a="1"/>
  <c r="AB149" i="107" s="1"/>
  <c r="AA149" i="107" a="1"/>
  <c r="AA149" i="107" s="1"/>
  <c r="Z149" i="107" a="1"/>
  <c r="Z149" i="107" s="1"/>
  <c r="Y149" i="107" a="1"/>
  <c r="Y149" i="107" s="1"/>
  <c r="X149" i="107" a="1"/>
  <c r="X149" i="107" s="1"/>
  <c r="W149" i="107" a="1"/>
  <c r="W149" i="107" s="1"/>
  <c r="V149" i="107" a="1"/>
  <c r="V149" i="107" s="1"/>
  <c r="U149" i="107" a="1"/>
  <c r="U149" i="107" s="1"/>
  <c r="T149" i="107" a="1"/>
  <c r="T149" i="107" s="1"/>
  <c r="S149" i="107" a="1"/>
  <c r="S149" i="107" s="1"/>
  <c r="R149" i="107" a="1"/>
  <c r="R149" i="107" s="1"/>
  <c r="Q149" i="107" a="1"/>
  <c r="Q149" i="107" s="1"/>
  <c r="P149" i="107" a="1"/>
  <c r="P149" i="107" s="1"/>
  <c r="O149" i="107" a="1"/>
  <c r="O149" i="107" s="1"/>
  <c r="N149" i="107" a="1"/>
  <c r="N149" i="107" s="1"/>
  <c r="M149" i="107" a="1"/>
  <c r="M149" i="107" s="1"/>
  <c r="L149" i="107" a="1"/>
  <c r="L149" i="107" s="1"/>
  <c r="K149" i="107" a="1"/>
  <c r="K149" i="107" s="1"/>
  <c r="J149" i="107" a="1"/>
  <c r="J149" i="107" s="1"/>
  <c r="I149" i="107" a="1"/>
  <c r="I149" i="107" s="1"/>
  <c r="H149" i="107" a="1"/>
  <c r="H149" i="107" s="1"/>
  <c r="G149" i="107" a="1"/>
  <c r="G149" i="107" s="1"/>
  <c r="F149" i="107" a="1"/>
  <c r="F149" i="107" s="1"/>
  <c r="E149" i="107" a="1"/>
  <c r="E149" i="107" s="1"/>
  <c r="D149" i="107" a="1"/>
  <c r="D149" i="107" s="1"/>
  <c r="AH148" i="107" a="1"/>
  <c r="AH148" i="107" s="1"/>
  <c r="AG148" i="107" a="1"/>
  <c r="AG148" i="107" s="1"/>
  <c r="AF148" i="107" a="1"/>
  <c r="AF148" i="107" s="1"/>
  <c r="AE148" i="107" a="1"/>
  <c r="AE148" i="107" s="1"/>
  <c r="AD148" i="107" a="1"/>
  <c r="AD148" i="107" s="1"/>
  <c r="AC148" i="107" a="1"/>
  <c r="AC148" i="107" s="1"/>
  <c r="AB148" i="107" a="1"/>
  <c r="AB148" i="107" s="1"/>
  <c r="AA148" i="107" a="1"/>
  <c r="AA148" i="107" s="1"/>
  <c r="Z148" i="107" a="1"/>
  <c r="Z148" i="107" s="1"/>
  <c r="Y148" i="107" a="1"/>
  <c r="Y148" i="107" s="1"/>
  <c r="X148" i="107" a="1"/>
  <c r="X148" i="107" s="1"/>
  <c r="W148" i="107" a="1"/>
  <c r="W148" i="107" s="1"/>
  <c r="V148" i="107" a="1"/>
  <c r="V148" i="107" s="1"/>
  <c r="U148" i="107" a="1"/>
  <c r="U148" i="107" s="1"/>
  <c r="T148" i="107" a="1"/>
  <c r="T148" i="107" s="1"/>
  <c r="S148" i="107" a="1"/>
  <c r="S148" i="107" s="1"/>
  <c r="R148" i="107" a="1"/>
  <c r="R148" i="107" s="1"/>
  <c r="Q148" i="107" a="1"/>
  <c r="Q148" i="107" s="1"/>
  <c r="P148" i="107" a="1"/>
  <c r="P148" i="107" s="1"/>
  <c r="O148" i="107" a="1"/>
  <c r="O148" i="107" s="1"/>
  <c r="N148" i="107" a="1"/>
  <c r="N148" i="107" s="1"/>
  <c r="M148" i="107" a="1"/>
  <c r="M148" i="107" s="1"/>
  <c r="L148" i="107" a="1"/>
  <c r="L148" i="107" s="1"/>
  <c r="K148" i="107" a="1"/>
  <c r="K148" i="107" s="1"/>
  <c r="J148" i="107" a="1"/>
  <c r="J148" i="107" s="1"/>
  <c r="I148" i="107" a="1"/>
  <c r="I148" i="107" s="1"/>
  <c r="H148" i="107" a="1"/>
  <c r="H148" i="107" s="1"/>
  <c r="G148" i="107" a="1"/>
  <c r="G148" i="107" s="1"/>
  <c r="F148" i="107" a="1"/>
  <c r="F148" i="107" s="1"/>
  <c r="E148" i="107" a="1"/>
  <c r="E148" i="107" s="1"/>
  <c r="D148" i="107" a="1"/>
  <c r="D148" i="107" s="1"/>
  <c r="AH147" i="107" a="1"/>
  <c r="AH147" i="107" s="1"/>
  <c r="AG147" i="107" a="1"/>
  <c r="AG147" i="107" s="1"/>
  <c r="AF147" i="107" a="1"/>
  <c r="AF147" i="107" s="1"/>
  <c r="AE147" i="107" a="1"/>
  <c r="AE147" i="107" s="1"/>
  <c r="AD147" i="107" a="1"/>
  <c r="AD147" i="107" s="1"/>
  <c r="AC147" i="107" a="1"/>
  <c r="AC147" i="107" s="1"/>
  <c r="AB147" i="107" a="1"/>
  <c r="AB147" i="107" s="1"/>
  <c r="AA147" i="107" a="1"/>
  <c r="AA147" i="107" s="1"/>
  <c r="Z147" i="107" a="1"/>
  <c r="Z147" i="107" s="1"/>
  <c r="Y147" i="107" a="1"/>
  <c r="Y147" i="107" s="1"/>
  <c r="X147" i="107" a="1"/>
  <c r="X147" i="107" s="1"/>
  <c r="W147" i="107" a="1"/>
  <c r="W147" i="107" s="1"/>
  <c r="V147" i="107" a="1"/>
  <c r="V147" i="107" s="1"/>
  <c r="U147" i="107" a="1"/>
  <c r="U147" i="107" s="1"/>
  <c r="T147" i="107" a="1"/>
  <c r="T147" i="107" s="1"/>
  <c r="S147" i="107" a="1"/>
  <c r="S147" i="107" s="1"/>
  <c r="R147" i="107" a="1"/>
  <c r="R147" i="107" s="1"/>
  <c r="Q147" i="107" a="1"/>
  <c r="Q147" i="107" s="1"/>
  <c r="P147" i="107" a="1"/>
  <c r="P147" i="107" s="1"/>
  <c r="O147" i="107" a="1"/>
  <c r="O147" i="107" s="1"/>
  <c r="N147" i="107" a="1"/>
  <c r="N147" i="107" s="1"/>
  <c r="M147" i="107" a="1"/>
  <c r="M147" i="107" s="1"/>
  <c r="L147" i="107" a="1"/>
  <c r="L147" i="107" s="1"/>
  <c r="K147" i="107" a="1"/>
  <c r="K147" i="107" s="1"/>
  <c r="J147" i="107" a="1"/>
  <c r="J147" i="107" s="1"/>
  <c r="I147" i="107" a="1"/>
  <c r="I147" i="107" s="1"/>
  <c r="H147" i="107" a="1"/>
  <c r="H147" i="107" s="1"/>
  <c r="G147" i="107" a="1"/>
  <c r="G147" i="107" s="1"/>
  <c r="F147" i="107" a="1"/>
  <c r="F147" i="107" s="1"/>
  <c r="E147" i="107" a="1"/>
  <c r="E147" i="107" s="1"/>
  <c r="D147" i="107" a="1"/>
  <c r="D147" i="107" s="1"/>
  <c r="AH146" i="107" a="1"/>
  <c r="AH146" i="107" s="1"/>
  <c r="AG146" i="107" a="1"/>
  <c r="AG146" i="107" s="1"/>
  <c r="AF146" i="107" a="1"/>
  <c r="AF146" i="107" s="1"/>
  <c r="AE146" i="107" a="1"/>
  <c r="AE146" i="107" s="1"/>
  <c r="AD146" i="107" a="1"/>
  <c r="AD146" i="107" s="1"/>
  <c r="AC146" i="107" a="1"/>
  <c r="AC146" i="107" s="1"/>
  <c r="AB146" i="107" a="1"/>
  <c r="AB146" i="107" s="1"/>
  <c r="AA146" i="107" a="1"/>
  <c r="AA146" i="107" s="1"/>
  <c r="Z146" i="107" a="1"/>
  <c r="Z146" i="107" s="1"/>
  <c r="Y146" i="107" a="1"/>
  <c r="Y146" i="107" s="1"/>
  <c r="X146" i="107" a="1"/>
  <c r="X146" i="107" s="1"/>
  <c r="W146" i="107" a="1"/>
  <c r="W146" i="107" s="1"/>
  <c r="V146" i="107" a="1"/>
  <c r="V146" i="107" s="1"/>
  <c r="U146" i="107" a="1"/>
  <c r="U146" i="107" s="1"/>
  <c r="T146" i="107" a="1"/>
  <c r="T146" i="107" s="1"/>
  <c r="S146" i="107" a="1"/>
  <c r="S146" i="107" s="1"/>
  <c r="R146" i="107" a="1"/>
  <c r="R146" i="107" s="1"/>
  <c r="Q146" i="107" a="1"/>
  <c r="Q146" i="107" s="1"/>
  <c r="P146" i="107" a="1"/>
  <c r="P146" i="107" s="1"/>
  <c r="O146" i="107" a="1"/>
  <c r="O146" i="107" s="1"/>
  <c r="N146" i="107" a="1"/>
  <c r="N146" i="107" s="1"/>
  <c r="M146" i="107" a="1"/>
  <c r="M146" i="107" s="1"/>
  <c r="L146" i="107" a="1"/>
  <c r="L146" i="107" s="1"/>
  <c r="K146" i="107" a="1"/>
  <c r="K146" i="107" s="1"/>
  <c r="J146" i="107" a="1"/>
  <c r="J146" i="107" s="1"/>
  <c r="I146" i="107" a="1"/>
  <c r="I146" i="107" s="1"/>
  <c r="H146" i="107" a="1"/>
  <c r="H146" i="107" s="1"/>
  <c r="G146" i="107" a="1"/>
  <c r="G146" i="107" s="1"/>
  <c r="F146" i="107" a="1"/>
  <c r="F146" i="107" s="1"/>
  <c r="E146" i="107" a="1"/>
  <c r="E146" i="107" s="1"/>
  <c r="D146" i="107" a="1"/>
  <c r="D146" i="107" s="1"/>
  <c r="AH145" i="107" a="1"/>
  <c r="AH145" i="107" s="1"/>
  <c r="AG145" i="107" a="1"/>
  <c r="AG145" i="107" s="1"/>
  <c r="AF145" i="107" a="1"/>
  <c r="AF145" i="107" s="1"/>
  <c r="AE145" i="107" a="1"/>
  <c r="AE145" i="107" s="1"/>
  <c r="AD145" i="107" a="1"/>
  <c r="AD145" i="107" s="1"/>
  <c r="AC145" i="107" a="1"/>
  <c r="AC145" i="107" s="1"/>
  <c r="AB145" i="107" a="1"/>
  <c r="AB145" i="107" s="1"/>
  <c r="AA145" i="107" a="1"/>
  <c r="AA145" i="107" s="1"/>
  <c r="Z145" i="107" a="1"/>
  <c r="Z145" i="107" s="1"/>
  <c r="Y145" i="107" a="1"/>
  <c r="Y145" i="107" s="1"/>
  <c r="X145" i="107" a="1"/>
  <c r="X145" i="107" s="1"/>
  <c r="W145" i="107" a="1"/>
  <c r="W145" i="107" s="1"/>
  <c r="V145" i="107" a="1"/>
  <c r="V145" i="107" s="1"/>
  <c r="U145" i="107" a="1"/>
  <c r="U145" i="107" s="1"/>
  <c r="T145" i="107" a="1"/>
  <c r="T145" i="107" s="1"/>
  <c r="S145" i="107" a="1"/>
  <c r="S145" i="107" s="1"/>
  <c r="R145" i="107" a="1"/>
  <c r="R145" i="107" s="1"/>
  <c r="Q145" i="107" a="1"/>
  <c r="Q145" i="107" s="1"/>
  <c r="P145" i="107" a="1"/>
  <c r="P145" i="107" s="1"/>
  <c r="O145" i="107" a="1"/>
  <c r="O145" i="107" s="1"/>
  <c r="N145" i="107" a="1"/>
  <c r="N145" i="107" s="1"/>
  <c r="M145" i="107" a="1"/>
  <c r="M145" i="107" s="1"/>
  <c r="L145" i="107" a="1"/>
  <c r="L145" i="107" s="1"/>
  <c r="K145" i="107" a="1"/>
  <c r="K145" i="107" s="1"/>
  <c r="J145" i="107" a="1"/>
  <c r="J145" i="107" s="1"/>
  <c r="I145" i="107" a="1"/>
  <c r="I145" i="107" s="1"/>
  <c r="H145" i="107" a="1"/>
  <c r="H145" i="107" s="1"/>
  <c r="G145" i="107" a="1"/>
  <c r="G145" i="107" s="1"/>
  <c r="F145" i="107" a="1"/>
  <c r="F145" i="107" s="1"/>
  <c r="E145" i="107" a="1"/>
  <c r="E145" i="107" s="1"/>
  <c r="D145" i="107" a="1"/>
  <c r="D145" i="107" s="1"/>
  <c r="AH144" i="107" a="1"/>
  <c r="AH144" i="107" s="1"/>
  <c r="AG144" i="107" a="1"/>
  <c r="AG144" i="107" s="1"/>
  <c r="AF144" i="107" a="1"/>
  <c r="AF144" i="107" s="1"/>
  <c r="AE144" i="107" a="1"/>
  <c r="AE144" i="107" s="1"/>
  <c r="AD144" i="107" a="1"/>
  <c r="AD144" i="107" s="1"/>
  <c r="AC144" i="107" a="1"/>
  <c r="AC144" i="107" s="1"/>
  <c r="AB144" i="107" a="1"/>
  <c r="AB144" i="107" s="1"/>
  <c r="AA144" i="107" a="1"/>
  <c r="AA144" i="107" s="1"/>
  <c r="Z144" i="107" a="1"/>
  <c r="Z144" i="107" s="1"/>
  <c r="Y144" i="107" a="1"/>
  <c r="Y144" i="107" s="1"/>
  <c r="X144" i="107" a="1"/>
  <c r="X144" i="107" s="1"/>
  <c r="W144" i="107" a="1"/>
  <c r="W144" i="107" s="1"/>
  <c r="V144" i="107" a="1"/>
  <c r="V144" i="107" s="1"/>
  <c r="U144" i="107" a="1"/>
  <c r="U144" i="107" s="1"/>
  <c r="T144" i="107" a="1"/>
  <c r="T144" i="107" s="1"/>
  <c r="S144" i="107" a="1"/>
  <c r="S144" i="107" s="1"/>
  <c r="R144" i="107" a="1"/>
  <c r="R144" i="107" s="1"/>
  <c r="Q144" i="107" a="1"/>
  <c r="Q144" i="107" s="1"/>
  <c r="P144" i="107" a="1"/>
  <c r="P144" i="107" s="1"/>
  <c r="O144" i="107" a="1"/>
  <c r="O144" i="107" s="1"/>
  <c r="N144" i="107" a="1"/>
  <c r="N144" i="107" s="1"/>
  <c r="M144" i="107" a="1"/>
  <c r="M144" i="107" s="1"/>
  <c r="L144" i="107" a="1"/>
  <c r="L144" i="107" s="1"/>
  <c r="K144" i="107" a="1"/>
  <c r="K144" i="107" s="1"/>
  <c r="J144" i="107" a="1"/>
  <c r="J144" i="107" s="1"/>
  <c r="I144" i="107" a="1"/>
  <c r="I144" i="107" s="1"/>
  <c r="H144" i="107" a="1"/>
  <c r="H144" i="107" s="1"/>
  <c r="G144" i="107" a="1"/>
  <c r="G144" i="107" s="1"/>
  <c r="F144" i="107" a="1"/>
  <c r="F144" i="107" s="1"/>
  <c r="E144" i="107" a="1"/>
  <c r="E144" i="107" s="1"/>
  <c r="D144" i="107" a="1"/>
  <c r="D144" i="107" s="1"/>
  <c r="AH143" i="107" a="1"/>
  <c r="AH143" i="107" s="1"/>
  <c r="AG143" i="107" a="1"/>
  <c r="AG143" i="107" s="1"/>
  <c r="AF143" i="107" a="1"/>
  <c r="AF143" i="107" s="1"/>
  <c r="AE143" i="107" a="1"/>
  <c r="AE143" i="107" s="1"/>
  <c r="AD143" i="107" a="1"/>
  <c r="AD143" i="107" s="1"/>
  <c r="AC143" i="107" a="1"/>
  <c r="AC143" i="107" s="1"/>
  <c r="AB143" i="107" a="1"/>
  <c r="AB143" i="107" s="1"/>
  <c r="AA143" i="107" a="1"/>
  <c r="AA143" i="107" s="1"/>
  <c r="Z143" i="107" a="1"/>
  <c r="Z143" i="107" s="1"/>
  <c r="Y143" i="107" a="1"/>
  <c r="Y143" i="107" s="1"/>
  <c r="X143" i="107" a="1"/>
  <c r="X143" i="107" s="1"/>
  <c r="W143" i="107" a="1"/>
  <c r="W143" i="107" s="1"/>
  <c r="V143" i="107" a="1"/>
  <c r="V143" i="107" s="1"/>
  <c r="U143" i="107" a="1"/>
  <c r="U143" i="107" s="1"/>
  <c r="T143" i="107" a="1"/>
  <c r="T143" i="107" s="1"/>
  <c r="S143" i="107" a="1"/>
  <c r="S143" i="107" s="1"/>
  <c r="R143" i="107" a="1"/>
  <c r="R143" i="107" s="1"/>
  <c r="Q143" i="107" a="1"/>
  <c r="Q143" i="107" s="1"/>
  <c r="P143" i="107" a="1"/>
  <c r="P143" i="107" s="1"/>
  <c r="O143" i="107" a="1"/>
  <c r="O143" i="107" s="1"/>
  <c r="N143" i="107" a="1"/>
  <c r="N143" i="107" s="1"/>
  <c r="M143" i="107" a="1"/>
  <c r="M143" i="107" s="1"/>
  <c r="L143" i="107" a="1"/>
  <c r="L143" i="107" s="1"/>
  <c r="K143" i="107" a="1"/>
  <c r="K143" i="107" s="1"/>
  <c r="J143" i="107" a="1"/>
  <c r="J143" i="107" s="1"/>
  <c r="I143" i="107" a="1"/>
  <c r="I143" i="107" s="1"/>
  <c r="H143" i="107" a="1"/>
  <c r="H143" i="107" s="1"/>
  <c r="G143" i="107" a="1"/>
  <c r="G143" i="107" s="1"/>
  <c r="F143" i="107" a="1"/>
  <c r="F143" i="107" s="1"/>
  <c r="E143" i="107" a="1"/>
  <c r="E143" i="107" s="1"/>
  <c r="D143" i="107" a="1"/>
  <c r="D143" i="107" s="1"/>
  <c r="AH142" i="107" a="1"/>
  <c r="AH142" i="107" s="1"/>
  <c r="AG142" i="107" a="1"/>
  <c r="AG142" i="107" s="1"/>
  <c r="AF142" i="107" a="1"/>
  <c r="AF142" i="107" s="1"/>
  <c r="AE142" i="107" a="1"/>
  <c r="AE142" i="107" s="1"/>
  <c r="AD142" i="107" a="1"/>
  <c r="AD142" i="107" s="1"/>
  <c r="AC142" i="107" a="1"/>
  <c r="AC142" i="107" s="1"/>
  <c r="AB142" i="107" a="1"/>
  <c r="AB142" i="107" s="1"/>
  <c r="AA142" i="107" a="1"/>
  <c r="AA142" i="107" s="1"/>
  <c r="Z142" i="107" a="1"/>
  <c r="Z142" i="107" s="1"/>
  <c r="Y142" i="107" a="1"/>
  <c r="Y142" i="107" s="1"/>
  <c r="X142" i="107" a="1"/>
  <c r="X142" i="107" s="1"/>
  <c r="W142" i="107" a="1"/>
  <c r="W142" i="107" s="1"/>
  <c r="V142" i="107" a="1"/>
  <c r="V142" i="107" s="1"/>
  <c r="U142" i="107" a="1"/>
  <c r="U142" i="107" s="1"/>
  <c r="T142" i="107" a="1"/>
  <c r="T142" i="107" s="1"/>
  <c r="S142" i="107" a="1"/>
  <c r="S142" i="107" s="1"/>
  <c r="R142" i="107" a="1"/>
  <c r="R142" i="107" s="1"/>
  <c r="Q142" i="107" a="1"/>
  <c r="Q142" i="107" s="1"/>
  <c r="P142" i="107" a="1"/>
  <c r="P142" i="107" s="1"/>
  <c r="O142" i="107" a="1"/>
  <c r="O142" i="107" s="1"/>
  <c r="N142" i="107" a="1"/>
  <c r="N142" i="107" s="1"/>
  <c r="M142" i="107" a="1"/>
  <c r="M142" i="107" s="1"/>
  <c r="L142" i="107" a="1"/>
  <c r="L142" i="107" s="1"/>
  <c r="K142" i="107" a="1"/>
  <c r="K142" i="107" s="1"/>
  <c r="J142" i="107" a="1"/>
  <c r="J142" i="107" s="1"/>
  <c r="I142" i="107" a="1"/>
  <c r="I142" i="107" s="1"/>
  <c r="H142" i="107" a="1"/>
  <c r="H142" i="107" s="1"/>
  <c r="G142" i="107" a="1"/>
  <c r="G142" i="107" s="1"/>
  <c r="F142" i="107" a="1"/>
  <c r="F142" i="107" s="1"/>
  <c r="E142" i="107" a="1"/>
  <c r="E142" i="107" s="1"/>
  <c r="D142" i="107" a="1"/>
  <c r="D142" i="107" s="1"/>
  <c r="AH141" i="107" a="1"/>
  <c r="AH141" i="107" s="1"/>
  <c r="AG141" i="107" a="1"/>
  <c r="AG141" i="107" s="1"/>
  <c r="AF141" i="107" a="1"/>
  <c r="AF141" i="107" s="1"/>
  <c r="AE141" i="107" a="1"/>
  <c r="AE141" i="107" s="1"/>
  <c r="AD141" i="107" a="1"/>
  <c r="AD141" i="107" s="1"/>
  <c r="AC141" i="107" a="1"/>
  <c r="AC141" i="107" s="1"/>
  <c r="AB141" i="107" a="1"/>
  <c r="AB141" i="107" s="1"/>
  <c r="AA141" i="107" a="1"/>
  <c r="AA141" i="107" s="1"/>
  <c r="Z141" i="107" a="1"/>
  <c r="Z141" i="107" s="1"/>
  <c r="Y141" i="107" a="1"/>
  <c r="Y141" i="107" s="1"/>
  <c r="X141" i="107" a="1"/>
  <c r="X141" i="107" s="1"/>
  <c r="W141" i="107" a="1"/>
  <c r="W141" i="107" s="1"/>
  <c r="V141" i="107" a="1"/>
  <c r="V141" i="107" s="1"/>
  <c r="U141" i="107" a="1"/>
  <c r="U141" i="107" s="1"/>
  <c r="T141" i="107" a="1"/>
  <c r="T141" i="107" s="1"/>
  <c r="S141" i="107" a="1"/>
  <c r="S141" i="107" s="1"/>
  <c r="R141" i="107" a="1"/>
  <c r="R141" i="107" s="1"/>
  <c r="Q141" i="107" a="1"/>
  <c r="Q141" i="107" s="1"/>
  <c r="P141" i="107" a="1"/>
  <c r="P141" i="107" s="1"/>
  <c r="O141" i="107" a="1"/>
  <c r="O141" i="107" s="1"/>
  <c r="N141" i="107" a="1"/>
  <c r="N141" i="107" s="1"/>
  <c r="M141" i="107" a="1"/>
  <c r="M141" i="107" s="1"/>
  <c r="L141" i="107" a="1"/>
  <c r="L141" i="107" s="1"/>
  <c r="K141" i="107" a="1"/>
  <c r="K141" i="107" s="1"/>
  <c r="J141" i="107" a="1"/>
  <c r="J141" i="107" s="1"/>
  <c r="I141" i="107" a="1"/>
  <c r="I141" i="107" s="1"/>
  <c r="H141" i="107" a="1"/>
  <c r="H141" i="107" s="1"/>
  <c r="G141" i="107" a="1"/>
  <c r="G141" i="107" s="1"/>
  <c r="F141" i="107" a="1"/>
  <c r="F141" i="107" s="1"/>
  <c r="E141" i="107" a="1"/>
  <c r="E141" i="107" s="1"/>
  <c r="D141" i="107" a="1"/>
  <c r="D141" i="107" s="1"/>
  <c r="AH140" i="107" a="1"/>
  <c r="AH140" i="107" s="1"/>
  <c r="AG140" i="107" a="1"/>
  <c r="AG140" i="107" s="1"/>
  <c r="AF140" i="107" a="1"/>
  <c r="AF140" i="107" s="1"/>
  <c r="AE140" i="107" a="1"/>
  <c r="AE140" i="107" s="1"/>
  <c r="AD140" i="107" a="1"/>
  <c r="AD140" i="107" s="1"/>
  <c r="AC140" i="107" a="1"/>
  <c r="AC140" i="107" s="1"/>
  <c r="AB140" i="107" a="1"/>
  <c r="AB140" i="107" s="1"/>
  <c r="AA140" i="107" a="1"/>
  <c r="AA140" i="107" s="1"/>
  <c r="Z140" i="107" a="1"/>
  <c r="Z140" i="107" s="1"/>
  <c r="Y140" i="107" a="1"/>
  <c r="Y140" i="107" s="1"/>
  <c r="X140" i="107" a="1"/>
  <c r="X140" i="107" s="1"/>
  <c r="W140" i="107" a="1"/>
  <c r="W140" i="107" s="1"/>
  <c r="V140" i="107" a="1"/>
  <c r="V140" i="107" s="1"/>
  <c r="U140" i="107" a="1"/>
  <c r="U140" i="107" s="1"/>
  <c r="T140" i="107" a="1"/>
  <c r="T140" i="107" s="1"/>
  <c r="S140" i="107" a="1"/>
  <c r="S140" i="107" s="1"/>
  <c r="R140" i="107" a="1"/>
  <c r="R140" i="107" s="1"/>
  <c r="Q140" i="107" a="1"/>
  <c r="Q140" i="107" s="1"/>
  <c r="P140" i="107" a="1"/>
  <c r="P140" i="107" s="1"/>
  <c r="O140" i="107" a="1"/>
  <c r="O140" i="107" s="1"/>
  <c r="N140" i="107" a="1"/>
  <c r="N140" i="107" s="1"/>
  <c r="M140" i="107" a="1"/>
  <c r="M140" i="107" s="1"/>
  <c r="L140" i="107" a="1"/>
  <c r="L140" i="107" s="1"/>
  <c r="K140" i="107" a="1"/>
  <c r="K140" i="107" s="1"/>
  <c r="J140" i="107" a="1"/>
  <c r="J140" i="107" s="1"/>
  <c r="I140" i="107" a="1"/>
  <c r="I140" i="107" s="1"/>
  <c r="H140" i="107" a="1"/>
  <c r="H140" i="107" s="1"/>
  <c r="G140" i="107" a="1"/>
  <c r="G140" i="107" s="1"/>
  <c r="F140" i="107" a="1"/>
  <c r="F140" i="107" s="1"/>
  <c r="E140" i="107" a="1"/>
  <c r="E140" i="107" s="1"/>
  <c r="D140" i="107" a="1"/>
  <c r="D140" i="107" s="1"/>
  <c r="AH139" i="107" a="1"/>
  <c r="AH139" i="107" s="1"/>
  <c r="AG139" i="107" a="1"/>
  <c r="AG139" i="107" s="1"/>
  <c r="AF139" i="107" a="1"/>
  <c r="AF139" i="107" s="1"/>
  <c r="AE139" i="107" a="1"/>
  <c r="AE139" i="107" s="1"/>
  <c r="AD139" i="107" a="1"/>
  <c r="AD139" i="107" s="1"/>
  <c r="AC139" i="107" a="1"/>
  <c r="AC139" i="107" s="1"/>
  <c r="AB139" i="107" a="1"/>
  <c r="AB139" i="107" s="1"/>
  <c r="AA139" i="107" a="1"/>
  <c r="AA139" i="107" s="1"/>
  <c r="Z139" i="107" a="1"/>
  <c r="Z139" i="107" s="1"/>
  <c r="Y139" i="107" a="1"/>
  <c r="Y139" i="107" s="1"/>
  <c r="X139" i="107" a="1"/>
  <c r="X139" i="107" s="1"/>
  <c r="W139" i="107" a="1"/>
  <c r="W139" i="107" s="1"/>
  <c r="V139" i="107" a="1"/>
  <c r="V139" i="107" s="1"/>
  <c r="U139" i="107" a="1"/>
  <c r="U139" i="107" s="1"/>
  <c r="T139" i="107" a="1"/>
  <c r="T139" i="107" s="1"/>
  <c r="S139" i="107" a="1"/>
  <c r="S139" i="107" s="1"/>
  <c r="R139" i="107" a="1"/>
  <c r="R139" i="107" s="1"/>
  <c r="Q139" i="107" a="1"/>
  <c r="Q139" i="107" s="1"/>
  <c r="P139" i="107" a="1"/>
  <c r="P139" i="107" s="1"/>
  <c r="O139" i="107" a="1"/>
  <c r="O139" i="107" s="1"/>
  <c r="N139" i="107" a="1"/>
  <c r="N139" i="107" s="1"/>
  <c r="M139" i="107" a="1"/>
  <c r="M139" i="107" s="1"/>
  <c r="L139" i="107" a="1"/>
  <c r="L139" i="107" s="1"/>
  <c r="K139" i="107" a="1"/>
  <c r="K139" i="107" s="1"/>
  <c r="J139" i="107" a="1"/>
  <c r="J139" i="107" s="1"/>
  <c r="I139" i="107" a="1"/>
  <c r="I139" i="107" s="1"/>
  <c r="H139" i="107" a="1"/>
  <c r="H139" i="107" s="1"/>
  <c r="G139" i="107" a="1"/>
  <c r="G139" i="107" s="1"/>
  <c r="F139" i="107" a="1"/>
  <c r="F139" i="107" s="1"/>
  <c r="E139" i="107" a="1"/>
  <c r="E139" i="107" s="1"/>
  <c r="D139" i="107" a="1"/>
  <c r="D139" i="107" s="1"/>
  <c r="AH138" i="107" a="1"/>
  <c r="AH138" i="107" s="1"/>
  <c r="AG138" i="107" a="1"/>
  <c r="AG138" i="107" s="1"/>
  <c r="AF138" i="107" a="1"/>
  <c r="AF138" i="107" s="1"/>
  <c r="AE138" i="107" a="1"/>
  <c r="AE138" i="107" s="1"/>
  <c r="AD138" i="107" a="1"/>
  <c r="AD138" i="107" s="1"/>
  <c r="AC138" i="107" a="1"/>
  <c r="AC138" i="107" s="1"/>
  <c r="AB138" i="107" a="1"/>
  <c r="AB138" i="107" s="1"/>
  <c r="AA138" i="107" a="1"/>
  <c r="AA138" i="107" s="1"/>
  <c r="Z138" i="107" a="1"/>
  <c r="Z138" i="107" s="1"/>
  <c r="Y138" i="107" a="1"/>
  <c r="Y138" i="107" s="1"/>
  <c r="X138" i="107" a="1"/>
  <c r="X138" i="107" s="1"/>
  <c r="W138" i="107" a="1"/>
  <c r="W138" i="107" s="1"/>
  <c r="V138" i="107" a="1"/>
  <c r="V138" i="107" s="1"/>
  <c r="U138" i="107" a="1"/>
  <c r="U138" i="107" s="1"/>
  <c r="T138" i="107" a="1"/>
  <c r="T138" i="107" s="1"/>
  <c r="S138" i="107" a="1"/>
  <c r="S138" i="107" s="1"/>
  <c r="R138" i="107" a="1"/>
  <c r="R138" i="107" s="1"/>
  <c r="Q138" i="107" a="1"/>
  <c r="Q138" i="107" s="1"/>
  <c r="P138" i="107" a="1"/>
  <c r="P138" i="107" s="1"/>
  <c r="O138" i="107" a="1"/>
  <c r="O138" i="107" s="1"/>
  <c r="N138" i="107" a="1"/>
  <c r="N138" i="107" s="1"/>
  <c r="M138" i="107" a="1"/>
  <c r="M138" i="107" s="1"/>
  <c r="L138" i="107" a="1"/>
  <c r="L138" i="107" s="1"/>
  <c r="K138" i="107" a="1"/>
  <c r="K138" i="107" s="1"/>
  <c r="J138" i="107" a="1"/>
  <c r="J138" i="107" s="1"/>
  <c r="I138" i="107" a="1"/>
  <c r="I138" i="107" s="1"/>
  <c r="H138" i="107" a="1"/>
  <c r="H138" i="107" s="1"/>
  <c r="G138" i="107" a="1"/>
  <c r="G138" i="107" s="1"/>
  <c r="F138" i="107" a="1"/>
  <c r="F138" i="107" s="1"/>
  <c r="E138" i="107" a="1"/>
  <c r="E138" i="107" s="1"/>
  <c r="D138" i="107" a="1"/>
  <c r="D138" i="107" s="1"/>
  <c r="AH137" i="107" a="1"/>
  <c r="AH137" i="107" s="1"/>
  <c r="AG137" i="107" a="1"/>
  <c r="AG137" i="107" s="1"/>
  <c r="AF137" i="107" a="1"/>
  <c r="AF137" i="107" s="1"/>
  <c r="AE137" i="107" a="1"/>
  <c r="AE137" i="107" s="1"/>
  <c r="AD137" i="107" a="1"/>
  <c r="AD137" i="107" s="1"/>
  <c r="AC137" i="107" a="1"/>
  <c r="AC137" i="107" s="1"/>
  <c r="AB137" i="107" a="1"/>
  <c r="AB137" i="107" s="1"/>
  <c r="AA137" i="107" a="1"/>
  <c r="AA137" i="107" s="1"/>
  <c r="Z137" i="107" a="1"/>
  <c r="Z137" i="107" s="1"/>
  <c r="Y137" i="107" a="1"/>
  <c r="Y137" i="107" s="1"/>
  <c r="X137" i="107" a="1"/>
  <c r="X137" i="107" s="1"/>
  <c r="W137" i="107" a="1"/>
  <c r="W137" i="107" s="1"/>
  <c r="V137" i="107" a="1"/>
  <c r="V137" i="107" s="1"/>
  <c r="U137" i="107" a="1"/>
  <c r="U137" i="107" s="1"/>
  <c r="T137" i="107" a="1"/>
  <c r="T137" i="107" s="1"/>
  <c r="S137" i="107" a="1"/>
  <c r="S137" i="107" s="1"/>
  <c r="R137" i="107" a="1"/>
  <c r="R137" i="107" s="1"/>
  <c r="Q137" i="107" a="1"/>
  <c r="Q137" i="107" s="1"/>
  <c r="P137" i="107" a="1"/>
  <c r="P137" i="107" s="1"/>
  <c r="O137" i="107" a="1"/>
  <c r="O137" i="107" s="1"/>
  <c r="N137" i="107" a="1"/>
  <c r="N137" i="107" s="1"/>
  <c r="M137" i="107" a="1"/>
  <c r="M137" i="107" s="1"/>
  <c r="L137" i="107" a="1"/>
  <c r="L137" i="107" s="1"/>
  <c r="K137" i="107" a="1"/>
  <c r="K137" i="107" s="1"/>
  <c r="J137" i="107" a="1"/>
  <c r="J137" i="107" s="1"/>
  <c r="I137" i="107" a="1"/>
  <c r="I137" i="107" s="1"/>
  <c r="H137" i="107" a="1"/>
  <c r="H137" i="107" s="1"/>
  <c r="G137" i="107" a="1"/>
  <c r="G137" i="107" s="1"/>
  <c r="F137" i="107" a="1"/>
  <c r="F137" i="107" s="1"/>
  <c r="E137" i="107" a="1"/>
  <c r="E137" i="107" s="1"/>
  <c r="D137" i="107" a="1"/>
  <c r="D137" i="107" s="1"/>
  <c r="AH136" i="107" a="1"/>
  <c r="AH136" i="107" s="1"/>
  <c r="AG136" i="107" a="1"/>
  <c r="AG136" i="107" s="1"/>
  <c r="AF136" i="107" a="1"/>
  <c r="AF136" i="107" s="1"/>
  <c r="AE136" i="107" a="1"/>
  <c r="AE136" i="107" s="1"/>
  <c r="AD136" i="107" a="1"/>
  <c r="AD136" i="107" s="1"/>
  <c r="AC136" i="107" a="1"/>
  <c r="AC136" i="107" s="1"/>
  <c r="AB136" i="107" a="1"/>
  <c r="AB136" i="107" s="1"/>
  <c r="AA136" i="107" a="1"/>
  <c r="AA136" i="107" s="1"/>
  <c r="Z136" i="107" a="1"/>
  <c r="Z136" i="107" s="1"/>
  <c r="Y136" i="107" a="1"/>
  <c r="Y136" i="107" s="1"/>
  <c r="X136" i="107" a="1"/>
  <c r="X136" i="107" s="1"/>
  <c r="W136" i="107" a="1"/>
  <c r="W136" i="107" s="1"/>
  <c r="V136" i="107" a="1"/>
  <c r="V136" i="107" s="1"/>
  <c r="U136" i="107" a="1"/>
  <c r="U136" i="107" s="1"/>
  <c r="T136" i="107" a="1"/>
  <c r="T136" i="107" s="1"/>
  <c r="S136" i="107" a="1"/>
  <c r="S136" i="107" s="1"/>
  <c r="R136" i="107" a="1"/>
  <c r="R136" i="107" s="1"/>
  <c r="Q136" i="107" a="1"/>
  <c r="Q136" i="107" s="1"/>
  <c r="P136" i="107" a="1"/>
  <c r="P136" i="107" s="1"/>
  <c r="O136" i="107" a="1"/>
  <c r="O136" i="107" s="1"/>
  <c r="N136" i="107" a="1"/>
  <c r="N136" i="107" s="1"/>
  <c r="M136" i="107" a="1"/>
  <c r="M136" i="107" s="1"/>
  <c r="L136" i="107" a="1"/>
  <c r="L136" i="107" s="1"/>
  <c r="K136" i="107" a="1"/>
  <c r="K136" i="107" s="1"/>
  <c r="J136" i="107" a="1"/>
  <c r="J136" i="107" s="1"/>
  <c r="I136" i="107" a="1"/>
  <c r="I136" i="107" s="1"/>
  <c r="H136" i="107" a="1"/>
  <c r="H136" i="107" s="1"/>
  <c r="G136" i="107" a="1"/>
  <c r="G136" i="107" s="1"/>
  <c r="F136" i="107" a="1"/>
  <c r="F136" i="107" s="1"/>
  <c r="E136" i="107" a="1"/>
  <c r="E136" i="107" s="1"/>
  <c r="D136" i="107" a="1"/>
  <c r="D136" i="107" s="1"/>
  <c r="AH135" i="107" a="1"/>
  <c r="AH135" i="107" s="1"/>
  <c r="AG135" i="107" a="1"/>
  <c r="AG135" i="107" s="1"/>
  <c r="AF135" i="107" a="1"/>
  <c r="AF135" i="107" s="1"/>
  <c r="AE135" i="107" a="1"/>
  <c r="AE135" i="107" s="1"/>
  <c r="AD135" i="107" a="1"/>
  <c r="AD135" i="107" s="1"/>
  <c r="AC135" i="107" a="1"/>
  <c r="AC135" i="107" s="1"/>
  <c r="AB135" i="107" a="1"/>
  <c r="AB135" i="107" s="1"/>
  <c r="AA135" i="107" a="1"/>
  <c r="AA135" i="107" s="1"/>
  <c r="Z135" i="107" a="1"/>
  <c r="Z135" i="107" s="1"/>
  <c r="Y135" i="107" a="1"/>
  <c r="Y135" i="107" s="1"/>
  <c r="X135" i="107" a="1"/>
  <c r="X135" i="107" s="1"/>
  <c r="W135" i="107" a="1"/>
  <c r="W135" i="107" s="1"/>
  <c r="V135" i="107" a="1"/>
  <c r="V135" i="107" s="1"/>
  <c r="U135" i="107" a="1"/>
  <c r="U135" i="107" s="1"/>
  <c r="T135" i="107" a="1"/>
  <c r="T135" i="107" s="1"/>
  <c r="S135" i="107" a="1"/>
  <c r="S135" i="107" s="1"/>
  <c r="R135" i="107" a="1"/>
  <c r="R135" i="107" s="1"/>
  <c r="Q135" i="107" a="1"/>
  <c r="Q135" i="107" s="1"/>
  <c r="P135" i="107" a="1"/>
  <c r="P135" i="107" s="1"/>
  <c r="O135" i="107" a="1"/>
  <c r="O135" i="107" s="1"/>
  <c r="N135" i="107" a="1"/>
  <c r="N135" i="107" s="1"/>
  <c r="M135" i="107" a="1"/>
  <c r="M135" i="107" s="1"/>
  <c r="L135" i="107" a="1"/>
  <c r="L135" i="107" s="1"/>
  <c r="K135" i="107" a="1"/>
  <c r="K135" i="107" s="1"/>
  <c r="J135" i="107" a="1"/>
  <c r="J135" i="107" s="1"/>
  <c r="I135" i="107" a="1"/>
  <c r="I135" i="107" s="1"/>
  <c r="H135" i="107" a="1"/>
  <c r="H135" i="107" s="1"/>
  <c r="G135" i="107" a="1"/>
  <c r="G135" i="107" s="1"/>
  <c r="F135" i="107" a="1"/>
  <c r="F135" i="107" s="1"/>
  <c r="E135" i="107" a="1"/>
  <c r="E135" i="107" s="1"/>
  <c r="D135" i="107" a="1"/>
  <c r="D135" i="107" s="1"/>
  <c r="AH134" i="107" a="1"/>
  <c r="AH134" i="107" s="1"/>
  <c r="AG134" i="107" a="1"/>
  <c r="AG134" i="107" s="1"/>
  <c r="AF134" i="107" a="1"/>
  <c r="AF134" i="107" s="1"/>
  <c r="AE134" i="107" a="1"/>
  <c r="AE134" i="107" s="1"/>
  <c r="AD134" i="107" a="1"/>
  <c r="AD134" i="107" s="1"/>
  <c r="AC134" i="107" a="1"/>
  <c r="AC134" i="107" s="1"/>
  <c r="AB134" i="107" a="1"/>
  <c r="AB134" i="107" s="1"/>
  <c r="AA134" i="107" a="1"/>
  <c r="AA134" i="107" s="1"/>
  <c r="Z134" i="107" a="1"/>
  <c r="Z134" i="107" s="1"/>
  <c r="Y134" i="107" a="1"/>
  <c r="Y134" i="107" s="1"/>
  <c r="X134" i="107" a="1"/>
  <c r="X134" i="107" s="1"/>
  <c r="W134" i="107" a="1"/>
  <c r="W134" i="107" s="1"/>
  <c r="V134" i="107" a="1"/>
  <c r="V134" i="107" s="1"/>
  <c r="U134" i="107" a="1"/>
  <c r="U134" i="107" s="1"/>
  <c r="T134" i="107" a="1"/>
  <c r="T134" i="107" s="1"/>
  <c r="S134" i="107" a="1"/>
  <c r="S134" i="107" s="1"/>
  <c r="R134" i="107" a="1"/>
  <c r="R134" i="107" s="1"/>
  <c r="Q134" i="107" a="1"/>
  <c r="Q134" i="107" s="1"/>
  <c r="P134" i="107" a="1"/>
  <c r="P134" i="107" s="1"/>
  <c r="O134" i="107" a="1"/>
  <c r="O134" i="107" s="1"/>
  <c r="N134" i="107" a="1"/>
  <c r="N134" i="107" s="1"/>
  <c r="M134" i="107" a="1"/>
  <c r="M134" i="107" s="1"/>
  <c r="L134" i="107" a="1"/>
  <c r="L134" i="107" s="1"/>
  <c r="K134" i="107" a="1"/>
  <c r="K134" i="107" s="1"/>
  <c r="J134" i="107" a="1"/>
  <c r="J134" i="107" s="1"/>
  <c r="I134" i="107" a="1"/>
  <c r="I134" i="107" s="1"/>
  <c r="H134" i="107" a="1"/>
  <c r="H134" i="107" s="1"/>
  <c r="G134" i="107" a="1"/>
  <c r="G134" i="107" s="1"/>
  <c r="F134" i="107" a="1"/>
  <c r="F134" i="107" s="1"/>
  <c r="E134" i="107" a="1"/>
  <c r="E134" i="107" s="1"/>
  <c r="D134" i="107" a="1"/>
  <c r="D134" i="107" s="1"/>
  <c r="AH133" i="107" a="1"/>
  <c r="AH133" i="107" s="1"/>
  <c r="AG133" i="107" a="1"/>
  <c r="AG133" i="107" s="1"/>
  <c r="AF133" i="107" a="1"/>
  <c r="AF133" i="107" s="1"/>
  <c r="AE133" i="107" a="1"/>
  <c r="AE133" i="107" s="1"/>
  <c r="AD133" i="107" a="1"/>
  <c r="AD133" i="107" s="1"/>
  <c r="AC133" i="107" a="1"/>
  <c r="AC133" i="107" s="1"/>
  <c r="AB133" i="107" a="1"/>
  <c r="AB133" i="107" s="1"/>
  <c r="AA133" i="107" a="1"/>
  <c r="AA133" i="107" s="1"/>
  <c r="Z133" i="107" a="1"/>
  <c r="Z133" i="107" s="1"/>
  <c r="Y133" i="107" a="1"/>
  <c r="Y133" i="107" s="1"/>
  <c r="X133" i="107" a="1"/>
  <c r="X133" i="107" s="1"/>
  <c r="W133" i="107" a="1"/>
  <c r="W133" i="107" s="1"/>
  <c r="V133" i="107" a="1"/>
  <c r="V133" i="107" s="1"/>
  <c r="U133" i="107" a="1"/>
  <c r="U133" i="107" s="1"/>
  <c r="T133" i="107" a="1"/>
  <c r="T133" i="107" s="1"/>
  <c r="S133" i="107" a="1"/>
  <c r="S133" i="107" s="1"/>
  <c r="R133" i="107" a="1"/>
  <c r="R133" i="107" s="1"/>
  <c r="Q133" i="107" a="1"/>
  <c r="Q133" i="107" s="1"/>
  <c r="P133" i="107" a="1"/>
  <c r="P133" i="107" s="1"/>
  <c r="O133" i="107" a="1"/>
  <c r="O133" i="107" s="1"/>
  <c r="N133" i="107" a="1"/>
  <c r="N133" i="107" s="1"/>
  <c r="M133" i="107" a="1"/>
  <c r="M133" i="107" s="1"/>
  <c r="L133" i="107" a="1"/>
  <c r="L133" i="107" s="1"/>
  <c r="K133" i="107" a="1"/>
  <c r="K133" i="107" s="1"/>
  <c r="J133" i="107" a="1"/>
  <c r="J133" i="107" s="1"/>
  <c r="I133" i="107" a="1"/>
  <c r="I133" i="107" s="1"/>
  <c r="H133" i="107" a="1"/>
  <c r="H133" i="107" s="1"/>
  <c r="G133" i="107" a="1"/>
  <c r="G133" i="107" s="1"/>
  <c r="F133" i="107" a="1"/>
  <c r="F133" i="107" s="1"/>
  <c r="E133" i="107" a="1"/>
  <c r="E133" i="107" s="1"/>
  <c r="D133" i="107" a="1"/>
  <c r="D133" i="107" s="1"/>
  <c r="AH132" i="107" a="1"/>
  <c r="AH132" i="107" s="1"/>
  <c r="AG132" i="107" a="1"/>
  <c r="AG132" i="107" s="1"/>
  <c r="AF132" i="107" a="1"/>
  <c r="AF132" i="107" s="1"/>
  <c r="AE132" i="107" a="1"/>
  <c r="AE132" i="107" s="1"/>
  <c r="AD132" i="107" a="1"/>
  <c r="AD132" i="107" s="1"/>
  <c r="AC132" i="107" a="1"/>
  <c r="AC132" i="107" s="1"/>
  <c r="AB132" i="107" a="1"/>
  <c r="AB132" i="107" s="1"/>
  <c r="AA132" i="107" a="1"/>
  <c r="AA132" i="107" s="1"/>
  <c r="Z132" i="107" a="1"/>
  <c r="Z132" i="107" s="1"/>
  <c r="Y132" i="107" a="1"/>
  <c r="Y132" i="107" s="1"/>
  <c r="X132" i="107" a="1"/>
  <c r="X132" i="107" s="1"/>
  <c r="W132" i="107" a="1"/>
  <c r="W132" i="107" s="1"/>
  <c r="V132" i="107" a="1"/>
  <c r="V132" i="107" s="1"/>
  <c r="U132" i="107" a="1"/>
  <c r="U132" i="107" s="1"/>
  <c r="T132" i="107" a="1"/>
  <c r="T132" i="107" s="1"/>
  <c r="S132" i="107" a="1"/>
  <c r="S132" i="107" s="1"/>
  <c r="R132" i="107" a="1"/>
  <c r="R132" i="107" s="1"/>
  <c r="Q132" i="107" a="1"/>
  <c r="Q132" i="107" s="1"/>
  <c r="P132" i="107" a="1"/>
  <c r="P132" i="107" s="1"/>
  <c r="O132" i="107" a="1"/>
  <c r="O132" i="107" s="1"/>
  <c r="N132" i="107" a="1"/>
  <c r="N132" i="107" s="1"/>
  <c r="M132" i="107" a="1"/>
  <c r="M132" i="107" s="1"/>
  <c r="L132" i="107" a="1"/>
  <c r="L132" i="107" s="1"/>
  <c r="K132" i="107" a="1"/>
  <c r="K132" i="107" s="1"/>
  <c r="J132" i="107" a="1"/>
  <c r="J132" i="107" s="1"/>
  <c r="I132" i="107" a="1"/>
  <c r="I132" i="107" s="1"/>
  <c r="H132" i="107" a="1"/>
  <c r="H132" i="107" s="1"/>
  <c r="G132" i="107" a="1"/>
  <c r="G132" i="107" s="1"/>
  <c r="F132" i="107" a="1"/>
  <c r="F132" i="107" s="1"/>
  <c r="E132" i="107" a="1"/>
  <c r="E132" i="107" s="1"/>
  <c r="D132" i="107" a="1"/>
  <c r="D132" i="107" s="1"/>
  <c r="AH131" i="107" a="1"/>
  <c r="AH131" i="107" s="1"/>
  <c r="AG131" i="107" a="1"/>
  <c r="AG131" i="107" s="1"/>
  <c r="AF131" i="107" a="1"/>
  <c r="AF131" i="107" s="1"/>
  <c r="AE131" i="107" a="1"/>
  <c r="AE131" i="107" s="1"/>
  <c r="AD131" i="107" a="1"/>
  <c r="AD131" i="107" s="1"/>
  <c r="AC131" i="107" a="1"/>
  <c r="AC131" i="107" s="1"/>
  <c r="AB131" i="107" a="1"/>
  <c r="AB131" i="107" s="1"/>
  <c r="AA131" i="107" a="1"/>
  <c r="AA131" i="107" s="1"/>
  <c r="Z131" i="107" a="1"/>
  <c r="Z131" i="107" s="1"/>
  <c r="Y131" i="107" a="1"/>
  <c r="Y131" i="107" s="1"/>
  <c r="X131" i="107" a="1"/>
  <c r="X131" i="107" s="1"/>
  <c r="W131" i="107" a="1"/>
  <c r="W131" i="107" s="1"/>
  <c r="V131" i="107" a="1"/>
  <c r="V131" i="107" s="1"/>
  <c r="U131" i="107" a="1"/>
  <c r="U131" i="107" s="1"/>
  <c r="T131" i="107" a="1"/>
  <c r="T131" i="107" s="1"/>
  <c r="S131" i="107" a="1"/>
  <c r="S131" i="107" s="1"/>
  <c r="R131" i="107" a="1"/>
  <c r="R131" i="107" s="1"/>
  <c r="Q131" i="107" a="1"/>
  <c r="Q131" i="107" s="1"/>
  <c r="P131" i="107" a="1"/>
  <c r="P131" i="107" s="1"/>
  <c r="O131" i="107" a="1"/>
  <c r="O131" i="107" s="1"/>
  <c r="N131" i="107" a="1"/>
  <c r="N131" i="107" s="1"/>
  <c r="M131" i="107" a="1"/>
  <c r="M131" i="107" s="1"/>
  <c r="L131" i="107" a="1"/>
  <c r="L131" i="107" s="1"/>
  <c r="K131" i="107" a="1"/>
  <c r="K131" i="107" s="1"/>
  <c r="J131" i="107" a="1"/>
  <c r="J131" i="107" s="1"/>
  <c r="I131" i="107" a="1"/>
  <c r="I131" i="107" s="1"/>
  <c r="H131" i="107" a="1"/>
  <c r="H131" i="107" s="1"/>
  <c r="G131" i="107" a="1"/>
  <c r="G131" i="107" s="1"/>
  <c r="F131" i="107" a="1"/>
  <c r="F131" i="107" s="1"/>
  <c r="E131" i="107" a="1"/>
  <c r="E131" i="107" s="1"/>
  <c r="D131" i="107" a="1"/>
  <c r="D131" i="107" s="1"/>
  <c r="AH130" i="107" a="1"/>
  <c r="AH130" i="107" s="1"/>
  <c r="AG130" i="107" a="1"/>
  <c r="AG130" i="107" s="1"/>
  <c r="AF130" i="107" a="1"/>
  <c r="AF130" i="107" s="1"/>
  <c r="AE130" i="107" a="1"/>
  <c r="AE130" i="107" s="1"/>
  <c r="AD130" i="107" a="1"/>
  <c r="AD130" i="107" s="1"/>
  <c r="AC130" i="107" a="1"/>
  <c r="AC130" i="107" s="1"/>
  <c r="AB130" i="107" a="1"/>
  <c r="AB130" i="107" s="1"/>
  <c r="AA130" i="107" a="1"/>
  <c r="AA130" i="107" s="1"/>
  <c r="Z130" i="107" a="1"/>
  <c r="Z130" i="107" s="1"/>
  <c r="Y130" i="107" a="1"/>
  <c r="Y130" i="107" s="1"/>
  <c r="X130" i="107" a="1"/>
  <c r="X130" i="107" s="1"/>
  <c r="W130" i="107" a="1"/>
  <c r="W130" i="107" s="1"/>
  <c r="V130" i="107" a="1"/>
  <c r="V130" i="107" s="1"/>
  <c r="U130" i="107" a="1"/>
  <c r="U130" i="107" s="1"/>
  <c r="T130" i="107" a="1"/>
  <c r="T130" i="107" s="1"/>
  <c r="S130" i="107" a="1"/>
  <c r="S130" i="107" s="1"/>
  <c r="R130" i="107" a="1"/>
  <c r="R130" i="107" s="1"/>
  <c r="Q130" i="107" a="1"/>
  <c r="Q130" i="107" s="1"/>
  <c r="P130" i="107" a="1"/>
  <c r="P130" i="107" s="1"/>
  <c r="O130" i="107" a="1"/>
  <c r="O130" i="107" s="1"/>
  <c r="N130" i="107" a="1"/>
  <c r="N130" i="107" s="1"/>
  <c r="M130" i="107" a="1"/>
  <c r="M130" i="107" s="1"/>
  <c r="L130" i="107" a="1"/>
  <c r="L130" i="107" s="1"/>
  <c r="K130" i="107" a="1"/>
  <c r="K130" i="107" s="1"/>
  <c r="J130" i="107" a="1"/>
  <c r="J130" i="107" s="1"/>
  <c r="I130" i="107" a="1"/>
  <c r="I130" i="107" s="1"/>
  <c r="H130" i="107" a="1"/>
  <c r="H130" i="107" s="1"/>
  <c r="G130" i="107" a="1"/>
  <c r="G130" i="107" s="1"/>
  <c r="F130" i="107" a="1"/>
  <c r="F130" i="107" s="1"/>
  <c r="E130" i="107" a="1"/>
  <c r="E130" i="107" s="1"/>
  <c r="D130" i="107" a="1"/>
  <c r="D130" i="107" s="1"/>
  <c r="AH129" i="107" a="1"/>
  <c r="AH129" i="107" s="1"/>
  <c r="AG129" i="107" a="1"/>
  <c r="AG129" i="107" s="1"/>
  <c r="AF129" i="107" a="1"/>
  <c r="AF129" i="107" s="1"/>
  <c r="AE129" i="107" a="1"/>
  <c r="AE129" i="107" s="1"/>
  <c r="AD129" i="107" a="1"/>
  <c r="AD129" i="107" s="1"/>
  <c r="AC129" i="107" a="1"/>
  <c r="AC129" i="107" s="1"/>
  <c r="AB129" i="107" a="1"/>
  <c r="AB129" i="107" s="1"/>
  <c r="AA129" i="107" a="1"/>
  <c r="AA129" i="107" s="1"/>
  <c r="Z129" i="107" a="1"/>
  <c r="Z129" i="107" s="1"/>
  <c r="Y129" i="107" a="1"/>
  <c r="Y129" i="107" s="1"/>
  <c r="X129" i="107" a="1"/>
  <c r="X129" i="107" s="1"/>
  <c r="W129" i="107" a="1"/>
  <c r="W129" i="107" s="1"/>
  <c r="V129" i="107" a="1"/>
  <c r="V129" i="107" s="1"/>
  <c r="U129" i="107" a="1"/>
  <c r="U129" i="107" s="1"/>
  <c r="T129" i="107" a="1"/>
  <c r="T129" i="107" s="1"/>
  <c r="S129" i="107" a="1"/>
  <c r="S129" i="107" s="1"/>
  <c r="R129" i="107" a="1"/>
  <c r="R129" i="107" s="1"/>
  <c r="Q129" i="107" a="1"/>
  <c r="Q129" i="107" s="1"/>
  <c r="P129" i="107" a="1"/>
  <c r="P129" i="107" s="1"/>
  <c r="O129" i="107" a="1"/>
  <c r="O129" i="107" s="1"/>
  <c r="N129" i="107" a="1"/>
  <c r="N129" i="107" s="1"/>
  <c r="M129" i="107" a="1"/>
  <c r="M129" i="107" s="1"/>
  <c r="L129" i="107" a="1"/>
  <c r="L129" i="107" s="1"/>
  <c r="K129" i="107" a="1"/>
  <c r="K129" i="107" s="1"/>
  <c r="J129" i="107" a="1"/>
  <c r="J129" i="107" s="1"/>
  <c r="I129" i="107" a="1"/>
  <c r="I129" i="107" s="1"/>
  <c r="H129" i="107" a="1"/>
  <c r="H129" i="107" s="1"/>
  <c r="G129" i="107" a="1"/>
  <c r="G129" i="107" s="1"/>
  <c r="F129" i="107" a="1"/>
  <c r="F129" i="107" s="1"/>
  <c r="E129" i="107" a="1"/>
  <c r="E129" i="107" s="1"/>
  <c r="D129" i="107" a="1"/>
  <c r="D129" i="107" s="1"/>
  <c r="AH128" i="107" a="1"/>
  <c r="AH128" i="107" s="1"/>
  <c r="AG128" i="107" a="1"/>
  <c r="AG128" i="107" s="1"/>
  <c r="AF128" i="107" a="1"/>
  <c r="AF128" i="107" s="1"/>
  <c r="AE128" i="107" a="1"/>
  <c r="AE128" i="107" s="1"/>
  <c r="AD128" i="107" a="1"/>
  <c r="AD128" i="107" s="1"/>
  <c r="AC128" i="107" a="1"/>
  <c r="AC128" i="107" s="1"/>
  <c r="AB128" i="107" a="1"/>
  <c r="AB128" i="107" s="1"/>
  <c r="AA128" i="107" a="1"/>
  <c r="AA128" i="107" s="1"/>
  <c r="Z128" i="107" a="1"/>
  <c r="Z128" i="107" s="1"/>
  <c r="Y128" i="107" a="1"/>
  <c r="Y128" i="107" s="1"/>
  <c r="X128" i="107" a="1"/>
  <c r="X128" i="107" s="1"/>
  <c r="W128" i="107" a="1"/>
  <c r="W128" i="107" s="1"/>
  <c r="V128" i="107" a="1"/>
  <c r="V128" i="107" s="1"/>
  <c r="U128" i="107" a="1"/>
  <c r="U128" i="107" s="1"/>
  <c r="T128" i="107" a="1"/>
  <c r="T128" i="107" s="1"/>
  <c r="S128" i="107" a="1"/>
  <c r="S128" i="107" s="1"/>
  <c r="R128" i="107" a="1"/>
  <c r="R128" i="107" s="1"/>
  <c r="Q128" i="107" a="1"/>
  <c r="Q128" i="107" s="1"/>
  <c r="P128" i="107" a="1"/>
  <c r="P128" i="107" s="1"/>
  <c r="O128" i="107" a="1"/>
  <c r="O128" i="107" s="1"/>
  <c r="N128" i="107" a="1"/>
  <c r="N128" i="107" s="1"/>
  <c r="M128" i="107" a="1"/>
  <c r="M128" i="107" s="1"/>
  <c r="L128" i="107" a="1"/>
  <c r="L128" i="107" s="1"/>
  <c r="K128" i="107" a="1"/>
  <c r="K128" i="107" s="1"/>
  <c r="J128" i="107" a="1"/>
  <c r="J128" i="107" s="1"/>
  <c r="I128" i="107" a="1"/>
  <c r="I128" i="107" s="1"/>
  <c r="H128" i="107" a="1"/>
  <c r="H128" i="107" s="1"/>
  <c r="G128" i="107" a="1"/>
  <c r="G128" i="107" s="1"/>
  <c r="F128" i="107" a="1"/>
  <c r="F128" i="107" s="1"/>
  <c r="E128" i="107" a="1"/>
  <c r="E128" i="107" s="1"/>
  <c r="D128" i="107" a="1"/>
  <c r="D128" i="107" s="1"/>
  <c r="AH127" i="107" a="1"/>
  <c r="AH127" i="107" s="1"/>
  <c r="AG127" i="107" a="1"/>
  <c r="AG127" i="107" s="1"/>
  <c r="AF127" i="107" a="1"/>
  <c r="AF127" i="107" s="1"/>
  <c r="AE127" i="107" a="1"/>
  <c r="AE127" i="107" s="1"/>
  <c r="AD127" i="107" a="1"/>
  <c r="AD127" i="107" s="1"/>
  <c r="AC127" i="107" a="1"/>
  <c r="AC127" i="107" s="1"/>
  <c r="AB127" i="107" a="1"/>
  <c r="AB127" i="107" s="1"/>
  <c r="AA127" i="107" a="1"/>
  <c r="AA127" i="107" s="1"/>
  <c r="Z127" i="107" a="1"/>
  <c r="Z127" i="107" s="1"/>
  <c r="Y127" i="107" a="1"/>
  <c r="Y127" i="107" s="1"/>
  <c r="X127" i="107" a="1"/>
  <c r="X127" i="107" s="1"/>
  <c r="W127" i="107" a="1"/>
  <c r="W127" i="107" s="1"/>
  <c r="V127" i="107" a="1"/>
  <c r="V127" i="107" s="1"/>
  <c r="U127" i="107" a="1"/>
  <c r="U127" i="107" s="1"/>
  <c r="T127" i="107" a="1"/>
  <c r="T127" i="107" s="1"/>
  <c r="S127" i="107" a="1"/>
  <c r="S127" i="107" s="1"/>
  <c r="R127" i="107" a="1"/>
  <c r="R127" i="107" s="1"/>
  <c r="Q127" i="107" a="1"/>
  <c r="Q127" i="107" s="1"/>
  <c r="P127" i="107" a="1"/>
  <c r="P127" i="107" s="1"/>
  <c r="O127" i="107" a="1"/>
  <c r="O127" i="107" s="1"/>
  <c r="N127" i="107" a="1"/>
  <c r="N127" i="107" s="1"/>
  <c r="M127" i="107" a="1"/>
  <c r="M127" i="107" s="1"/>
  <c r="L127" i="107" a="1"/>
  <c r="L127" i="107" s="1"/>
  <c r="K127" i="107" a="1"/>
  <c r="K127" i="107" s="1"/>
  <c r="J127" i="107" a="1"/>
  <c r="J127" i="107" s="1"/>
  <c r="I127" i="107" a="1"/>
  <c r="I127" i="107" s="1"/>
  <c r="H127" i="107" a="1"/>
  <c r="H127" i="107" s="1"/>
  <c r="G127" i="107" a="1"/>
  <c r="G127" i="107" s="1"/>
  <c r="F127" i="107" a="1"/>
  <c r="F127" i="107" s="1"/>
  <c r="E127" i="107" a="1"/>
  <c r="E127" i="107" s="1"/>
  <c r="D127" i="107" a="1"/>
  <c r="D127" i="107" s="1"/>
  <c r="AH126" i="107" a="1"/>
  <c r="AH126" i="107" s="1"/>
  <c r="AG126" i="107" a="1"/>
  <c r="AG126" i="107" s="1"/>
  <c r="AF126" i="107" a="1"/>
  <c r="AF126" i="107" s="1"/>
  <c r="AE126" i="107" a="1"/>
  <c r="AE126" i="107" s="1"/>
  <c r="AD126" i="107" a="1"/>
  <c r="AD126" i="107" s="1"/>
  <c r="AC126" i="107" a="1"/>
  <c r="AC126" i="107" s="1"/>
  <c r="AB126" i="107" a="1"/>
  <c r="AB126" i="107" s="1"/>
  <c r="AA126" i="107" a="1"/>
  <c r="AA126" i="107" s="1"/>
  <c r="Z126" i="107" a="1"/>
  <c r="Z126" i="107" s="1"/>
  <c r="Y126" i="107" a="1"/>
  <c r="Y126" i="107" s="1"/>
  <c r="X126" i="107" a="1"/>
  <c r="X126" i="107" s="1"/>
  <c r="W126" i="107" a="1"/>
  <c r="W126" i="107" s="1"/>
  <c r="V126" i="107" a="1"/>
  <c r="V126" i="107" s="1"/>
  <c r="U126" i="107" a="1"/>
  <c r="U126" i="107" s="1"/>
  <c r="T126" i="107" a="1"/>
  <c r="T126" i="107" s="1"/>
  <c r="S126" i="107" a="1"/>
  <c r="S126" i="107" s="1"/>
  <c r="R126" i="107" a="1"/>
  <c r="R126" i="107" s="1"/>
  <c r="Q126" i="107" a="1"/>
  <c r="Q126" i="107" s="1"/>
  <c r="P126" i="107" a="1"/>
  <c r="P126" i="107" s="1"/>
  <c r="O126" i="107" a="1"/>
  <c r="O126" i="107" s="1"/>
  <c r="N126" i="107" a="1"/>
  <c r="N126" i="107" s="1"/>
  <c r="M126" i="107" a="1"/>
  <c r="M126" i="107" s="1"/>
  <c r="L126" i="107" a="1"/>
  <c r="L126" i="107" s="1"/>
  <c r="K126" i="107" a="1"/>
  <c r="K126" i="107" s="1"/>
  <c r="J126" i="107" a="1"/>
  <c r="J126" i="107" s="1"/>
  <c r="I126" i="107" a="1"/>
  <c r="I126" i="107" s="1"/>
  <c r="H126" i="107" a="1"/>
  <c r="H126" i="107" s="1"/>
  <c r="G126" i="107" a="1"/>
  <c r="G126" i="107" s="1"/>
  <c r="F126" i="107" a="1"/>
  <c r="F126" i="107" s="1"/>
  <c r="E126" i="107" a="1"/>
  <c r="E126" i="107" s="1"/>
  <c r="D126" i="107" a="1"/>
  <c r="D126" i="107" s="1"/>
  <c r="AH125" i="107" a="1"/>
  <c r="AH125" i="107" s="1"/>
  <c r="AG125" i="107" a="1"/>
  <c r="AG125" i="107" s="1"/>
  <c r="AF125" i="107" a="1"/>
  <c r="AF125" i="107" s="1"/>
  <c r="AE125" i="107" a="1"/>
  <c r="AE125" i="107" s="1"/>
  <c r="AD125" i="107" a="1"/>
  <c r="AD125" i="107" s="1"/>
  <c r="AC125" i="107" a="1"/>
  <c r="AC125" i="107" s="1"/>
  <c r="AB125" i="107" a="1"/>
  <c r="AB125" i="107" s="1"/>
  <c r="AA125" i="107" a="1"/>
  <c r="AA125" i="107" s="1"/>
  <c r="Z125" i="107" a="1"/>
  <c r="Z125" i="107" s="1"/>
  <c r="Y125" i="107" a="1"/>
  <c r="Y125" i="107" s="1"/>
  <c r="X125" i="107" a="1"/>
  <c r="X125" i="107" s="1"/>
  <c r="W125" i="107" a="1"/>
  <c r="W125" i="107" s="1"/>
  <c r="V125" i="107" a="1"/>
  <c r="V125" i="107" s="1"/>
  <c r="U125" i="107" a="1"/>
  <c r="U125" i="107" s="1"/>
  <c r="T125" i="107" a="1"/>
  <c r="T125" i="107" s="1"/>
  <c r="S125" i="107" a="1"/>
  <c r="S125" i="107" s="1"/>
  <c r="R125" i="107" a="1"/>
  <c r="R125" i="107" s="1"/>
  <c r="Q125" i="107" a="1"/>
  <c r="Q125" i="107" s="1"/>
  <c r="P125" i="107" a="1"/>
  <c r="P125" i="107" s="1"/>
  <c r="O125" i="107" a="1"/>
  <c r="O125" i="107" s="1"/>
  <c r="N125" i="107" a="1"/>
  <c r="N125" i="107" s="1"/>
  <c r="M125" i="107" a="1"/>
  <c r="M125" i="107" s="1"/>
  <c r="L125" i="107" a="1"/>
  <c r="L125" i="107" s="1"/>
  <c r="K125" i="107" a="1"/>
  <c r="K125" i="107" s="1"/>
  <c r="J125" i="107" a="1"/>
  <c r="J125" i="107" s="1"/>
  <c r="I125" i="107" a="1"/>
  <c r="I125" i="107" s="1"/>
  <c r="H125" i="107" a="1"/>
  <c r="H125" i="107" s="1"/>
  <c r="G125" i="107" a="1"/>
  <c r="G125" i="107" s="1"/>
  <c r="F125" i="107" a="1"/>
  <c r="F125" i="107" s="1"/>
  <c r="E125" i="107" a="1"/>
  <c r="E125" i="107" s="1"/>
  <c r="D125" i="107" a="1"/>
  <c r="D125" i="107" s="1"/>
  <c r="AH124" i="107" a="1"/>
  <c r="AH124" i="107" s="1"/>
  <c r="AG124" i="107" a="1"/>
  <c r="AG124" i="107" s="1"/>
  <c r="AF124" i="107" a="1"/>
  <c r="AF124" i="107" s="1"/>
  <c r="AE124" i="107" a="1"/>
  <c r="AE124" i="107" s="1"/>
  <c r="AD124" i="107" a="1"/>
  <c r="AD124" i="107" s="1"/>
  <c r="AC124" i="107" a="1"/>
  <c r="AC124" i="107" s="1"/>
  <c r="AB124" i="107" a="1"/>
  <c r="AB124" i="107" s="1"/>
  <c r="AA124" i="107" a="1"/>
  <c r="AA124" i="107" s="1"/>
  <c r="Z124" i="107" a="1"/>
  <c r="Z124" i="107" s="1"/>
  <c r="Y124" i="107" a="1"/>
  <c r="Y124" i="107" s="1"/>
  <c r="X124" i="107" a="1"/>
  <c r="X124" i="107" s="1"/>
  <c r="W124" i="107" a="1"/>
  <c r="W124" i="107" s="1"/>
  <c r="V124" i="107" a="1"/>
  <c r="V124" i="107" s="1"/>
  <c r="U124" i="107" a="1"/>
  <c r="U124" i="107" s="1"/>
  <c r="T124" i="107" a="1"/>
  <c r="T124" i="107" s="1"/>
  <c r="S124" i="107" a="1"/>
  <c r="S124" i="107" s="1"/>
  <c r="R124" i="107" a="1"/>
  <c r="R124" i="107" s="1"/>
  <c r="Q124" i="107" a="1"/>
  <c r="Q124" i="107" s="1"/>
  <c r="P124" i="107" a="1"/>
  <c r="P124" i="107" s="1"/>
  <c r="O124" i="107" a="1"/>
  <c r="O124" i="107" s="1"/>
  <c r="N124" i="107" a="1"/>
  <c r="N124" i="107" s="1"/>
  <c r="M124" i="107" a="1"/>
  <c r="M124" i="107" s="1"/>
  <c r="L124" i="107" a="1"/>
  <c r="L124" i="107" s="1"/>
  <c r="K124" i="107" a="1"/>
  <c r="K124" i="107" s="1"/>
  <c r="J124" i="107" a="1"/>
  <c r="J124" i="107" s="1"/>
  <c r="I124" i="107" a="1"/>
  <c r="I124" i="107" s="1"/>
  <c r="H124" i="107" a="1"/>
  <c r="H124" i="107" s="1"/>
  <c r="G124" i="107" a="1"/>
  <c r="G124" i="107" s="1"/>
  <c r="F124" i="107" a="1"/>
  <c r="F124" i="107" s="1"/>
  <c r="E124" i="107" a="1"/>
  <c r="E124" i="107" s="1"/>
  <c r="D124" i="107" a="1"/>
  <c r="D124" i="107" s="1"/>
  <c r="AH123" i="107" a="1"/>
  <c r="AH123" i="107" s="1"/>
  <c r="AG123" i="107" a="1"/>
  <c r="AG123" i="107" s="1"/>
  <c r="AF123" i="107" a="1"/>
  <c r="AF123" i="107" s="1"/>
  <c r="AE123" i="107" a="1"/>
  <c r="AE123" i="107" s="1"/>
  <c r="AD123" i="107" a="1"/>
  <c r="AD123" i="107" s="1"/>
  <c r="AC123" i="107" a="1"/>
  <c r="AC123" i="107" s="1"/>
  <c r="AB123" i="107" a="1"/>
  <c r="AB123" i="107" s="1"/>
  <c r="AA123" i="107" a="1"/>
  <c r="AA123" i="107" s="1"/>
  <c r="Z123" i="107" a="1"/>
  <c r="Z123" i="107" s="1"/>
  <c r="Y123" i="107" a="1"/>
  <c r="Y123" i="107" s="1"/>
  <c r="X123" i="107" a="1"/>
  <c r="X123" i="107" s="1"/>
  <c r="W123" i="107" a="1"/>
  <c r="W123" i="107" s="1"/>
  <c r="V123" i="107" a="1"/>
  <c r="V123" i="107" s="1"/>
  <c r="U123" i="107" a="1"/>
  <c r="U123" i="107" s="1"/>
  <c r="T123" i="107" a="1"/>
  <c r="T123" i="107" s="1"/>
  <c r="S123" i="107" a="1"/>
  <c r="S123" i="107" s="1"/>
  <c r="R123" i="107" a="1"/>
  <c r="R123" i="107" s="1"/>
  <c r="Q123" i="107" a="1"/>
  <c r="Q123" i="107" s="1"/>
  <c r="P123" i="107" a="1"/>
  <c r="P123" i="107" s="1"/>
  <c r="O123" i="107" a="1"/>
  <c r="O123" i="107" s="1"/>
  <c r="N123" i="107" a="1"/>
  <c r="N123" i="107" s="1"/>
  <c r="M123" i="107" a="1"/>
  <c r="M123" i="107" s="1"/>
  <c r="L123" i="107" a="1"/>
  <c r="L123" i="107" s="1"/>
  <c r="K123" i="107" a="1"/>
  <c r="K123" i="107" s="1"/>
  <c r="J123" i="107" a="1"/>
  <c r="J123" i="107" s="1"/>
  <c r="I123" i="107" a="1"/>
  <c r="I123" i="107" s="1"/>
  <c r="H123" i="107" a="1"/>
  <c r="H123" i="107" s="1"/>
  <c r="G123" i="107" a="1"/>
  <c r="G123" i="107" s="1"/>
  <c r="F123" i="107" a="1"/>
  <c r="F123" i="107" s="1"/>
  <c r="E123" i="107" a="1"/>
  <c r="E123" i="107" s="1"/>
  <c r="D123" i="107" a="1"/>
  <c r="D123" i="107" s="1"/>
  <c r="AH122" i="107" a="1"/>
  <c r="AH122" i="107" s="1"/>
  <c r="AG122" i="107" a="1"/>
  <c r="AG122" i="107" s="1"/>
  <c r="AF122" i="107" a="1"/>
  <c r="AF122" i="107" s="1"/>
  <c r="AE122" i="107" a="1"/>
  <c r="AE122" i="107" s="1"/>
  <c r="AD122" i="107" a="1"/>
  <c r="AD122" i="107" s="1"/>
  <c r="AC122" i="107" a="1"/>
  <c r="AC122" i="107" s="1"/>
  <c r="AB122" i="107" a="1"/>
  <c r="AB122" i="107" s="1"/>
  <c r="AA122" i="107" a="1"/>
  <c r="AA122" i="107" s="1"/>
  <c r="Z122" i="107" a="1"/>
  <c r="Z122" i="107" s="1"/>
  <c r="Y122" i="107" a="1"/>
  <c r="Y122" i="107" s="1"/>
  <c r="X122" i="107" a="1"/>
  <c r="X122" i="107" s="1"/>
  <c r="W122" i="107" a="1"/>
  <c r="W122" i="107" s="1"/>
  <c r="V122" i="107" a="1"/>
  <c r="V122" i="107" s="1"/>
  <c r="U122" i="107" a="1"/>
  <c r="U122" i="107" s="1"/>
  <c r="T122" i="107" a="1"/>
  <c r="T122" i="107" s="1"/>
  <c r="S122" i="107" a="1"/>
  <c r="S122" i="107" s="1"/>
  <c r="R122" i="107" a="1"/>
  <c r="R122" i="107" s="1"/>
  <c r="Q122" i="107" a="1"/>
  <c r="Q122" i="107" s="1"/>
  <c r="P122" i="107" a="1"/>
  <c r="P122" i="107" s="1"/>
  <c r="O122" i="107" a="1"/>
  <c r="O122" i="107" s="1"/>
  <c r="N122" i="107" a="1"/>
  <c r="N122" i="107" s="1"/>
  <c r="M122" i="107" a="1"/>
  <c r="M122" i="107" s="1"/>
  <c r="L122" i="107" a="1"/>
  <c r="L122" i="107" s="1"/>
  <c r="K122" i="107" a="1"/>
  <c r="K122" i="107" s="1"/>
  <c r="J122" i="107" a="1"/>
  <c r="J122" i="107" s="1"/>
  <c r="I122" i="107" a="1"/>
  <c r="I122" i="107" s="1"/>
  <c r="H122" i="107" a="1"/>
  <c r="H122" i="107" s="1"/>
  <c r="G122" i="107" a="1"/>
  <c r="G122" i="107" s="1"/>
  <c r="F122" i="107" a="1"/>
  <c r="F122" i="107" s="1"/>
  <c r="E122" i="107" a="1"/>
  <c r="E122" i="107" s="1"/>
  <c r="D122" i="107" a="1"/>
  <c r="D122" i="107" s="1"/>
  <c r="AH121" i="107" a="1"/>
  <c r="AH121" i="107" s="1"/>
  <c r="AG121" i="107" a="1"/>
  <c r="AG121" i="107" s="1"/>
  <c r="AF121" i="107" a="1"/>
  <c r="AF121" i="107" s="1"/>
  <c r="AE121" i="107" a="1"/>
  <c r="AE121" i="107" s="1"/>
  <c r="AD121" i="107" a="1"/>
  <c r="AD121" i="107" s="1"/>
  <c r="AC121" i="107" a="1"/>
  <c r="AC121" i="107" s="1"/>
  <c r="AB121" i="107" a="1"/>
  <c r="AB121" i="107" s="1"/>
  <c r="AA121" i="107" a="1"/>
  <c r="AA121" i="107" s="1"/>
  <c r="Z121" i="107" a="1"/>
  <c r="Z121" i="107" s="1"/>
  <c r="Y121" i="107" a="1"/>
  <c r="Y121" i="107" s="1"/>
  <c r="X121" i="107" a="1"/>
  <c r="X121" i="107" s="1"/>
  <c r="W121" i="107" a="1"/>
  <c r="W121" i="107" s="1"/>
  <c r="V121" i="107" a="1"/>
  <c r="V121" i="107" s="1"/>
  <c r="U121" i="107" a="1"/>
  <c r="U121" i="107" s="1"/>
  <c r="T121" i="107" a="1"/>
  <c r="T121" i="107" s="1"/>
  <c r="S121" i="107" a="1"/>
  <c r="S121" i="107" s="1"/>
  <c r="R121" i="107" a="1"/>
  <c r="R121" i="107" s="1"/>
  <c r="Q121" i="107" a="1"/>
  <c r="Q121" i="107" s="1"/>
  <c r="P121" i="107" a="1"/>
  <c r="P121" i="107" s="1"/>
  <c r="O121" i="107" a="1"/>
  <c r="O121" i="107" s="1"/>
  <c r="N121" i="107" a="1"/>
  <c r="N121" i="107" s="1"/>
  <c r="M121" i="107" a="1"/>
  <c r="M121" i="107" s="1"/>
  <c r="L121" i="107" a="1"/>
  <c r="L121" i="107" s="1"/>
  <c r="K121" i="107" a="1"/>
  <c r="K121" i="107" s="1"/>
  <c r="J121" i="107" a="1"/>
  <c r="J121" i="107" s="1"/>
  <c r="I121" i="107" a="1"/>
  <c r="I121" i="107" s="1"/>
  <c r="H121" i="107" a="1"/>
  <c r="H121" i="107" s="1"/>
  <c r="G121" i="107" a="1"/>
  <c r="G121" i="107" s="1"/>
  <c r="F121" i="107" a="1"/>
  <c r="F121" i="107" s="1"/>
  <c r="E121" i="107" a="1"/>
  <c r="E121" i="107" s="1"/>
  <c r="D121" i="107" a="1"/>
  <c r="D121" i="107" s="1"/>
  <c r="AH120" i="107" a="1"/>
  <c r="AH120" i="107" s="1"/>
  <c r="AG120" i="107" a="1"/>
  <c r="AG120" i="107" s="1"/>
  <c r="AF120" i="107" a="1"/>
  <c r="AF120" i="107" s="1"/>
  <c r="AE120" i="107" a="1"/>
  <c r="AE120" i="107" s="1"/>
  <c r="AD120" i="107" a="1"/>
  <c r="AD120" i="107" s="1"/>
  <c r="AC120" i="107" a="1"/>
  <c r="AC120" i="107" s="1"/>
  <c r="AB120" i="107" a="1"/>
  <c r="AB120" i="107" s="1"/>
  <c r="AA120" i="107" a="1"/>
  <c r="AA120" i="107" s="1"/>
  <c r="Z120" i="107" a="1"/>
  <c r="Z120" i="107" s="1"/>
  <c r="Y120" i="107" a="1"/>
  <c r="Y120" i="107" s="1"/>
  <c r="X120" i="107" a="1"/>
  <c r="X120" i="107" s="1"/>
  <c r="W120" i="107" a="1"/>
  <c r="W120" i="107" s="1"/>
  <c r="V120" i="107" a="1"/>
  <c r="V120" i="107" s="1"/>
  <c r="U120" i="107" a="1"/>
  <c r="U120" i="107" s="1"/>
  <c r="T120" i="107" a="1"/>
  <c r="T120" i="107" s="1"/>
  <c r="S120" i="107" a="1"/>
  <c r="S120" i="107" s="1"/>
  <c r="R120" i="107" a="1"/>
  <c r="R120" i="107" s="1"/>
  <c r="Q120" i="107" a="1"/>
  <c r="Q120" i="107" s="1"/>
  <c r="P120" i="107" a="1"/>
  <c r="P120" i="107" s="1"/>
  <c r="O120" i="107" a="1"/>
  <c r="O120" i="107" s="1"/>
  <c r="N120" i="107" a="1"/>
  <c r="N120" i="107" s="1"/>
  <c r="M120" i="107" a="1"/>
  <c r="M120" i="107" s="1"/>
  <c r="L120" i="107" a="1"/>
  <c r="L120" i="107" s="1"/>
  <c r="K120" i="107" a="1"/>
  <c r="K120" i="107" s="1"/>
  <c r="J120" i="107" a="1"/>
  <c r="J120" i="107" s="1"/>
  <c r="I120" i="107" a="1"/>
  <c r="I120" i="107" s="1"/>
  <c r="H120" i="107" a="1"/>
  <c r="H120" i="107" s="1"/>
  <c r="G120" i="107" a="1"/>
  <c r="G120" i="107" s="1"/>
  <c r="F120" i="107" a="1"/>
  <c r="F120" i="107" s="1"/>
  <c r="E120" i="107" a="1"/>
  <c r="E120" i="107" s="1"/>
  <c r="D120" i="107" a="1"/>
  <c r="D120" i="107" s="1"/>
  <c r="AH119" i="107" a="1"/>
  <c r="AH119" i="107" s="1"/>
  <c r="AG119" i="107" a="1"/>
  <c r="AG119" i="107" s="1"/>
  <c r="AF119" i="107" a="1"/>
  <c r="AF119" i="107" s="1"/>
  <c r="AE119" i="107" a="1"/>
  <c r="AE119" i="107" s="1"/>
  <c r="AD119" i="107" a="1"/>
  <c r="AD119" i="107" s="1"/>
  <c r="AC119" i="107" a="1"/>
  <c r="AC119" i="107" s="1"/>
  <c r="AB119" i="107" a="1"/>
  <c r="AB119" i="107" s="1"/>
  <c r="AA119" i="107" a="1"/>
  <c r="AA119" i="107" s="1"/>
  <c r="Z119" i="107" a="1"/>
  <c r="Z119" i="107" s="1"/>
  <c r="Y119" i="107" a="1"/>
  <c r="Y119" i="107" s="1"/>
  <c r="X119" i="107" a="1"/>
  <c r="X119" i="107" s="1"/>
  <c r="W119" i="107" a="1"/>
  <c r="W119" i="107" s="1"/>
  <c r="V119" i="107" a="1"/>
  <c r="V119" i="107" s="1"/>
  <c r="U119" i="107" a="1"/>
  <c r="U119" i="107" s="1"/>
  <c r="T119" i="107" a="1"/>
  <c r="T119" i="107" s="1"/>
  <c r="S119" i="107" a="1"/>
  <c r="S119" i="107" s="1"/>
  <c r="R119" i="107" a="1"/>
  <c r="R119" i="107" s="1"/>
  <c r="Q119" i="107" a="1"/>
  <c r="Q119" i="107" s="1"/>
  <c r="P119" i="107" a="1"/>
  <c r="P119" i="107" s="1"/>
  <c r="O119" i="107" a="1"/>
  <c r="O119" i="107" s="1"/>
  <c r="N119" i="107" a="1"/>
  <c r="N119" i="107" s="1"/>
  <c r="M119" i="107" a="1"/>
  <c r="M119" i="107" s="1"/>
  <c r="L119" i="107" a="1"/>
  <c r="L119" i="107" s="1"/>
  <c r="K119" i="107" a="1"/>
  <c r="K119" i="107" s="1"/>
  <c r="J119" i="107" a="1"/>
  <c r="J119" i="107" s="1"/>
  <c r="I119" i="107" a="1"/>
  <c r="I119" i="107" s="1"/>
  <c r="H119" i="107" a="1"/>
  <c r="H119" i="107" s="1"/>
  <c r="G119" i="107" a="1"/>
  <c r="G119" i="107" s="1"/>
  <c r="F119" i="107" a="1"/>
  <c r="F119" i="107" s="1"/>
  <c r="E119" i="107" a="1"/>
  <c r="E119" i="107" s="1"/>
  <c r="D119" i="107" a="1"/>
  <c r="D119" i="107" s="1"/>
  <c r="AH118" i="107" a="1"/>
  <c r="AH118" i="107" s="1"/>
  <c r="AG118" i="107" a="1"/>
  <c r="AG118" i="107" s="1"/>
  <c r="AF118" i="107" a="1"/>
  <c r="AF118" i="107" s="1"/>
  <c r="AE118" i="107" a="1"/>
  <c r="AE118" i="107" s="1"/>
  <c r="AD118" i="107" a="1"/>
  <c r="AD118" i="107" s="1"/>
  <c r="AC118" i="107" a="1"/>
  <c r="AC118" i="107" s="1"/>
  <c r="AB118" i="107" a="1"/>
  <c r="AB118" i="107" s="1"/>
  <c r="AA118" i="107" a="1"/>
  <c r="AA118" i="107" s="1"/>
  <c r="Z118" i="107" a="1"/>
  <c r="Z118" i="107" s="1"/>
  <c r="Y118" i="107" a="1"/>
  <c r="Y118" i="107" s="1"/>
  <c r="X118" i="107" a="1"/>
  <c r="X118" i="107" s="1"/>
  <c r="W118" i="107" a="1"/>
  <c r="W118" i="107" s="1"/>
  <c r="V118" i="107" a="1"/>
  <c r="V118" i="107" s="1"/>
  <c r="U118" i="107" a="1"/>
  <c r="U118" i="107" s="1"/>
  <c r="T118" i="107" a="1"/>
  <c r="T118" i="107" s="1"/>
  <c r="S118" i="107" a="1"/>
  <c r="S118" i="107" s="1"/>
  <c r="R118" i="107" a="1"/>
  <c r="R118" i="107" s="1"/>
  <c r="Q118" i="107" a="1"/>
  <c r="Q118" i="107" s="1"/>
  <c r="P118" i="107" a="1"/>
  <c r="P118" i="107" s="1"/>
  <c r="O118" i="107" a="1"/>
  <c r="O118" i="107" s="1"/>
  <c r="N118" i="107" a="1"/>
  <c r="N118" i="107" s="1"/>
  <c r="M118" i="107" a="1"/>
  <c r="M118" i="107" s="1"/>
  <c r="L118" i="107" a="1"/>
  <c r="L118" i="107" s="1"/>
  <c r="K118" i="107" a="1"/>
  <c r="K118" i="107" s="1"/>
  <c r="J118" i="107" a="1"/>
  <c r="J118" i="107" s="1"/>
  <c r="I118" i="107" a="1"/>
  <c r="I118" i="107" s="1"/>
  <c r="H118" i="107" a="1"/>
  <c r="H118" i="107" s="1"/>
  <c r="G118" i="107" a="1"/>
  <c r="G118" i="107" s="1"/>
  <c r="F118" i="107" a="1"/>
  <c r="F118" i="107" s="1"/>
  <c r="E118" i="107" a="1"/>
  <c r="E118" i="107" s="1"/>
  <c r="D118" i="107" a="1"/>
  <c r="D118" i="107" s="1"/>
  <c r="AH117" i="107" a="1"/>
  <c r="AH117" i="107" s="1"/>
  <c r="AG117" i="107" a="1"/>
  <c r="AG117" i="107" s="1"/>
  <c r="AF117" i="107" a="1"/>
  <c r="AF117" i="107" s="1"/>
  <c r="AE117" i="107" a="1"/>
  <c r="AE117" i="107" s="1"/>
  <c r="AD117" i="107" a="1"/>
  <c r="AD117" i="107" s="1"/>
  <c r="AC117" i="107" a="1"/>
  <c r="AC117" i="107" s="1"/>
  <c r="AB117" i="107" a="1"/>
  <c r="AB117" i="107" s="1"/>
  <c r="AA117" i="107" a="1"/>
  <c r="AA117" i="107" s="1"/>
  <c r="Z117" i="107" a="1"/>
  <c r="Z117" i="107" s="1"/>
  <c r="Y117" i="107" a="1"/>
  <c r="Y117" i="107" s="1"/>
  <c r="X117" i="107" a="1"/>
  <c r="X117" i="107" s="1"/>
  <c r="W117" i="107" a="1"/>
  <c r="W117" i="107" s="1"/>
  <c r="V117" i="107" a="1"/>
  <c r="V117" i="107" s="1"/>
  <c r="U117" i="107" a="1"/>
  <c r="U117" i="107" s="1"/>
  <c r="T117" i="107" a="1"/>
  <c r="T117" i="107" s="1"/>
  <c r="S117" i="107" a="1"/>
  <c r="S117" i="107" s="1"/>
  <c r="R117" i="107" a="1"/>
  <c r="R117" i="107" s="1"/>
  <c r="Q117" i="107" a="1"/>
  <c r="Q117" i="107" s="1"/>
  <c r="P117" i="107" a="1"/>
  <c r="P117" i="107" s="1"/>
  <c r="O117" i="107" a="1"/>
  <c r="O117" i="107" s="1"/>
  <c r="N117" i="107" a="1"/>
  <c r="N117" i="107" s="1"/>
  <c r="M117" i="107" a="1"/>
  <c r="M117" i="107" s="1"/>
  <c r="L117" i="107" a="1"/>
  <c r="L117" i="107" s="1"/>
  <c r="K117" i="107" a="1"/>
  <c r="K117" i="107" s="1"/>
  <c r="J117" i="107" a="1"/>
  <c r="J117" i="107" s="1"/>
  <c r="I117" i="107" a="1"/>
  <c r="I117" i="107" s="1"/>
  <c r="H117" i="107" a="1"/>
  <c r="H117" i="107" s="1"/>
  <c r="G117" i="107" a="1"/>
  <c r="G117" i="107" s="1"/>
  <c r="F117" i="107" a="1"/>
  <c r="F117" i="107" s="1"/>
  <c r="E117" i="107" a="1"/>
  <c r="E117" i="107" s="1"/>
  <c r="D117" i="107" a="1"/>
  <c r="D117" i="107" s="1"/>
  <c r="AH116" i="107" a="1"/>
  <c r="AH116" i="107" s="1"/>
  <c r="AG116" i="107" a="1"/>
  <c r="AG116" i="107" s="1"/>
  <c r="AF116" i="107" a="1"/>
  <c r="AF116" i="107" s="1"/>
  <c r="AE116" i="107" a="1"/>
  <c r="AE116" i="107" s="1"/>
  <c r="AD116" i="107" a="1"/>
  <c r="AD116" i="107" s="1"/>
  <c r="AC116" i="107" a="1"/>
  <c r="AC116" i="107" s="1"/>
  <c r="AB116" i="107" a="1"/>
  <c r="AB116" i="107" s="1"/>
  <c r="AA116" i="107" a="1"/>
  <c r="AA116" i="107" s="1"/>
  <c r="Z116" i="107" a="1"/>
  <c r="Z116" i="107" s="1"/>
  <c r="Y116" i="107" a="1"/>
  <c r="Y116" i="107" s="1"/>
  <c r="X116" i="107" a="1"/>
  <c r="X116" i="107" s="1"/>
  <c r="W116" i="107" a="1"/>
  <c r="W116" i="107" s="1"/>
  <c r="V116" i="107" a="1"/>
  <c r="V116" i="107" s="1"/>
  <c r="U116" i="107" a="1"/>
  <c r="U116" i="107" s="1"/>
  <c r="T116" i="107" a="1"/>
  <c r="T116" i="107" s="1"/>
  <c r="S116" i="107" a="1"/>
  <c r="S116" i="107" s="1"/>
  <c r="R116" i="107" a="1"/>
  <c r="R116" i="107" s="1"/>
  <c r="Q116" i="107" a="1"/>
  <c r="Q116" i="107" s="1"/>
  <c r="P116" i="107" a="1"/>
  <c r="P116" i="107" s="1"/>
  <c r="O116" i="107" a="1"/>
  <c r="O116" i="107" s="1"/>
  <c r="N116" i="107" a="1"/>
  <c r="N116" i="107" s="1"/>
  <c r="M116" i="107" a="1"/>
  <c r="M116" i="107" s="1"/>
  <c r="L116" i="107" a="1"/>
  <c r="L116" i="107" s="1"/>
  <c r="K116" i="107" a="1"/>
  <c r="K116" i="107" s="1"/>
  <c r="J116" i="107" a="1"/>
  <c r="J116" i="107" s="1"/>
  <c r="I116" i="107" a="1"/>
  <c r="I116" i="107" s="1"/>
  <c r="H116" i="107" a="1"/>
  <c r="H116" i="107" s="1"/>
  <c r="G116" i="107" a="1"/>
  <c r="G116" i="107" s="1"/>
  <c r="F116" i="107" a="1"/>
  <c r="F116" i="107" s="1"/>
  <c r="E116" i="107" a="1"/>
  <c r="E116" i="107" s="1"/>
  <c r="D116" i="107" a="1"/>
  <c r="D116" i="107" s="1"/>
  <c r="AH115" i="107" a="1"/>
  <c r="AH115" i="107" s="1"/>
  <c r="AG115" i="107" a="1"/>
  <c r="AG115" i="107" s="1"/>
  <c r="AF115" i="107" a="1"/>
  <c r="AF115" i="107" s="1"/>
  <c r="AE115" i="107" a="1"/>
  <c r="AE115" i="107" s="1"/>
  <c r="AD115" i="107" a="1"/>
  <c r="AD115" i="107" s="1"/>
  <c r="AC115" i="107" a="1"/>
  <c r="AC115" i="107" s="1"/>
  <c r="AB115" i="107" a="1"/>
  <c r="AB115" i="107" s="1"/>
  <c r="AA115" i="107" a="1"/>
  <c r="AA115" i="107" s="1"/>
  <c r="Z115" i="107" a="1"/>
  <c r="Z115" i="107" s="1"/>
  <c r="Y115" i="107" a="1"/>
  <c r="Y115" i="107" s="1"/>
  <c r="X115" i="107" a="1"/>
  <c r="X115" i="107" s="1"/>
  <c r="W115" i="107" a="1"/>
  <c r="W115" i="107" s="1"/>
  <c r="V115" i="107" a="1"/>
  <c r="V115" i="107" s="1"/>
  <c r="U115" i="107" a="1"/>
  <c r="U115" i="107" s="1"/>
  <c r="T115" i="107" a="1"/>
  <c r="T115" i="107" s="1"/>
  <c r="S115" i="107" a="1"/>
  <c r="S115" i="107" s="1"/>
  <c r="R115" i="107" a="1"/>
  <c r="R115" i="107" s="1"/>
  <c r="Q115" i="107" a="1"/>
  <c r="Q115" i="107" s="1"/>
  <c r="P115" i="107" a="1"/>
  <c r="P115" i="107" s="1"/>
  <c r="O115" i="107" a="1"/>
  <c r="O115" i="107" s="1"/>
  <c r="N115" i="107" a="1"/>
  <c r="N115" i="107" s="1"/>
  <c r="M115" i="107" a="1"/>
  <c r="M115" i="107" s="1"/>
  <c r="L115" i="107" a="1"/>
  <c r="L115" i="107" s="1"/>
  <c r="K115" i="107" a="1"/>
  <c r="K115" i="107" s="1"/>
  <c r="J115" i="107" a="1"/>
  <c r="J115" i="107" s="1"/>
  <c r="I115" i="107" a="1"/>
  <c r="I115" i="107" s="1"/>
  <c r="H115" i="107" a="1"/>
  <c r="H115" i="107" s="1"/>
  <c r="G115" i="107" a="1"/>
  <c r="G115" i="107" s="1"/>
  <c r="F115" i="107" a="1"/>
  <c r="F115" i="107" s="1"/>
  <c r="E115" i="107" a="1"/>
  <c r="E115" i="107" s="1"/>
  <c r="D115" i="107" a="1"/>
  <c r="D115" i="107" s="1"/>
  <c r="AH114" i="107" a="1"/>
  <c r="AH114" i="107" s="1"/>
  <c r="AG114" i="107" a="1"/>
  <c r="AG114" i="107" s="1"/>
  <c r="AF114" i="107" a="1"/>
  <c r="AF114" i="107" s="1"/>
  <c r="AE114" i="107" a="1"/>
  <c r="AE114" i="107" s="1"/>
  <c r="AD114" i="107" a="1"/>
  <c r="AD114" i="107" s="1"/>
  <c r="AC114" i="107" a="1"/>
  <c r="AC114" i="107" s="1"/>
  <c r="AB114" i="107" a="1"/>
  <c r="AB114" i="107" s="1"/>
  <c r="AA114" i="107" a="1"/>
  <c r="AA114" i="107" s="1"/>
  <c r="Z114" i="107" a="1"/>
  <c r="Z114" i="107" s="1"/>
  <c r="Y114" i="107" a="1"/>
  <c r="Y114" i="107" s="1"/>
  <c r="X114" i="107" a="1"/>
  <c r="X114" i="107" s="1"/>
  <c r="W114" i="107" a="1"/>
  <c r="W114" i="107" s="1"/>
  <c r="V114" i="107" a="1"/>
  <c r="V114" i="107" s="1"/>
  <c r="U114" i="107" a="1"/>
  <c r="U114" i="107" s="1"/>
  <c r="T114" i="107" a="1"/>
  <c r="T114" i="107" s="1"/>
  <c r="S114" i="107" a="1"/>
  <c r="S114" i="107" s="1"/>
  <c r="R114" i="107" a="1"/>
  <c r="R114" i="107" s="1"/>
  <c r="Q114" i="107" a="1"/>
  <c r="Q114" i="107" s="1"/>
  <c r="P114" i="107" a="1"/>
  <c r="P114" i="107" s="1"/>
  <c r="O114" i="107" a="1"/>
  <c r="O114" i="107" s="1"/>
  <c r="N114" i="107" a="1"/>
  <c r="N114" i="107" s="1"/>
  <c r="M114" i="107" a="1"/>
  <c r="M114" i="107" s="1"/>
  <c r="L114" i="107" a="1"/>
  <c r="L114" i="107" s="1"/>
  <c r="K114" i="107" a="1"/>
  <c r="K114" i="107" s="1"/>
  <c r="J114" i="107" a="1"/>
  <c r="J114" i="107" s="1"/>
  <c r="I114" i="107" a="1"/>
  <c r="I114" i="107" s="1"/>
  <c r="H114" i="107" a="1"/>
  <c r="H114" i="107" s="1"/>
  <c r="G114" i="107" a="1"/>
  <c r="G114" i="107" s="1"/>
  <c r="F114" i="107" a="1"/>
  <c r="F114" i="107" s="1"/>
  <c r="E114" i="107" a="1"/>
  <c r="E114" i="107" s="1"/>
  <c r="D114" i="107" a="1"/>
  <c r="D114" i="107" s="1"/>
  <c r="AH113" i="107" a="1"/>
  <c r="AH113" i="107" s="1"/>
  <c r="AG113" i="107" a="1"/>
  <c r="AG113" i="107" s="1"/>
  <c r="AF113" i="107" a="1"/>
  <c r="AF113" i="107" s="1"/>
  <c r="AE113" i="107" a="1"/>
  <c r="AE113" i="107" s="1"/>
  <c r="AD113" i="107" a="1"/>
  <c r="AD113" i="107" s="1"/>
  <c r="AC113" i="107" a="1"/>
  <c r="AC113" i="107" s="1"/>
  <c r="AB113" i="107" a="1"/>
  <c r="AB113" i="107" s="1"/>
  <c r="AA113" i="107" a="1"/>
  <c r="AA113" i="107" s="1"/>
  <c r="Z113" i="107" a="1"/>
  <c r="Z113" i="107" s="1"/>
  <c r="Y113" i="107" a="1"/>
  <c r="Y113" i="107" s="1"/>
  <c r="X113" i="107" a="1"/>
  <c r="X113" i="107" s="1"/>
  <c r="W113" i="107" a="1"/>
  <c r="W113" i="107" s="1"/>
  <c r="V113" i="107" a="1"/>
  <c r="V113" i="107" s="1"/>
  <c r="U113" i="107" a="1"/>
  <c r="U113" i="107" s="1"/>
  <c r="T113" i="107" a="1"/>
  <c r="T113" i="107" s="1"/>
  <c r="S113" i="107" a="1"/>
  <c r="S113" i="107" s="1"/>
  <c r="R113" i="107" a="1"/>
  <c r="R113" i="107" s="1"/>
  <c r="Q113" i="107" a="1"/>
  <c r="Q113" i="107" s="1"/>
  <c r="P113" i="107" a="1"/>
  <c r="P113" i="107" s="1"/>
  <c r="O113" i="107" a="1"/>
  <c r="O113" i="107" s="1"/>
  <c r="N113" i="107" a="1"/>
  <c r="N113" i="107" s="1"/>
  <c r="M113" i="107" a="1"/>
  <c r="M113" i="107" s="1"/>
  <c r="L113" i="107" a="1"/>
  <c r="L113" i="107" s="1"/>
  <c r="K113" i="107" a="1"/>
  <c r="K113" i="107" s="1"/>
  <c r="J113" i="107" a="1"/>
  <c r="J113" i="107" s="1"/>
  <c r="I113" i="107" a="1"/>
  <c r="I113" i="107" s="1"/>
  <c r="H113" i="107" a="1"/>
  <c r="H113" i="107" s="1"/>
  <c r="G113" i="107" a="1"/>
  <c r="G113" i="107" s="1"/>
  <c r="F113" i="107" a="1"/>
  <c r="F113" i="107" s="1"/>
  <c r="E113" i="107" a="1"/>
  <c r="E113" i="107" s="1"/>
  <c r="D113" i="107" a="1"/>
  <c r="D113" i="107" s="1"/>
  <c r="AH112" i="107" a="1"/>
  <c r="AH112" i="107" s="1"/>
  <c r="AG112" i="107" a="1"/>
  <c r="AG112" i="107" s="1"/>
  <c r="AF112" i="107" a="1"/>
  <c r="AF112" i="107" s="1"/>
  <c r="AE112" i="107" a="1"/>
  <c r="AE112" i="107" s="1"/>
  <c r="AD112" i="107" a="1"/>
  <c r="AD112" i="107" s="1"/>
  <c r="AC112" i="107" a="1"/>
  <c r="AC112" i="107" s="1"/>
  <c r="AB112" i="107" a="1"/>
  <c r="AB112" i="107" s="1"/>
  <c r="AA112" i="107" a="1"/>
  <c r="AA112" i="107" s="1"/>
  <c r="Z112" i="107" a="1"/>
  <c r="Z112" i="107" s="1"/>
  <c r="Y112" i="107" a="1"/>
  <c r="Y112" i="107" s="1"/>
  <c r="X112" i="107" a="1"/>
  <c r="X112" i="107" s="1"/>
  <c r="W112" i="107" a="1"/>
  <c r="W112" i="107" s="1"/>
  <c r="V112" i="107" a="1"/>
  <c r="V112" i="107" s="1"/>
  <c r="U112" i="107" a="1"/>
  <c r="U112" i="107" s="1"/>
  <c r="T112" i="107" a="1"/>
  <c r="T112" i="107" s="1"/>
  <c r="S112" i="107" a="1"/>
  <c r="S112" i="107" s="1"/>
  <c r="R112" i="107" a="1"/>
  <c r="R112" i="107" s="1"/>
  <c r="Q112" i="107" a="1"/>
  <c r="Q112" i="107" s="1"/>
  <c r="P112" i="107" a="1"/>
  <c r="P112" i="107" s="1"/>
  <c r="O112" i="107" a="1"/>
  <c r="O112" i="107" s="1"/>
  <c r="N112" i="107" a="1"/>
  <c r="N112" i="107" s="1"/>
  <c r="M112" i="107" a="1"/>
  <c r="M112" i="107" s="1"/>
  <c r="L112" i="107" a="1"/>
  <c r="L112" i="107" s="1"/>
  <c r="K112" i="107" a="1"/>
  <c r="K112" i="107" s="1"/>
  <c r="J112" i="107" a="1"/>
  <c r="J112" i="107" s="1"/>
  <c r="I112" i="107" a="1"/>
  <c r="I112" i="107" s="1"/>
  <c r="H112" i="107" a="1"/>
  <c r="H112" i="107" s="1"/>
  <c r="G112" i="107" a="1"/>
  <c r="G112" i="107" s="1"/>
  <c r="F112" i="107" a="1"/>
  <c r="F112" i="107" s="1"/>
  <c r="E112" i="107" a="1"/>
  <c r="E112" i="107" s="1"/>
  <c r="D112" i="107" a="1"/>
  <c r="D112" i="107" s="1"/>
  <c r="AH111" i="107" a="1"/>
  <c r="AH111" i="107" s="1"/>
  <c r="AG111" i="107" a="1"/>
  <c r="AG111" i="107" s="1"/>
  <c r="AF111" i="107" a="1"/>
  <c r="AF111" i="107" s="1"/>
  <c r="AE111" i="107" a="1"/>
  <c r="AE111" i="107" s="1"/>
  <c r="AD111" i="107" a="1"/>
  <c r="AD111" i="107" s="1"/>
  <c r="AC111" i="107" a="1"/>
  <c r="AC111" i="107" s="1"/>
  <c r="AB111" i="107" a="1"/>
  <c r="AB111" i="107" s="1"/>
  <c r="AA111" i="107" a="1"/>
  <c r="AA111" i="107" s="1"/>
  <c r="Z111" i="107" a="1"/>
  <c r="Z111" i="107" s="1"/>
  <c r="Y111" i="107" a="1"/>
  <c r="Y111" i="107" s="1"/>
  <c r="X111" i="107" a="1"/>
  <c r="X111" i="107" s="1"/>
  <c r="W111" i="107" a="1"/>
  <c r="W111" i="107" s="1"/>
  <c r="V111" i="107" a="1"/>
  <c r="V111" i="107" s="1"/>
  <c r="U111" i="107" a="1"/>
  <c r="U111" i="107" s="1"/>
  <c r="T111" i="107" a="1"/>
  <c r="T111" i="107" s="1"/>
  <c r="S111" i="107" a="1"/>
  <c r="S111" i="107" s="1"/>
  <c r="R111" i="107" a="1"/>
  <c r="R111" i="107" s="1"/>
  <c r="Q111" i="107" a="1"/>
  <c r="Q111" i="107" s="1"/>
  <c r="P111" i="107" a="1"/>
  <c r="P111" i="107" s="1"/>
  <c r="O111" i="107" a="1"/>
  <c r="O111" i="107" s="1"/>
  <c r="N111" i="107" a="1"/>
  <c r="N111" i="107" s="1"/>
  <c r="M111" i="107" a="1"/>
  <c r="M111" i="107" s="1"/>
  <c r="L111" i="107" a="1"/>
  <c r="L111" i="107" s="1"/>
  <c r="K111" i="107" a="1"/>
  <c r="K111" i="107" s="1"/>
  <c r="J111" i="107" a="1"/>
  <c r="J111" i="107" s="1"/>
  <c r="I111" i="107" a="1"/>
  <c r="I111" i="107" s="1"/>
  <c r="H111" i="107" a="1"/>
  <c r="H111" i="107" s="1"/>
  <c r="G111" i="107" a="1"/>
  <c r="G111" i="107" s="1"/>
  <c r="F111" i="107" a="1"/>
  <c r="F111" i="107" s="1"/>
  <c r="E111" i="107" a="1"/>
  <c r="E111" i="107" s="1"/>
  <c r="D111" i="107" a="1"/>
  <c r="D111" i="107" s="1"/>
  <c r="AH110" i="107" a="1"/>
  <c r="AH110" i="107" s="1"/>
  <c r="AG110" i="107" a="1"/>
  <c r="AG110" i="107" s="1"/>
  <c r="AF110" i="107" a="1"/>
  <c r="AF110" i="107" s="1"/>
  <c r="AE110" i="107" a="1"/>
  <c r="AE110" i="107" s="1"/>
  <c r="AD110" i="107" a="1"/>
  <c r="AD110" i="107" s="1"/>
  <c r="AC110" i="107" a="1"/>
  <c r="AC110" i="107" s="1"/>
  <c r="AB110" i="107" a="1"/>
  <c r="AB110" i="107" s="1"/>
  <c r="AA110" i="107" a="1"/>
  <c r="AA110" i="107" s="1"/>
  <c r="Z110" i="107" a="1"/>
  <c r="Z110" i="107" s="1"/>
  <c r="Y110" i="107" a="1"/>
  <c r="Y110" i="107" s="1"/>
  <c r="X110" i="107" a="1"/>
  <c r="X110" i="107" s="1"/>
  <c r="W110" i="107" a="1"/>
  <c r="W110" i="107" s="1"/>
  <c r="V110" i="107" a="1"/>
  <c r="V110" i="107" s="1"/>
  <c r="U110" i="107" a="1"/>
  <c r="U110" i="107" s="1"/>
  <c r="T110" i="107" a="1"/>
  <c r="T110" i="107" s="1"/>
  <c r="S110" i="107" a="1"/>
  <c r="S110" i="107" s="1"/>
  <c r="R110" i="107" a="1"/>
  <c r="R110" i="107" s="1"/>
  <c r="Q110" i="107" a="1"/>
  <c r="Q110" i="107" s="1"/>
  <c r="P110" i="107" a="1"/>
  <c r="P110" i="107" s="1"/>
  <c r="O110" i="107" a="1"/>
  <c r="O110" i="107" s="1"/>
  <c r="N110" i="107" a="1"/>
  <c r="N110" i="107" s="1"/>
  <c r="M110" i="107" a="1"/>
  <c r="M110" i="107" s="1"/>
  <c r="L110" i="107" a="1"/>
  <c r="L110" i="107" s="1"/>
  <c r="K110" i="107" a="1"/>
  <c r="K110" i="107" s="1"/>
  <c r="J110" i="107" a="1"/>
  <c r="J110" i="107" s="1"/>
  <c r="I110" i="107" a="1"/>
  <c r="I110" i="107" s="1"/>
  <c r="H110" i="107" a="1"/>
  <c r="H110" i="107" s="1"/>
  <c r="G110" i="107" a="1"/>
  <c r="G110" i="107" s="1"/>
  <c r="F110" i="107" a="1"/>
  <c r="F110" i="107" s="1"/>
  <c r="E110" i="107" a="1"/>
  <c r="E110" i="107" s="1"/>
  <c r="D110" i="107" a="1"/>
  <c r="D110" i="107" s="1"/>
  <c r="AH109" i="107" a="1"/>
  <c r="AH109" i="107" s="1"/>
  <c r="AG109" i="107" a="1"/>
  <c r="AG109" i="107" s="1"/>
  <c r="AF109" i="107" a="1"/>
  <c r="AF109" i="107" s="1"/>
  <c r="AE109" i="107" a="1"/>
  <c r="AE109" i="107" s="1"/>
  <c r="AD109" i="107" a="1"/>
  <c r="AD109" i="107" s="1"/>
  <c r="AC109" i="107" a="1"/>
  <c r="AC109" i="107" s="1"/>
  <c r="AB109" i="107" a="1"/>
  <c r="AB109" i="107" s="1"/>
  <c r="AA109" i="107" a="1"/>
  <c r="AA109" i="107" s="1"/>
  <c r="Z109" i="107" a="1"/>
  <c r="Z109" i="107" s="1"/>
  <c r="Y109" i="107" a="1"/>
  <c r="Y109" i="107" s="1"/>
  <c r="X109" i="107" a="1"/>
  <c r="X109" i="107" s="1"/>
  <c r="W109" i="107" a="1"/>
  <c r="W109" i="107" s="1"/>
  <c r="V109" i="107" a="1"/>
  <c r="V109" i="107" s="1"/>
  <c r="U109" i="107" a="1"/>
  <c r="U109" i="107" s="1"/>
  <c r="T109" i="107" a="1"/>
  <c r="T109" i="107" s="1"/>
  <c r="S109" i="107" a="1"/>
  <c r="S109" i="107" s="1"/>
  <c r="R109" i="107" a="1"/>
  <c r="R109" i="107" s="1"/>
  <c r="Q109" i="107" a="1"/>
  <c r="Q109" i="107" s="1"/>
  <c r="P109" i="107" a="1"/>
  <c r="P109" i="107" s="1"/>
  <c r="O109" i="107" a="1"/>
  <c r="O109" i="107" s="1"/>
  <c r="N109" i="107" a="1"/>
  <c r="N109" i="107" s="1"/>
  <c r="M109" i="107" a="1"/>
  <c r="M109" i="107" s="1"/>
  <c r="L109" i="107" a="1"/>
  <c r="L109" i="107" s="1"/>
  <c r="K109" i="107" a="1"/>
  <c r="K109" i="107" s="1"/>
  <c r="J109" i="107" a="1"/>
  <c r="J109" i="107" s="1"/>
  <c r="I109" i="107" a="1"/>
  <c r="I109" i="107" s="1"/>
  <c r="H109" i="107" a="1"/>
  <c r="H109" i="107" s="1"/>
  <c r="G109" i="107" a="1"/>
  <c r="G109" i="107" s="1"/>
  <c r="F109" i="107" a="1"/>
  <c r="F109" i="107" s="1"/>
  <c r="E109" i="107" a="1"/>
  <c r="E109" i="107" s="1"/>
  <c r="D109" i="107" a="1"/>
  <c r="D109" i="107" s="1"/>
  <c r="AH108" i="107" a="1"/>
  <c r="AH108" i="107" s="1"/>
  <c r="AG108" i="107" a="1"/>
  <c r="AG108" i="107" s="1"/>
  <c r="AF108" i="107" a="1"/>
  <c r="AF108" i="107" s="1"/>
  <c r="AE108" i="107" a="1"/>
  <c r="AE108" i="107" s="1"/>
  <c r="AD108" i="107" a="1"/>
  <c r="AD108" i="107" s="1"/>
  <c r="AC108" i="107" a="1"/>
  <c r="AC108" i="107" s="1"/>
  <c r="AB108" i="107" a="1"/>
  <c r="AB108" i="107" s="1"/>
  <c r="AA108" i="107" a="1"/>
  <c r="AA108" i="107" s="1"/>
  <c r="Z108" i="107" a="1"/>
  <c r="Z108" i="107" s="1"/>
  <c r="Y108" i="107" a="1"/>
  <c r="Y108" i="107" s="1"/>
  <c r="X108" i="107" a="1"/>
  <c r="X108" i="107" s="1"/>
  <c r="W108" i="107" a="1"/>
  <c r="W108" i="107" s="1"/>
  <c r="V108" i="107" a="1"/>
  <c r="V108" i="107" s="1"/>
  <c r="U108" i="107" a="1"/>
  <c r="U108" i="107" s="1"/>
  <c r="T108" i="107" a="1"/>
  <c r="T108" i="107" s="1"/>
  <c r="S108" i="107" a="1"/>
  <c r="S108" i="107" s="1"/>
  <c r="R108" i="107" a="1"/>
  <c r="R108" i="107" s="1"/>
  <c r="Q108" i="107" a="1"/>
  <c r="Q108" i="107" s="1"/>
  <c r="P108" i="107" a="1"/>
  <c r="P108" i="107" s="1"/>
  <c r="O108" i="107" a="1"/>
  <c r="O108" i="107" s="1"/>
  <c r="N108" i="107" a="1"/>
  <c r="N108" i="107" s="1"/>
  <c r="M108" i="107" a="1"/>
  <c r="M108" i="107" s="1"/>
  <c r="L108" i="107" a="1"/>
  <c r="L108" i="107" s="1"/>
  <c r="K108" i="107" a="1"/>
  <c r="K108" i="107" s="1"/>
  <c r="J108" i="107" a="1"/>
  <c r="J108" i="107" s="1"/>
  <c r="I108" i="107" a="1"/>
  <c r="I108" i="107" s="1"/>
  <c r="H108" i="107" a="1"/>
  <c r="H108" i="107" s="1"/>
  <c r="G108" i="107" a="1"/>
  <c r="G108" i="107" s="1"/>
  <c r="F108" i="107" a="1"/>
  <c r="F108" i="107" s="1"/>
  <c r="E108" i="107" a="1"/>
  <c r="E108" i="107" s="1"/>
  <c r="D108" i="107" a="1"/>
  <c r="D108" i="107" s="1"/>
  <c r="AH107" i="107" a="1"/>
  <c r="AH107" i="107" s="1"/>
  <c r="AG107" i="107" a="1"/>
  <c r="AG107" i="107" s="1"/>
  <c r="AF107" i="107" a="1"/>
  <c r="AF107" i="107" s="1"/>
  <c r="AE107" i="107" a="1"/>
  <c r="AE107" i="107" s="1"/>
  <c r="AD107" i="107" a="1"/>
  <c r="AD107" i="107" s="1"/>
  <c r="AC107" i="107" a="1"/>
  <c r="AC107" i="107" s="1"/>
  <c r="AB107" i="107" a="1"/>
  <c r="AB107" i="107" s="1"/>
  <c r="AA107" i="107" a="1"/>
  <c r="AA107" i="107" s="1"/>
  <c r="Z107" i="107" a="1"/>
  <c r="Z107" i="107" s="1"/>
  <c r="Y107" i="107" a="1"/>
  <c r="Y107" i="107" s="1"/>
  <c r="X107" i="107" a="1"/>
  <c r="X107" i="107" s="1"/>
  <c r="W107" i="107" a="1"/>
  <c r="W107" i="107" s="1"/>
  <c r="V107" i="107" a="1"/>
  <c r="V107" i="107" s="1"/>
  <c r="U107" i="107" a="1"/>
  <c r="U107" i="107" s="1"/>
  <c r="T107" i="107" a="1"/>
  <c r="T107" i="107" s="1"/>
  <c r="S107" i="107" a="1"/>
  <c r="S107" i="107" s="1"/>
  <c r="R107" i="107" a="1"/>
  <c r="R107" i="107" s="1"/>
  <c r="Q107" i="107" a="1"/>
  <c r="Q107" i="107" s="1"/>
  <c r="P107" i="107" a="1"/>
  <c r="P107" i="107" s="1"/>
  <c r="O107" i="107" a="1"/>
  <c r="O107" i="107" s="1"/>
  <c r="N107" i="107" a="1"/>
  <c r="N107" i="107" s="1"/>
  <c r="M107" i="107" a="1"/>
  <c r="M107" i="107" s="1"/>
  <c r="L107" i="107" a="1"/>
  <c r="L107" i="107" s="1"/>
  <c r="K107" i="107" a="1"/>
  <c r="K107" i="107" s="1"/>
  <c r="J107" i="107" a="1"/>
  <c r="J107" i="107" s="1"/>
  <c r="I107" i="107" a="1"/>
  <c r="I107" i="107" s="1"/>
  <c r="H107" i="107" a="1"/>
  <c r="H107" i="107" s="1"/>
  <c r="G107" i="107" a="1"/>
  <c r="G107" i="107" s="1"/>
  <c r="F107" i="107" a="1"/>
  <c r="F107" i="107" s="1"/>
  <c r="E107" i="107" a="1"/>
  <c r="E107" i="107" s="1"/>
  <c r="D107" i="107" a="1"/>
  <c r="D107" i="107" s="1"/>
  <c r="AH106" i="107" a="1"/>
  <c r="AH106" i="107" s="1"/>
  <c r="AG106" i="107" a="1"/>
  <c r="AG106" i="107" s="1"/>
  <c r="AF106" i="107" a="1"/>
  <c r="AF106" i="107" s="1"/>
  <c r="AE106" i="107" a="1"/>
  <c r="AE106" i="107" s="1"/>
  <c r="AD106" i="107" a="1"/>
  <c r="AD106" i="107" s="1"/>
  <c r="AC106" i="107" a="1"/>
  <c r="AC106" i="107" s="1"/>
  <c r="AB106" i="107" a="1"/>
  <c r="AB106" i="107" s="1"/>
  <c r="AA106" i="107" a="1"/>
  <c r="AA106" i="107" s="1"/>
  <c r="Z106" i="107" a="1"/>
  <c r="Z106" i="107" s="1"/>
  <c r="Y106" i="107" a="1"/>
  <c r="Y106" i="107" s="1"/>
  <c r="X106" i="107" a="1"/>
  <c r="X106" i="107" s="1"/>
  <c r="W106" i="107" a="1"/>
  <c r="W106" i="107" s="1"/>
  <c r="V106" i="107" a="1"/>
  <c r="V106" i="107" s="1"/>
  <c r="U106" i="107" a="1"/>
  <c r="U106" i="107" s="1"/>
  <c r="T106" i="107" a="1"/>
  <c r="T106" i="107" s="1"/>
  <c r="S106" i="107" a="1"/>
  <c r="S106" i="107" s="1"/>
  <c r="R106" i="107" a="1"/>
  <c r="R106" i="107" s="1"/>
  <c r="Q106" i="107" a="1"/>
  <c r="Q106" i="107" s="1"/>
  <c r="P106" i="107" a="1"/>
  <c r="P106" i="107" s="1"/>
  <c r="O106" i="107" a="1"/>
  <c r="O106" i="107" s="1"/>
  <c r="N106" i="107" a="1"/>
  <c r="N106" i="107" s="1"/>
  <c r="M106" i="107" a="1"/>
  <c r="M106" i="107" s="1"/>
  <c r="L106" i="107" a="1"/>
  <c r="L106" i="107" s="1"/>
  <c r="K106" i="107" a="1"/>
  <c r="K106" i="107" s="1"/>
  <c r="J106" i="107" a="1"/>
  <c r="J106" i="107" s="1"/>
  <c r="I106" i="107" a="1"/>
  <c r="I106" i="107" s="1"/>
  <c r="H106" i="107" a="1"/>
  <c r="H106" i="107" s="1"/>
  <c r="G106" i="107" a="1"/>
  <c r="G106" i="107" s="1"/>
  <c r="F106" i="107" a="1"/>
  <c r="F106" i="107" s="1"/>
  <c r="E106" i="107" a="1"/>
  <c r="E106" i="107" s="1"/>
  <c r="D106" i="107" a="1"/>
  <c r="D106" i="107" s="1"/>
  <c r="AH105" i="107" a="1"/>
  <c r="AH105" i="107" s="1"/>
  <c r="AG105" i="107" a="1"/>
  <c r="AG105" i="107" s="1"/>
  <c r="AF105" i="107" a="1"/>
  <c r="AF105" i="107" s="1"/>
  <c r="AE105" i="107" a="1"/>
  <c r="AE105" i="107" s="1"/>
  <c r="AD105" i="107" a="1"/>
  <c r="AD105" i="107" s="1"/>
  <c r="AC105" i="107" a="1"/>
  <c r="AC105" i="107" s="1"/>
  <c r="AB105" i="107" a="1"/>
  <c r="AB105" i="107" s="1"/>
  <c r="AA105" i="107" a="1"/>
  <c r="AA105" i="107" s="1"/>
  <c r="Z105" i="107" a="1"/>
  <c r="Z105" i="107" s="1"/>
  <c r="Y105" i="107" a="1"/>
  <c r="Y105" i="107" s="1"/>
  <c r="X105" i="107" a="1"/>
  <c r="X105" i="107" s="1"/>
  <c r="W105" i="107" a="1"/>
  <c r="W105" i="107" s="1"/>
  <c r="V105" i="107" a="1"/>
  <c r="V105" i="107" s="1"/>
  <c r="U105" i="107" a="1"/>
  <c r="U105" i="107" s="1"/>
  <c r="T105" i="107" a="1"/>
  <c r="T105" i="107" s="1"/>
  <c r="S105" i="107" a="1"/>
  <c r="S105" i="107" s="1"/>
  <c r="R105" i="107" a="1"/>
  <c r="R105" i="107" s="1"/>
  <c r="Q105" i="107" a="1"/>
  <c r="Q105" i="107" s="1"/>
  <c r="P105" i="107" a="1"/>
  <c r="P105" i="107" s="1"/>
  <c r="O105" i="107" a="1"/>
  <c r="O105" i="107" s="1"/>
  <c r="N105" i="107" a="1"/>
  <c r="N105" i="107" s="1"/>
  <c r="M105" i="107" a="1"/>
  <c r="M105" i="107" s="1"/>
  <c r="L105" i="107" a="1"/>
  <c r="L105" i="107" s="1"/>
  <c r="K105" i="107" a="1"/>
  <c r="K105" i="107" s="1"/>
  <c r="J105" i="107" a="1"/>
  <c r="J105" i="107" s="1"/>
  <c r="I105" i="107" a="1"/>
  <c r="I105" i="107" s="1"/>
  <c r="H105" i="107" a="1"/>
  <c r="H105" i="107" s="1"/>
  <c r="G105" i="107" a="1"/>
  <c r="G105" i="107" s="1"/>
  <c r="F105" i="107" a="1"/>
  <c r="F105" i="107" s="1"/>
  <c r="E105" i="107" a="1"/>
  <c r="E105" i="107" s="1"/>
  <c r="D105" i="107" a="1"/>
  <c r="D105" i="107" s="1"/>
  <c r="AH104" i="107" a="1"/>
  <c r="AH104" i="107" s="1"/>
  <c r="AG104" i="107" a="1"/>
  <c r="AG104" i="107" s="1"/>
  <c r="AF104" i="107" a="1"/>
  <c r="AF104" i="107" s="1"/>
  <c r="AE104" i="107" a="1"/>
  <c r="AE104" i="107" s="1"/>
  <c r="AD104" i="107" a="1"/>
  <c r="AD104" i="107" s="1"/>
  <c r="AC104" i="107" a="1"/>
  <c r="AC104" i="107" s="1"/>
  <c r="AB104" i="107" a="1"/>
  <c r="AB104" i="107" s="1"/>
  <c r="AA104" i="107" a="1"/>
  <c r="AA104" i="107" s="1"/>
  <c r="Z104" i="107" a="1"/>
  <c r="Z104" i="107" s="1"/>
  <c r="Y104" i="107" a="1"/>
  <c r="Y104" i="107" s="1"/>
  <c r="X104" i="107" a="1"/>
  <c r="X104" i="107" s="1"/>
  <c r="W104" i="107" a="1"/>
  <c r="W104" i="107" s="1"/>
  <c r="V104" i="107" a="1"/>
  <c r="V104" i="107" s="1"/>
  <c r="U104" i="107" a="1"/>
  <c r="U104" i="107" s="1"/>
  <c r="T104" i="107" a="1"/>
  <c r="T104" i="107" s="1"/>
  <c r="S104" i="107" a="1"/>
  <c r="S104" i="107" s="1"/>
  <c r="R104" i="107" a="1"/>
  <c r="R104" i="107" s="1"/>
  <c r="Q104" i="107" a="1"/>
  <c r="Q104" i="107" s="1"/>
  <c r="P104" i="107" a="1"/>
  <c r="P104" i="107" s="1"/>
  <c r="O104" i="107" a="1"/>
  <c r="O104" i="107" s="1"/>
  <c r="N104" i="107" a="1"/>
  <c r="N104" i="107" s="1"/>
  <c r="M104" i="107" a="1"/>
  <c r="M104" i="107" s="1"/>
  <c r="L104" i="107" a="1"/>
  <c r="L104" i="107" s="1"/>
  <c r="K104" i="107" a="1"/>
  <c r="K104" i="107" s="1"/>
  <c r="J104" i="107" a="1"/>
  <c r="J104" i="107" s="1"/>
  <c r="I104" i="107" a="1"/>
  <c r="I104" i="107" s="1"/>
  <c r="H104" i="107" a="1"/>
  <c r="H104" i="107" s="1"/>
  <c r="G104" i="107" a="1"/>
  <c r="G104" i="107" s="1"/>
  <c r="F104" i="107" a="1"/>
  <c r="F104" i="107" s="1"/>
  <c r="E104" i="107" a="1"/>
  <c r="E104" i="107" s="1"/>
  <c r="D104" i="107" a="1"/>
  <c r="D104" i="107" s="1"/>
  <c r="AH103" i="107" a="1"/>
  <c r="AH103" i="107" s="1"/>
  <c r="AG103" i="107" a="1"/>
  <c r="AG103" i="107" s="1"/>
  <c r="AF103" i="107" a="1"/>
  <c r="AF103" i="107" s="1"/>
  <c r="AE103" i="107" a="1"/>
  <c r="AE103" i="107" s="1"/>
  <c r="AD103" i="107" a="1"/>
  <c r="AD103" i="107" s="1"/>
  <c r="AC103" i="107" a="1"/>
  <c r="AC103" i="107" s="1"/>
  <c r="AB103" i="107" a="1"/>
  <c r="AB103" i="107" s="1"/>
  <c r="AA103" i="107" a="1"/>
  <c r="AA103" i="107" s="1"/>
  <c r="Z103" i="107" a="1"/>
  <c r="Z103" i="107" s="1"/>
  <c r="Y103" i="107" a="1"/>
  <c r="Y103" i="107" s="1"/>
  <c r="X103" i="107" a="1"/>
  <c r="X103" i="107" s="1"/>
  <c r="W103" i="107" a="1"/>
  <c r="W103" i="107" s="1"/>
  <c r="V103" i="107" a="1"/>
  <c r="V103" i="107" s="1"/>
  <c r="U103" i="107" a="1"/>
  <c r="U103" i="107" s="1"/>
  <c r="T103" i="107" a="1"/>
  <c r="T103" i="107" s="1"/>
  <c r="S103" i="107" a="1"/>
  <c r="S103" i="107" s="1"/>
  <c r="R103" i="107" a="1"/>
  <c r="R103" i="107" s="1"/>
  <c r="Q103" i="107" a="1"/>
  <c r="Q103" i="107" s="1"/>
  <c r="P103" i="107" a="1"/>
  <c r="P103" i="107" s="1"/>
  <c r="O103" i="107" a="1"/>
  <c r="O103" i="107" s="1"/>
  <c r="N103" i="107" a="1"/>
  <c r="N103" i="107" s="1"/>
  <c r="M103" i="107" a="1"/>
  <c r="M103" i="107" s="1"/>
  <c r="L103" i="107" a="1"/>
  <c r="L103" i="107" s="1"/>
  <c r="K103" i="107" a="1"/>
  <c r="K103" i="107" s="1"/>
  <c r="J103" i="107" a="1"/>
  <c r="J103" i="107" s="1"/>
  <c r="I103" i="107" a="1"/>
  <c r="I103" i="107" s="1"/>
  <c r="H103" i="107" a="1"/>
  <c r="H103" i="107" s="1"/>
  <c r="G103" i="107" a="1"/>
  <c r="G103" i="107" s="1"/>
  <c r="F103" i="107" a="1"/>
  <c r="F103" i="107" s="1"/>
  <c r="E103" i="107" a="1"/>
  <c r="E103" i="107" s="1"/>
  <c r="D103" i="107" a="1"/>
  <c r="D103" i="107" s="1"/>
  <c r="AH102" i="107" a="1"/>
  <c r="AH102" i="107" s="1"/>
  <c r="AG102" i="107" a="1"/>
  <c r="AG102" i="107" s="1"/>
  <c r="AF102" i="107" a="1"/>
  <c r="AF102" i="107" s="1"/>
  <c r="AE102" i="107" a="1"/>
  <c r="AE102" i="107" s="1"/>
  <c r="AD102" i="107" a="1"/>
  <c r="AD102" i="107" s="1"/>
  <c r="AC102" i="107" a="1"/>
  <c r="AC102" i="107" s="1"/>
  <c r="AB102" i="107" a="1"/>
  <c r="AB102" i="107" s="1"/>
  <c r="AA102" i="107" a="1"/>
  <c r="AA102" i="107" s="1"/>
  <c r="Z102" i="107" a="1"/>
  <c r="Z102" i="107" s="1"/>
  <c r="Y102" i="107" a="1"/>
  <c r="Y102" i="107" s="1"/>
  <c r="X102" i="107" a="1"/>
  <c r="X102" i="107" s="1"/>
  <c r="W102" i="107" a="1"/>
  <c r="W102" i="107" s="1"/>
  <c r="V102" i="107" a="1"/>
  <c r="V102" i="107" s="1"/>
  <c r="U102" i="107" a="1"/>
  <c r="U102" i="107" s="1"/>
  <c r="T102" i="107" a="1"/>
  <c r="T102" i="107" s="1"/>
  <c r="S102" i="107" a="1"/>
  <c r="S102" i="107" s="1"/>
  <c r="R102" i="107" a="1"/>
  <c r="R102" i="107" s="1"/>
  <c r="Q102" i="107" a="1"/>
  <c r="Q102" i="107" s="1"/>
  <c r="P102" i="107" a="1"/>
  <c r="P102" i="107" s="1"/>
  <c r="O102" i="107" a="1"/>
  <c r="O102" i="107" s="1"/>
  <c r="N102" i="107" a="1"/>
  <c r="N102" i="107" s="1"/>
  <c r="M102" i="107" a="1"/>
  <c r="M102" i="107" s="1"/>
  <c r="L102" i="107" a="1"/>
  <c r="L102" i="107" s="1"/>
  <c r="K102" i="107" a="1"/>
  <c r="K102" i="107" s="1"/>
  <c r="J102" i="107" a="1"/>
  <c r="J102" i="107" s="1"/>
  <c r="I102" i="107" a="1"/>
  <c r="I102" i="107" s="1"/>
  <c r="H102" i="107" a="1"/>
  <c r="H102" i="107" s="1"/>
  <c r="G102" i="107" a="1"/>
  <c r="G102" i="107" s="1"/>
  <c r="F102" i="107" a="1"/>
  <c r="F102" i="107" s="1"/>
  <c r="E102" i="107" a="1"/>
  <c r="E102" i="107" s="1"/>
  <c r="D102" i="107" a="1"/>
  <c r="D102" i="107" s="1"/>
  <c r="AH101" i="107" a="1"/>
  <c r="AH101" i="107" s="1"/>
  <c r="AG101" i="107" a="1"/>
  <c r="AG101" i="107" s="1"/>
  <c r="AF101" i="107" a="1"/>
  <c r="AF101" i="107" s="1"/>
  <c r="AE101" i="107" a="1"/>
  <c r="AE101" i="107" s="1"/>
  <c r="AD101" i="107" a="1"/>
  <c r="AD101" i="107" s="1"/>
  <c r="AC101" i="107" a="1"/>
  <c r="AC101" i="107" s="1"/>
  <c r="AB101" i="107" a="1"/>
  <c r="AB101" i="107" s="1"/>
  <c r="AA101" i="107" a="1"/>
  <c r="AA101" i="107" s="1"/>
  <c r="Z101" i="107" a="1"/>
  <c r="Z101" i="107" s="1"/>
  <c r="Y101" i="107" a="1"/>
  <c r="Y101" i="107" s="1"/>
  <c r="X101" i="107" a="1"/>
  <c r="X101" i="107" s="1"/>
  <c r="W101" i="107" a="1"/>
  <c r="W101" i="107" s="1"/>
  <c r="V101" i="107" a="1"/>
  <c r="V101" i="107" s="1"/>
  <c r="U101" i="107" a="1"/>
  <c r="U101" i="107" s="1"/>
  <c r="T101" i="107" a="1"/>
  <c r="T101" i="107" s="1"/>
  <c r="S101" i="107" a="1"/>
  <c r="S101" i="107" s="1"/>
  <c r="R101" i="107" a="1"/>
  <c r="R101" i="107" s="1"/>
  <c r="Q101" i="107" a="1"/>
  <c r="Q101" i="107" s="1"/>
  <c r="P101" i="107" a="1"/>
  <c r="P101" i="107" s="1"/>
  <c r="O101" i="107" a="1"/>
  <c r="O101" i="107" s="1"/>
  <c r="N101" i="107" a="1"/>
  <c r="N101" i="107" s="1"/>
  <c r="M101" i="107" a="1"/>
  <c r="M101" i="107" s="1"/>
  <c r="L101" i="107" a="1"/>
  <c r="L101" i="107" s="1"/>
  <c r="K101" i="107" a="1"/>
  <c r="K101" i="107" s="1"/>
  <c r="J101" i="107" a="1"/>
  <c r="J101" i="107" s="1"/>
  <c r="I101" i="107" a="1"/>
  <c r="I101" i="107" s="1"/>
  <c r="H101" i="107" a="1"/>
  <c r="H101" i="107" s="1"/>
  <c r="G101" i="107" a="1"/>
  <c r="G101" i="107" s="1"/>
  <c r="F101" i="107" a="1"/>
  <c r="F101" i="107" s="1"/>
  <c r="E101" i="107" a="1"/>
  <c r="E101" i="107" s="1"/>
  <c r="D101" i="107" a="1"/>
  <c r="D101" i="107" s="1"/>
  <c r="AH100" i="107" a="1"/>
  <c r="AH100" i="107" s="1"/>
  <c r="AG100" i="107" a="1"/>
  <c r="AG100" i="107" s="1"/>
  <c r="AF100" i="107" a="1"/>
  <c r="AF100" i="107" s="1"/>
  <c r="AE100" i="107" a="1"/>
  <c r="AE100" i="107" s="1"/>
  <c r="AD100" i="107" a="1"/>
  <c r="AD100" i="107" s="1"/>
  <c r="AC100" i="107" a="1"/>
  <c r="AC100" i="107" s="1"/>
  <c r="AB100" i="107" a="1"/>
  <c r="AB100" i="107" s="1"/>
  <c r="AA100" i="107" a="1"/>
  <c r="AA100" i="107" s="1"/>
  <c r="Z100" i="107" a="1"/>
  <c r="Z100" i="107" s="1"/>
  <c r="Y100" i="107" a="1"/>
  <c r="Y100" i="107" s="1"/>
  <c r="X100" i="107" a="1"/>
  <c r="X100" i="107" s="1"/>
  <c r="W100" i="107" a="1"/>
  <c r="W100" i="107" s="1"/>
  <c r="V100" i="107" a="1"/>
  <c r="V100" i="107" s="1"/>
  <c r="U100" i="107" a="1"/>
  <c r="U100" i="107" s="1"/>
  <c r="T100" i="107" a="1"/>
  <c r="T100" i="107" s="1"/>
  <c r="S100" i="107" a="1"/>
  <c r="S100" i="107" s="1"/>
  <c r="R100" i="107" a="1"/>
  <c r="R100" i="107" s="1"/>
  <c r="Q100" i="107" a="1"/>
  <c r="Q100" i="107" s="1"/>
  <c r="P100" i="107" a="1"/>
  <c r="P100" i="107" s="1"/>
  <c r="O100" i="107" a="1"/>
  <c r="O100" i="107" s="1"/>
  <c r="N100" i="107" a="1"/>
  <c r="N100" i="107" s="1"/>
  <c r="M100" i="107" a="1"/>
  <c r="M100" i="107" s="1"/>
  <c r="L100" i="107" a="1"/>
  <c r="L100" i="107" s="1"/>
  <c r="K100" i="107" a="1"/>
  <c r="K100" i="107" s="1"/>
  <c r="J100" i="107" a="1"/>
  <c r="J100" i="107" s="1"/>
  <c r="I100" i="107" a="1"/>
  <c r="I100" i="107" s="1"/>
  <c r="H100" i="107" a="1"/>
  <c r="H100" i="107" s="1"/>
  <c r="G100" i="107" a="1"/>
  <c r="G100" i="107" s="1"/>
  <c r="F100" i="107" a="1"/>
  <c r="F100" i="107" s="1"/>
  <c r="E100" i="107" a="1"/>
  <c r="E100" i="107" s="1"/>
  <c r="D100" i="107" a="1"/>
  <c r="D100" i="107" s="1"/>
  <c r="AH99" i="107" a="1"/>
  <c r="AH99" i="107" s="1"/>
  <c r="AG99" i="107" a="1"/>
  <c r="AG99" i="107" s="1"/>
  <c r="AF99" i="107" a="1"/>
  <c r="AF99" i="107" s="1"/>
  <c r="AE99" i="107" a="1"/>
  <c r="AE99" i="107" s="1"/>
  <c r="AD99" i="107" a="1"/>
  <c r="AD99" i="107" s="1"/>
  <c r="AC99" i="107" a="1"/>
  <c r="AC99" i="107" s="1"/>
  <c r="AB99" i="107" a="1"/>
  <c r="AB99" i="107" s="1"/>
  <c r="AA99" i="107" a="1"/>
  <c r="AA99" i="107" s="1"/>
  <c r="Z99" i="107" a="1"/>
  <c r="Z99" i="107" s="1"/>
  <c r="Y99" i="107" a="1"/>
  <c r="Y99" i="107" s="1"/>
  <c r="X99" i="107" a="1"/>
  <c r="X99" i="107" s="1"/>
  <c r="W99" i="107" a="1"/>
  <c r="W99" i="107" s="1"/>
  <c r="V99" i="107" a="1"/>
  <c r="V99" i="107" s="1"/>
  <c r="U99" i="107" a="1"/>
  <c r="U99" i="107" s="1"/>
  <c r="T99" i="107" a="1"/>
  <c r="T99" i="107" s="1"/>
  <c r="S99" i="107" a="1"/>
  <c r="S99" i="107" s="1"/>
  <c r="R99" i="107" a="1"/>
  <c r="R99" i="107" s="1"/>
  <c r="Q99" i="107" a="1"/>
  <c r="Q99" i="107" s="1"/>
  <c r="P99" i="107" a="1"/>
  <c r="P99" i="107" s="1"/>
  <c r="O99" i="107" a="1"/>
  <c r="O99" i="107" s="1"/>
  <c r="N99" i="107" a="1"/>
  <c r="N99" i="107" s="1"/>
  <c r="M99" i="107" a="1"/>
  <c r="M99" i="107" s="1"/>
  <c r="L99" i="107" a="1"/>
  <c r="L99" i="107" s="1"/>
  <c r="K99" i="107" a="1"/>
  <c r="K99" i="107" s="1"/>
  <c r="J99" i="107" a="1"/>
  <c r="J99" i="107" s="1"/>
  <c r="I99" i="107" a="1"/>
  <c r="I99" i="107" s="1"/>
  <c r="H99" i="107" a="1"/>
  <c r="H99" i="107" s="1"/>
  <c r="G99" i="107" a="1"/>
  <c r="G99" i="107" s="1"/>
  <c r="F99" i="107" a="1"/>
  <c r="F99" i="107" s="1"/>
  <c r="E99" i="107" a="1"/>
  <c r="E99" i="107" s="1"/>
  <c r="D99" i="107" a="1"/>
  <c r="D99" i="107" s="1"/>
  <c r="AH98" i="107" a="1"/>
  <c r="AH98" i="107" s="1"/>
  <c r="AG98" i="107" a="1"/>
  <c r="AG98" i="107" s="1"/>
  <c r="AF98" i="107" a="1"/>
  <c r="AF98" i="107" s="1"/>
  <c r="AE98" i="107" a="1"/>
  <c r="AE98" i="107" s="1"/>
  <c r="AD98" i="107" a="1"/>
  <c r="AD98" i="107" s="1"/>
  <c r="AC98" i="107" a="1"/>
  <c r="AC98" i="107" s="1"/>
  <c r="AB98" i="107" a="1"/>
  <c r="AB98" i="107" s="1"/>
  <c r="AA98" i="107" a="1"/>
  <c r="AA98" i="107" s="1"/>
  <c r="Z98" i="107" a="1"/>
  <c r="Z98" i="107" s="1"/>
  <c r="Y98" i="107" a="1"/>
  <c r="Y98" i="107" s="1"/>
  <c r="X98" i="107" a="1"/>
  <c r="X98" i="107" s="1"/>
  <c r="W98" i="107" a="1"/>
  <c r="W98" i="107" s="1"/>
  <c r="V98" i="107" a="1"/>
  <c r="V98" i="107" s="1"/>
  <c r="U98" i="107" a="1"/>
  <c r="U98" i="107" s="1"/>
  <c r="T98" i="107" a="1"/>
  <c r="T98" i="107" s="1"/>
  <c r="S98" i="107" a="1"/>
  <c r="S98" i="107" s="1"/>
  <c r="R98" i="107" a="1"/>
  <c r="R98" i="107" s="1"/>
  <c r="Q98" i="107" a="1"/>
  <c r="Q98" i="107" s="1"/>
  <c r="P98" i="107" a="1"/>
  <c r="P98" i="107" s="1"/>
  <c r="O98" i="107" a="1"/>
  <c r="O98" i="107" s="1"/>
  <c r="N98" i="107" a="1"/>
  <c r="N98" i="107" s="1"/>
  <c r="M98" i="107" a="1"/>
  <c r="M98" i="107" s="1"/>
  <c r="L98" i="107" a="1"/>
  <c r="L98" i="107" s="1"/>
  <c r="K98" i="107" a="1"/>
  <c r="K98" i="107" s="1"/>
  <c r="J98" i="107" a="1"/>
  <c r="J98" i="107" s="1"/>
  <c r="I98" i="107" a="1"/>
  <c r="I98" i="107" s="1"/>
  <c r="H98" i="107" a="1"/>
  <c r="H98" i="107" s="1"/>
  <c r="G98" i="107" a="1"/>
  <c r="G98" i="107" s="1"/>
  <c r="F98" i="107" a="1"/>
  <c r="F98" i="107" s="1"/>
  <c r="E98" i="107" a="1"/>
  <c r="E98" i="107" s="1"/>
  <c r="D98" i="107" a="1"/>
  <c r="D98" i="107" s="1"/>
  <c r="AH97" i="107" a="1"/>
  <c r="AH97" i="107" s="1"/>
  <c r="AG97" i="107" a="1"/>
  <c r="AG97" i="107" s="1"/>
  <c r="AF97" i="107" a="1"/>
  <c r="AF97" i="107" s="1"/>
  <c r="AE97" i="107" a="1"/>
  <c r="AE97" i="107" s="1"/>
  <c r="AD97" i="107" a="1"/>
  <c r="AD97" i="107" s="1"/>
  <c r="AC97" i="107" a="1"/>
  <c r="AC97" i="107" s="1"/>
  <c r="AB97" i="107" a="1"/>
  <c r="AB97" i="107" s="1"/>
  <c r="AA97" i="107" a="1"/>
  <c r="AA97" i="107" s="1"/>
  <c r="Z97" i="107" a="1"/>
  <c r="Z97" i="107" s="1"/>
  <c r="Y97" i="107" a="1"/>
  <c r="Y97" i="107" s="1"/>
  <c r="X97" i="107" a="1"/>
  <c r="X97" i="107" s="1"/>
  <c r="W97" i="107" a="1"/>
  <c r="W97" i="107" s="1"/>
  <c r="V97" i="107" a="1"/>
  <c r="V97" i="107" s="1"/>
  <c r="U97" i="107" a="1"/>
  <c r="U97" i="107" s="1"/>
  <c r="T97" i="107" a="1"/>
  <c r="T97" i="107" s="1"/>
  <c r="S97" i="107" a="1"/>
  <c r="S97" i="107" s="1"/>
  <c r="R97" i="107" a="1"/>
  <c r="R97" i="107" s="1"/>
  <c r="Q97" i="107" a="1"/>
  <c r="Q97" i="107" s="1"/>
  <c r="P97" i="107" a="1"/>
  <c r="P97" i="107" s="1"/>
  <c r="O97" i="107" a="1"/>
  <c r="O97" i="107" s="1"/>
  <c r="N97" i="107" a="1"/>
  <c r="N97" i="107" s="1"/>
  <c r="M97" i="107" a="1"/>
  <c r="M97" i="107" s="1"/>
  <c r="L97" i="107" a="1"/>
  <c r="L97" i="107" s="1"/>
  <c r="K97" i="107" a="1"/>
  <c r="K97" i="107" s="1"/>
  <c r="J97" i="107" a="1"/>
  <c r="J97" i="107" s="1"/>
  <c r="I97" i="107" a="1"/>
  <c r="I97" i="107" s="1"/>
  <c r="H97" i="107" a="1"/>
  <c r="H97" i="107" s="1"/>
  <c r="G97" i="107" a="1"/>
  <c r="G97" i="107" s="1"/>
  <c r="F97" i="107" a="1"/>
  <c r="F97" i="107" s="1"/>
  <c r="E97" i="107" a="1"/>
  <c r="E97" i="107" s="1"/>
  <c r="D97" i="107" a="1"/>
  <c r="D97" i="107" s="1"/>
  <c r="AH96" i="107" a="1"/>
  <c r="AH96" i="107" s="1"/>
  <c r="AG96" i="107" a="1"/>
  <c r="AG96" i="107" s="1"/>
  <c r="AF96" i="107" a="1"/>
  <c r="AF96" i="107" s="1"/>
  <c r="AE96" i="107" a="1"/>
  <c r="AE96" i="107" s="1"/>
  <c r="AD96" i="107" a="1"/>
  <c r="AD96" i="107" s="1"/>
  <c r="AC96" i="107" a="1"/>
  <c r="AC96" i="107" s="1"/>
  <c r="AB96" i="107" a="1"/>
  <c r="AB96" i="107" s="1"/>
  <c r="AA96" i="107" a="1"/>
  <c r="AA96" i="107" s="1"/>
  <c r="Z96" i="107" a="1"/>
  <c r="Z96" i="107" s="1"/>
  <c r="Y96" i="107" a="1"/>
  <c r="Y96" i="107" s="1"/>
  <c r="X96" i="107" a="1"/>
  <c r="X96" i="107" s="1"/>
  <c r="W96" i="107" a="1"/>
  <c r="W96" i="107" s="1"/>
  <c r="V96" i="107" a="1"/>
  <c r="V96" i="107" s="1"/>
  <c r="U96" i="107" a="1"/>
  <c r="U96" i="107" s="1"/>
  <c r="T96" i="107" a="1"/>
  <c r="T96" i="107" s="1"/>
  <c r="S96" i="107" a="1"/>
  <c r="S96" i="107" s="1"/>
  <c r="R96" i="107" a="1"/>
  <c r="R96" i="107" s="1"/>
  <c r="Q96" i="107" a="1"/>
  <c r="Q96" i="107" s="1"/>
  <c r="P96" i="107" a="1"/>
  <c r="P96" i="107" s="1"/>
  <c r="O96" i="107" a="1"/>
  <c r="O96" i="107" s="1"/>
  <c r="N96" i="107" a="1"/>
  <c r="N96" i="107" s="1"/>
  <c r="M96" i="107" a="1"/>
  <c r="M96" i="107" s="1"/>
  <c r="L96" i="107" a="1"/>
  <c r="L96" i="107" s="1"/>
  <c r="K96" i="107" a="1"/>
  <c r="K96" i="107" s="1"/>
  <c r="J96" i="107" a="1"/>
  <c r="J96" i="107" s="1"/>
  <c r="I96" i="107" a="1"/>
  <c r="I96" i="107" s="1"/>
  <c r="H96" i="107" a="1"/>
  <c r="H96" i="107" s="1"/>
  <c r="G96" i="107" a="1"/>
  <c r="G96" i="107" s="1"/>
  <c r="F96" i="107" a="1"/>
  <c r="F96" i="107" s="1"/>
  <c r="E96" i="107" a="1"/>
  <c r="E96" i="107" s="1"/>
  <c r="D96" i="107" a="1"/>
  <c r="D96" i="107" s="1"/>
  <c r="AH95" i="107" a="1"/>
  <c r="AH95" i="107" s="1"/>
  <c r="AG95" i="107" a="1"/>
  <c r="AG95" i="107" s="1"/>
  <c r="AF95" i="107" a="1"/>
  <c r="AF95" i="107" s="1"/>
  <c r="AE95" i="107" a="1"/>
  <c r="AE95" i="107" s="1"/>
  <c r="AD95" i="107" a="1"/>
  <c r="AD95" i="107" s="1"/>
  <c r="AC95" i="107" a="1"/>
  <c r="AC95" i="107" s="1"/>
  <c r="AB95" i="107" a="1"/>
  <c r="AB95" i="107" s="1"/>
  <c r="AA95" i="107" a="1"/>
  <c r="AA95" i="107" s="1"/>
  <c r="Z95" i="107" a="1"/>
  <c r="Z95" i="107" s="1"/>
  <c r="Y95" i="107" a="1"/>
  <c r="Y95" i="107" s="1"/>
  <c r="X95" i="107" a="1"/>
  <c r="X95" i="107" s="1"/>
  <c r="W95" i="107" a="1"/>
  <c r="W95" i="107" s="1"/>
  <c r="V95" i="107" a="1"/>
  <c r="V95" i="107" s="1"/>
  <c r="U95" i="107" a="1"/>
  <c r="U95" i="107" s="1"/>
  <c r="T95" i="107" a="1"/>
  <c r="T95" i="107" s="1"/>
  <c r="S95" i="107" a="1"/>
  <c r="S95" i="107" s="1"/>
  <c r="R95" i="107" a="1"/>
  <c r="R95" i="107" s="1"/>
  <c r="Q95" i="107" a="1"/>
  <c r="Q95" i="107" s="1"/>
  <c r="P95" i="107" a="1"/>
  <c r="P95" i="107" s="1"/>
  <c r="O95" i="107" a="1"/>
  <c r="O95" i="107" s="1"/>
  <c r="N95" i="107" a="1"/>
  <c r="N95" i="107" s="1"/>
  <c r="M95" i="107" a="1"/>
  <c r="M95" i="107" s="1"/>
  <c r="L95" i="107" a="1"/>
  <c r="L95" i="107" s="1"/>
  <c r="K95" i="107" a="1"/>
  <c r="K95" i="107" s="1"/>
  <c r="J95" i="107" a="1"/>
  <c r="J95" i="107" s="1"/>
  <c r="I95" i="107" a="1"/>
  <c r="I95" i="107" s="1"/>
  <c r="H95" i="107" a="1"/>
  <c r="H95" i="107" s="1"/>
  <c r="G95" i="107" a="1"/>
  <c r="G95" i="107" s="1"/>
  <c r="F95" i="107" a="1"/>
  <c r="F95" i="107" s="1"/>
  <c r="E95" i="107" a="1"/>
  <c r="E95" i="107" s="1"/>
  <c r="D95" i="107" a="1"/>
  <c r="D95" i="107" s="1"/>
  <c r="AH94" i="107" a="1"/>
  <c r="AH94" i="107" s="1"/>
  <c r="AG94" i="107" a="1"/>
  <c r="AG94" i="107" s="1"/>
  <c r="AF94" i="107" a="1"/>
  <c r="AF94" i="107" s="1"/>
  <c r="AE94" i="107" a="1"/>
  <c r="AE94" i="107" s="1"/>
  <c r="AD94" i="107" a="1"/>
  <c r="AD94" i="107" s="1"/>
  <c r="AC94" i="107" a="1"/>
  <c r="AC94" i="107" s="1"/>
  <c r="AB94" i="107" a="1"/>
  <c r="AB94" i="107" s="1"/>
  <c r="AA94" i="107" a="1"/>
  <c r="AA94" i="107" s="1"/>
  <c r="Z94" i="107" a="1"/>
  <c r="Z94" i="107" s="1"/>
  <c r="Y94" i="107" a="1"/>
  <c r="Y94" i="107" s="1"/>
  <c r="X94" i="107" a="1"/>
  <c r="X94" i="107" s="1"/>
  <c r="W94" i="107" a="1"/>
  <c r="W94" i="107" s="1"/>
  <c r="V94" i="107" a="1"/>
  <c r="V94" i="107" s="1"/>
  <c r="U94" i="107" a="1"/>
  <c r="U94" i="107" s="1"/>
  <c r="T94" i="107" a="1"/>
  <c r="T94" i="107" s="1"/>
  <c r="S94" i="107" a="1"/>
  <c r="S94" i="107" s="1"/>
  <c r="R94" i="107" a="1"/>
  <c r="R94" i="107" s="1"/>
  <c r="Q94" i="107" a="1"/>
  <c r="Q94" i="107" s="1"/>
  <c r="P94" i="107" a="1"/>
  <c r="P94" i="107" s="1"/>
  <c r="O94" i="107" a="1"/>
  <c r="O94" i="107" s="1"/>
  <c r="N94" i="107" a="1"/>
  <c r="N94" i="107" s="1"/>
  <c r="M94" i="107" a="1"/>
  <c r="M94" i="107" s="1"/>
  <c r="L94" i="107" a="1"/>
  <c r="L94" i="107" s="1"/>
  <c r="K94" i="107" a="1"/>
  <c r="K94" i="107" s="1"/>
  <c r="J94" i="107" a="1"/>
  <c r="J94" i="107" s="1"/>
  <c r="I94" i="107" a="1"/>
  <c r="I94" i="107" s="1"/>
  <c r="H94" i="107" a="1"/>
  <c r="H94" i="107" s="1"/>
  <c r="G94" i="107" a="1"/>
  <c r="G94" i="107" s="1"/>
  <c r="F94" i="107" a="1"/>
  <c r="F94" i="107" s="1"/>
  <c r="E94" i="107" a="1"/>
  <c r="E94" i="107" s="1"/>
  <c r="D94" i="107" a="1"/>
  <c r="D94" i="107" s="1"/>
  <c r="AH93" i="107" a="1"/>
  <c r="AH93" i="107" s="1"/>
  <c r="AG93" i="107" a="1"/>
  <c r="AG93" i="107" s="1"/>
  <c r="AF93" i="107" a="1"/>
  <c r="AF93" i="107" s="1"/>
  <c r="AE93" i="107" a="1"/>
  <c r="AE93" i="107" s="1"/>
  <c r="AD93" i="107" a="1"/>
  <c r="AD93" i="107" s="1"/>
  <c r="AC93" i="107" a="1"/>
  <c r="AC93" i="107" s="1"/>
  <c r="AB93" i="107" a="1"/>
  <c r="AB93" i="107" s="1"/>
  <c r="AA93" i="107" a="1"/>
  <c r="AA93" i="107" s="1"/>
  <c r="Z93" i="107" a="1"/>
  <c r="Z93" i="107" s="1"/>
  <c r="Y93" i="107" a="1"/>
  <c r="Y93" i="107" s="1"/>
  <c r="X93" i="107" a="1"/>
  <c r="X93" i="107" s="1"/>
  <c r="W93" i="107" a="1"/>
  <c r="W93" i="107" s="1"/>
  <c r="V93" i="107" a="1"/>
  <c r="V93" i="107" s="1"/>
  <c r="U93" i="107" a="1"/>
  <c r="U93" i="107" s="1"/>
  <c r="T93" i="107" a="1"/>
  <c r="T93" i="107" s="1"/>
  <c r="S93" i="107" a="1"/>
  <c r="S93" i="107" s="1"/>
  <c r="R93" i="107" a="1"/>
  <c r="R93" i="107" s="1"/>
  <c r="Q93" i="107" a="1"/>
  <c r="Q93" i="107" s="1"/>
  <c r="P93" i="107" a="1"/>
  <c r="P93" i="107" s="1"/>
  <c r="O93" i="107" a="1"/>
  <c r="O93" i="107" s="1"/>
  <c r="N93" i="107" a="1"/>
  <c r="N93" i="107" s="1"/>
  <c r="M93" i="107" a="1"/>
  <c r="M93" i="107" s="1"/>
  <c r="L93" i="107" a="1"/>
  <c r="L93" i="107" s="1"/>
  <c r="K93" i="107" a="1"/>
  <c r="K93" i="107" s="1"/>
  <c r="J93" i="107" a="1"/>
  <c r="J93" i="107" s="1"/>
  <c r="I93" i="107" a="1"/>
  <c r="I93" i="107" s="1"/>
  <c r="H93" i="107" a="1"/>
  <c r="H93" i="107" s="1"/>
  <c r="G93" i="107" a="1"/>
  <c r="G93" i="107" s="1"/>
  <c r="F93" i="107" a="1"/>
  <c r="F93" i="107" s="1"/>
  <c r="E93" i="107" a="1"/>
  <c r="E93" i="107" s="1"/>
  <c r="D93" i="107" a="1"/>
  <c r="D93" i="107" s="1"/>
  <c r="AH92" i="107" a="1"/>
  <c r="AH92" i="107" s="1"/>
  <c r="AG92" i="107" a="1"/>
  <c r="AG92" i="107" s="1"/>
  <c r="AF92" i="107" a="1"/>
  <c r="AF92" i="107" s="1"/>
  <c r="AE92" i="107" a="1"/>
  <c r="AE92" i="107" s="1"/>
  <c r="AD92" i="107" a="1"/>
  <c r="AD92" i="107" s="1"/>
  <c r="AC92" i="107" a="1"/>
  <c r="AC92" i="107" s="1"/>
  <c r="AB92" i="107" a="1"/>
  <c r="AB92" i="107" s="1"/>
  <c r="AA92" i="107" a="1"/>
  <c r="AA92" i="107" s="1"/>
  <c r="Z92" i="107" a="1"/>
  <c r="Z92" i="107" s="1"/>
  <c r="Y92" i="107" a="1"/>
  <c r="Y92" i="107" s="1"/>
  <c r="X92" i="107" a="1"/>
  <c r="X92" i="107" s="1"/>
  <c r="W92" i="107" a="1"/>
  <c r="W92" i="107" s="1"/>
  <c r="V92" i="107" a="1"/>
  <c r="V92" i="107" s="1"/>
  <c r="U92" i="107" a="1"/>
  <c r="U92" i="107" s="1"/>
  <c r="T92" i="107" a="1"/>
  <c r="T92" i="107" s="1"/>
  <c r="S92" i="107" a="1"/>
  <c r="S92" i="107" s="1"/>
  <c r="R92" i="107" a="1"/>
  <c r="R92" i="107" s="1"/>
  <c r="Q92" i="107" a="1"/>
  <c r="Q92" i="107" s="1"/>
  <c r="P92" i="107" a="1"/>
  <c r="P92" i="107" s="1"/>
  <c r="O92" i="107" a="1"/>
  <c r="O92" i="107" s="1"/>
  <c r="N92" i="107" a="1"/>
  <c r="N92" i="107" s="1"/>
  <c r="M92" i="107" a="1"/>
  <c r="M92" i="107" s="1"/>
  <c r="L92" i="107" a="1"/>
  <c r="L92" i="107" s="1"/>
  <c r="K92" i="107" a="1"/>
  <c r="K92" i="107" s="1"/>
  <c r="J92" i="107" a="1"/>
  <c r="J92" i="107" s="1"/>
  <c r="I92" i="107" a="1"/>
  <c r="I92" i="107" s="1"/>
  <c r="H92" i="107" a="1"/>
  <c r="H92" i="107" s="1"/>
  <c r="G92" i="107" a="1"/>
  <c r="G92" i="107" s="1"/>
  <c r="F92" i="107" a="1"/>
  <c r="F92" i="107" s="1"/>
  <c r="E92" i="107" a="1"/>
  <c r="E92" i="107" s="1"/>
  <c r="D92" i="107" a="1"/>
  <c r="D92" i="107" s="1"/>
  <c r="AH91" i="107" a="1"/>
  <c r="AH91" i="107" s="1"/>
  <c r="AG91" i="107" a="1"/>
  <c r="AG91" i="107" s="1"/>
  <c r="AF91" i="107" a="1"/>
  <c r="AF91" i="107" s="1"/>
  <c r="AE91" i="107" a="1"/>
  <c r="AE91" i="107" s="1"/>
  <c r="AD91" i="107" a="1"/>
  <c r="AD91" i="107" s="1"/>
  <c r="AC91" i="107" a="1"/>
  <c r="AC91" i="107" s="1"/>
  <c r="AB91" i="107" a="1"/>
  <c r="AB91" i="107" s="1"/>
  <c r="AA91" i="107" a="1"/>
  <c r="AA91" i="107" s="1"/>
  <c r="Z91" i="107" a="1"/>
  <c r="Z91" i="107" s="1"/>
  <c r="Y91" i="107" a="1"/>
  <c r="Y91" i="107" s="1"/>
  <c r="X91" i="107" a="1"/>
  <c r="X91" i="107" s="1"/>
  <c r="W91" i="107" a="1"/>
  <c r="W91" i="107" s="1"/>
  <c r="V91" i="107" a="1"/>
  <c r="V91" i="107" s="1"/>
  <c r="U91" i="107" a="1"/>
  <c r="U91" i="107" s="1"/>
  <c r="T91" i="107" a="1"/>
  <c r="T91" i="107" s="1"/>
  <c r="S91" i="107" a="1"/>
  <c r="S91" i="107" s="1"/>
  <c r="R91" i="107" a="1"/>
  <c r="R91" i="107" s="1"/>
  <c r="Q91" i="107" a="1"/>
  <c r="Q91" i="107" s="1"/>
  <c r="P91" i="107" a="1"/>
  <c r="P91" i="107" s="1"/>
  <c r="O91" i="107" a="1"/>
  <c r="O91" i="107" s="1"/>
  <c r="N91" i="107" a="1"/>
  <c r="N91" i="107" s="1"/>
  <c r="M91" i="107" a="1"/>
  <c r="M91" i="107" s="1"/>
  <c r="L91" i="107" a="1"/>
  <c r="L91" i="107" s="1"/>
  <c r="K91" i="107" a="1"/>
  <c r="K91" i="107" s="1"/>
  <c r="J91" i="107" a="1"/>
  <c r="J91" i="107" s="1"/>
  <c r="I91" i="107" a="1"/>
  <c r="I91" i="107" s="1"/>
  <c r="H91" i="107" a="1"/>
  <c r="H91" i="107" s="1"/>
  <c r="G91" i="107" a="1"/>
  <c r="G91" i="107" s="1"/>
  <c r="F91" i="107" a="1"/>
  <c r="F91" i="107" s="1"/>
  <c r="E91" i="107" a="1"/>
  <c r="E91" i="107" s="1"/>
  <c r="D91" i="107" a="1"/>
  <c r="D91" i="107" s="1"/>
  <c r="AH90" i="107" a="1"/>
  <c r="AH90" i="107" s="1"/>
  <c r="AG90" i="107" a="1"/>
  <c r="AG90" i="107" s="1"/>
  <c r="AF90" i="107" a="1"/>
  <c r="AF90" i="107" s="1"/>
  <c r="AE90" i="107" a="1"/>
  <c r="AE90" i="107" s="1"/>
  <c r="AD90" i="107" a="1"/>
  <c r="AD90" i="107" s="1"/>
  <c r="AC90" i="107" a="1"/>
  <c r="AC90" i="107" s="1"/>
  <c r="AB90" i="107" a="1"/>
  <c r="AB90" i="107" s="1"/>
  <c r="AA90" i="107" a="1"/>
  <c r="AA90" i="107" s="1"/>
  <c r="Z90" i="107" a="1"/>
  <c r="Z90" i="107" s="1"/>
  <c r="Y90" i="107" a="1"/>
  <c r="Y90" i="107" s="1"/>
  <c r="X90" i="107" a="1"/>
  <c r="X90" i="107" s="1"/>
  <c r="W90" i="107" a="1"/>
  <c r="W90" i="107" s="1"/>
  <c r="V90" i="107" a="1"/>
  <c r="V90" i="107" s="1"/>
  <c r="U90" i="107" a="1"/>
  <c r="U90" i="107" s="1"/>
  <c r="T90" i="107" a="1"/>
  <c r="T90" i="107" s="1"/>
  <c r="S90" i="107" a="1"/>
  <c r="S90" i="107" s="1"/>
  <c r="R90" i="107" a="1"/>
  <c r="R90" i="107" s="1"/>
  <c r="Q90" i="107" a="1"/>
  <c r="Q90" i="107" s="1"/>
  <c r="P90" i="107" a="1"/>
  <c r="P90" i="107" s="1"/>
  <c r="O90" i="107" a="1"/>
  <c r="O90" i="107" s="1"/>
  <c r="N90" i="107" a="1"/>
  <c r="N90" i="107" s="1"/>
  <c r="M90" i="107" a="1"/>
  <c r="M90" i="107" s="1"/>
  <c r="L90" i="107" a="1"/>
  <c r="L90" i="107" s="1"/>
  <c r="K90" i="107" a="1"/>
  <c r="K90" i="107" s="1"/>
  <c r="J90" i="107" a="1"/>
  <c r="J90" i="107" s="1"/>
  <c r="I90" i="107" a="1"/>
  <c r="I90" i="107" s="1"/>
  <c r="H90" i="107" a="1"/>
  <c r="H90" i="107" s="1"/>
  <c r="G90" i="107" a="1"/>
  <c r="G90" i="107" s="1"/>
  <c r="F90" i="107" a="1"/>
  <c r="F90" i="107" s="1"/>
  <c r="E90" i="107" a="1"/>
  <c r="E90" i="107" s="1"/>
  <c r="D90" i="107" a="1"/>
  <c r="D90" i="107" s="1"/>
  <c r="F83" i="107" a="1"/>
  <c r="F83" i="107" s="1"/>
  <c r="E83" i="107" a="1"/>
  <c r="E83" i="107" s="1"/>
  <c r="J91" i="106" s="1"/>
  <c r="D83" i="107" a="1"/>
  <c r="D83" i="107" s="1"/>
  <c r="D82" i="107" a="1"/>
  <c r="D82" i="107" s="1"/>
  <c r="D81" i="107" a="1"/>
  <c r="D81" i="107" s="1"/>
  <c r="F78" i="107" a="1"/>
  <c r="F78" i="107" s="1"/>
  <c r="E78" i="107" a="1"/>
  <c r="E78" i="107" s="1"/>
  <c r="I15" i="106" s="1"/>
  <c r="D78" i="107" a="1"/>
  <c r="D78" i="107" s="1"/>
  <c r="D77" i="107" a="1"/>
  <c r="D77" i="107" s="1"/>
  <c r="D76" i="107" a="1"/>
  <c r="D76" i="107" s="1"/>
  <c r="F73" i="107" a="1"/>
  <c r="F73" i="107" s="1"/>
  <c r="E73" i="107" a="1"/>
  <c r="E73" i="107" s="1"/>
  <c r="I97" i="105" s="1"/>
  <c r="D73" i="107" a="1"/>
  <c r="D73" i="107" s="1"/>
  <c r="D72" i="107" a="1"/>
  <c r="D72" i="107" s="1"/>
  <c r="D71" i="107" a="1"/>
  <c r="D71" i="107" s="1"/>
  <c r="F68" i="107" a="1"/>
  <c r="F68" i="107" s="1"/>
  <c r="E68" i="107" a="1"/>
  <c r="E68" i="107" s="1"/>
  <c r="D68" i="107" a="1"/>
  <c r="D68" i="107" s="1"/>
  <c r="F67" i="107" a="1"/>
  <c r="F67" i="107" s="1"/>
  <c r="E67" i="107" a="1"/>
  <c r="E67" i="107" s="1"/>
  <c r="D67" i="107" a="1"/>
  <c r="D67" i="107" s="1"/>
  <c r="F66" i="107" a="1"/>
  <c r="F66" i="107" s="1"/>
  <c r="E66" i="107" a="1"/>
  <c r="E66" i="107" s="1"/>
  <c r="D66" i="107" a="1"/>
  <c r="D66" i="107" s="1"/>
  <c r="D64" i="107" a="1"/>
  <c r="D64" i="107" s="1"/>
  <c r="D63" i="107" a="1"/>
  <c r="D63" i="107" s="1"/>
  <c r="F60" i="107" a="1"/>
  <c r="F60" i="107" s="1"/>
  <c r="E60" i="107" a="1"/>
  <c r="E60" i="107" s="1"/>
  <c r="I50" i="102" s="1"/>
  <c r="D60" i="107" a="1"/>
  <c r="D60" i="107" s="1"/>
  <c r="D59" i="107" a="1"/>
  <c r="D59" i="107" s="1"/>
  <c r="D58" i="107" a="1"/>
  <c r="D58" i="107" s="1"/>
  <c r="E55" i="107" a="1"/>
  <c r="E55" i="107" s="1"/>
  <c r="D55" i="107" a="1"/>
  <c r="D55" i="107" s="1"/>
  <c r="E54" i="107" a="1"/>
  <c r="E54" i="107" s="1"/>
  <c r="D54" i="107" a="1"/>
  <c r="D54" i="107" s="1"/>
  <c r="E53" i="107" a="1"/>
  <c r="E53" i="107" s="1"/>
  <c r="D53" i="107" a="1"/>
  <c r="D53" i="107" s="1"/>
  <c r="E52" i="107" a="1"/>
  <c r="E52" i="107" s="1"/>
  <c r="D52" i="107" a="1"/>
  <c r="D52" i="107" s="1"/>
  <c r="E51" i="107" a="1"/>
  <c r="E51" i="107" s="1"/>
  <c r="D51" i="107" a="1"/>
  <c r="D51" i="107" s="1"/>
  <c r="D49" i="107" a="1"/>
  <c r="D49" i="107" s="1"/>
  <c r="D48" i="107" a="1"/>
  <c r="D48" i="107" s="1"/>
  <c r="I38" i="107" a="1"/>
  <c r="I38" i="107" s="1"/>
  <c r="H38" i="107" a="1"/>
  <c r="H38" i="107" s="1"/>
  <c r="G38" i="107" a="1"/>
  <c r="G38" i="107" s="1"/>
  <c r="F38" i="107" a="1"/>
  <c r="F38" i="107" s="1"/>
  <c r="E38" i="107" a="1"/>
  <c r="E38" i="107" s="1"/>
  <c r="D38" i="107" a="1"/>
  <c r="D38" i="107" s="1"/>
  <c r="I37" i="107" a="1"/>
  <c r="I37" i="107" s="1"/>
  <c r="H37" i="107" a="1"/>
  <c r="H37" i="107" s="1"/>
  <c r="G37" i="107" a="1"/>
  <c r="G37" i="107" s="1"/>
  <c r="F37" i="107" a="1"/>
  <c r="F37" i="107" s="1"/>
  <c r="E37" i="107" a="1"/>
  <c r="E37" i="107" s="1"/>
  <c r="D37" i="107" a="1"/>
  <c r="D37" i="107" s="1"/>
  <c r="I36" i="107" a="1"/>
  <c r="I36" i="107" s="1"/>
  <c r="H36" i="107" a="1"/>
  <c r="H36" i="107" s="1"/>
  <c r="G36" i="107" a="1"/>
  <c r="G36" i="107" s="1"/>
  <c r="F36" i="107" a="1"/>
  <c r="F36" i="107" s="1"/>
  <c r="E36" i="107" a="1"/>
  <c r="E36" i="107" s="1"/>
  <c r="D36" i="107" a="1"/>
  <c r="D36" i="107" s="1"/>
  <c r="I35" i="107" a="1"/>
  <c r="I35" i="107" s="1"/>
  <c r="H35" i="107" a="1"/>
  <c r="H35" i="107" s="1"/>
  <c r="G35" i="107" a="1"/>
  <c r="G35" i="107" s="1"/>
  <c r="F35" i="107" a="1"/>
  <c r="F35" i="107" s="1"/>
  <c r="E35" i="107" a="1"/>
  <c r="E35" i="107" s="1"/>
  <c r="D35" i="107" a="1"/>
  <c r="D35" i="107" s="1"/>
  <c r="I34" i="107" a="1"/>
  <c r="I34" i="107" s="1"/>
  <c r="H34" i="107" a="1"/>
  <c r="H34" i="107" s="1"/>
  <c r="G34" i="107" a="1"/>
  <c r="G34" i="107" s="1"/>
  <c r="F34" i="107" a="1"/>
  <c r="F34" i="107" s="1"/>
  <c r="E34" i="107" a="1"/>
  <c r="E34" i="107" s="1"/>
  <c r="D34" i="107" a="1"/>
  <c r="D34" i="107" s="1"/>
  <c r="I33" i="107" a="1"/>
  <c r="I33" i="107" s="1"/>
  <c r="H33" i="107" a="1"/>
  <c r="H33" i="107" s="1"/>
  <c r="G33" i="107" a="1"/>
  <c r="G33" i="107" s="1"/>
  <c r="F33" i="107" a="1"/>
  <c r="F33" i="107" s="1"/>
  <c r="E33" i="107" a="1"/>
  <c r="E33" i="107" s="1"/>
  <c r="D33" i="107" a="1"/>
  <c r="D33" i="107" s="1"/>
  <c r="I32" i="107" a="1"/>
  <c r="I32" i="107" s="1"/>
  <c r="H32" i="107" a="1"/>
  <c r="H32" i="107" s="1"/>
  <c r="G32" i="107" a="1"/>
  <c r="G32" i="107" s="1"/>
  <c r="F32" i="107" a="1"/>
  <c r="F32" i="107" s="1"/>
  <c r="E32" i="107" a="1"/>
  <c r="E32" i="107" s="1"/>
  <c r="D32" i="107" a="1"/>
  <c r="D32" i="107" s="1"/>
  <c r="I31" i="107" a="1"/>
  <c r="I31" i="107" s="1"/>
  <c r="H31" i="107" a="1"/>
  <c r="H31" i="107" s="1"/>
  <c r="G31" i="107" a="1"/>
  <c r="G31" i="107" s="1"/>
  <c r="F31" i="107" a="1"/>
  <c r="F31" i="107" s="1"/>
  <c r="E31" i="107" a="1"/>
  <c r="E31" i="107" s="1"/>
  <c r="D31" i="107" a="1"/>
  <c r="D31" i="107" s="1"/>
  <c r="I30" i="107" a="1"/>
  <c r="I30" i="107" s="1"/>
  <c r="H30" i="107" a="1"/>
  <c r="H30" i="107" s="1"/>
  <c r="G30" i="107" a="1"/>
  <c r="G30" i="107" s="1"/>
  <c r="F30" i="107" a="1"/>
  <c r="F30" i="107" s="1"/>
  <c r="E30" i="107" a="1"/>
  <c r="E30" i="107" s="1"/>
  <c r="D30" i="107" a="1"/>
  <c r="D30" i="107" s="1"/>
  <c r="I29" i="107" a="1"/>
  <c r="I29" i="107" s="1"/>
  <c r="H29" i="107" a="1"/>
  <c r="H29" i="107" s="1"/>
  <c r="G29" i="107" a="1"/>
  <c r="G29" i="107" s="1"/>
  <c r="F29" i="107" a="1"/>
  <c r="F29" i="107" s="1"/>
  <c r="E29" i="107" a="1"/>
  <c r="E29" i="107" s="1"/>
  <c r="D29" i="107" a="1"/>
  <c r="D29" i="107" s="1"/>
  <c r="R28" i="107" a="1"/>
  <c r="R28" i="107" s="1"/>
  <c r="Q28" i="107" a="1"/>
  <c r="Q28" i="107" s="1"/>
  <c r="L28" i="107" a="1"/>
  <c r="L28" i="107" s="1"/>
  <c r="K28" i="107" a="1"/>
  <c r="K28" i="107" s="1"/>
  <c r="I28" i="107" a="1"/>
  <c r="I28" i="107" s="1"/>
  <c r="H28" i="107" a="1"/>
  <c r="H28" i="107" s="1"/>
  <c r="G28" i="107" a="1"/>
  <c r="G28" i="107" s="1"/>
  <c r="F28" i="107" a="1"/>
  <c r="F28" i="107" s="1"/>
  <c r="E28" i="107" a="1"/>
  <c r="E28" i="107" s="1"/>
  <c r="D28" i="107" a="1"/>
  <c r="D28" i="107" s="1"/>
  <c r="R27" i="107" a="1"/>
  <c r="R27" i="107" s="1"/>
  <c r="Q27" i="107" a="1"/>
  <c r="Q27" i="107" s="1"/>
  <c r="L27" i="107" a="1"/>
  <c r="L27" i="107" s="1"/>
  <c r="K27" i="107" a="1"/>
  <c r="K27" i="107" s="1"/>
  <c r="I27" i="107" a="1"/>
  <c r="I27" i="107" s="1"/>
  <c r="H27" i="107" a="1"/>
  <c r="H27" i="107" s="1"/>
  <c r="G27" i="107" a="1"/>
  <c r="G27" i="107" s="1"/>
  <c r="F27" i="107" a="1"/>
  <c r="F27" i="107" s="1"/>
  <c r="E27" i="107" a="1"/>
  <c r="E27" i="107" s="1"/>
  <c r="D27" i="107" a="1"/>
  <c r="D27" i="107" s="1"/>
  <c r="R26" i="107" a="1"/>
  <c r="R26" i="107" s="1"/>
  <c r="Q26" i="107" a="1"/>
  <c r="Q26" i="107" s="1"/>
  <c r="L26" i="107" a="1"/>
  <c r="L26" i="107" s="1"/>
  <c r="K26" i="107" a="1"/>
  <c r="K26" i="107" s="1"/>
  <c r="I26" i="107" a="1"/>
  <c r="I26" i="107" s="1"/>
  <c r="H26" i="107" a="1"/>
  <c r="H26" i="107" s="1"/>
  <c r="G26" i="107" a="1"/>
  <c r="G26" i="107" s="1"/>
  <c r="F26" i="107" a="1"/>
  <c r="F26" i="107" s="1"/>
  <c r="E26" i="107" a="1"/>
  <c r="E26" i="107" s="1"/>
  <c r="D26" i="107" a="1"/>
  <c r="D26" i="107" s="1"/>
  <c r="R25" i="107" a="1"/>
  <c r="R25" i="107" s="1"/>
  <c r="Q25" i="107" a="1"/>
  <c r="Q25" i="107" s="1"/>
  <c r="L25" i="107" a="1"/>
  <c r="L25" i="107" s="1"/>
  <c r="K25" i="107" a="1"/>
  <c r="K25" i="107" s="1"/>
  <c r="I25" i="107" a="1"/>
  <c r="I25" i="107" s="1"/>
  <c r="H25" i="107" a="1"/>
  <c r="H25" i="107" s="1"/>
  <c r="G25" i="107" a="1"/>
  <c r="G25" i="107" s="1"/>
  <c r="F25" i="107" a="1"/>
  <c r="F25" i="107" s="1"/>
  <c r="E25" i="107" a="1"/>
  <c r="E25" i="107" s="1"/>
  <c r="D25" i="107" a="1"/>
  <c r="D25" i="107" s="1"/>
  <c r="R24" i="107" a="1"/>
  <c r="R24" i="107" s="1"/>
  <c r="Q24" i="107" a="1"/>
  <c r="Q24" i="107" s="1"/>
  <c r="L24" i="107" a="1"/>
  <c r="L24" i="107" s="1"/>
  <c r="K24" i="107" a="1"/>
  <c r="K24" i="107" s="1"/>
  <c r="I24" i="107" a="1"/>
  <c r="I24" i="107" s="1"/>
  <c r="H24" i="107" a="1"/>
  <c r="H24" i="107" s="1"/>
  <c r="G24" i="107" a="1"/>
  <c r="G24" i="107" s="1"/>
  <c r="F24" i="107" a="1"/>
  <c r="F24" i="107" s="1"/>
  <c r="E24" i="107" a="1"/>
  <c r="E24" i="107" s="1"/>
  <c r="D24" i="107" a="1"/>
  <c r="D24" i="107" s="1"/>
  <c r="V23" i="107" a="1"/>
  <c r="V23" i="107" s="1"/>
  <c r="R23" i="107" a="1"/>
  <c r="R23" i="107" s="1"/>
  <c r="Q23" i="107" a="1"/>
  <c r="Q23" i="107" s="1"/>
  <c r="L23" i="107" a="1"/>
  <c r="L23" i="107" s="1"/>
  <c r="K23" i="107" a="1"/>
  <c r="K23" i="107" s="1"/>
  <c r="I23" i="107" a="1"/>
  <c r="I23" i="107" s="1"/>
  <c r="H23" i="107" a="1"/>
  <c r="H23" i="107" s="1"/>
  <c r="G23" i="107" a="1"/>
  <c r="G23" i="107" s="1"/>
  <c r="F23" i="107" a="1"/>
  <c r="F23" i="107" s="1"/>
  <c r="E23" i="107" a="1"/>
  <c r="E23" i="107" s="1"/>
  <c r="D23" i="107" a="1"/>
  <c r="D23" i="107" s="1"/>
  <c r="V22" i="107" a="1"/>
  <c r="V22" i="107" s="1"/>
  <c r="R22" i="107" a="1"/>
  <c r="R22" i="107" s="1"/>
  <c r="Q22" i="107" a="1"/>
  <c r="Q22" i="107" s="1"/>
  <c r="L22" i="107" a="1"/>
  <c r="L22" i="107" s="1"/>
  <c r="K22" i="107" a="1"/>
  <c r="K22" i="107" s="1"/>
  <c r="I22" i="107" a="1"/>
  <c r="I22" i="107" s="1"/>
  <c r="H22" i="107" a="1"/>
  <c r="H22" i="107" s="1"/>
  <c r="G22" i="107" a="1"/>
  <c r="G22" i="107" s="1"/>
  <c r="F22" i="107" a="1"/>
  <c r="F22" i="107" s="1"/>
  <c r="E22" i="107" a="1"/>
  <c r="E22" i="107" s="1"/>
  <c r="D22" i="107" a="1"/>
  <c r="D22" i="107" s="1"/>
  <c r="V21" i="107" a="1"/>
  <c r="V21" i="107" s="1"/>
  <c r="R21" i="107" a="1"/>
  <c r="R21" i="107" s="1"/>
  <c r="Q21" i="107" a="1"/>
  <c r="Q21" i="107" s="1"/>
  <c r="L21" i="107" a="1"/>
  <c r="L21" i="107" s="1"/>
  <c r="K21" i="107" a="1"/>
  <c r="K21" i="107" s="1"/>
  <c r="I21" i="107" a="1"/>
  <c r="I21" i="107" s="1"/>
  <c r="H21" i="107" a="1"/>
  <c r="H21" i="107" s="1"/>
  <c r="G21" i="107" a="1"/>
  <c r="G21" i="107" s="1"/>
  <c r="F21" i="107" a="1"/>
  <c r="F21" i="107" s="1"/>
  <c r="E21" i="107" a="1"/>
  <c r="E21" i="107" s="1"/>
  <c r="D21" i="107" a="1"/>
  <c r="D21" i="107" s="1"/>
  <c r="V20" i="107" a="1"/>
  <c r="V20" i="107" s="1"/>
  <c r="R20" i="107" a="1"/>
  <c r="R20" i="107" s="1"/>
  <c r="Q20" i="107" a="1"/>
  <c r="Q20" i="107" s="1"/>
  <c r="L20" i="107" a="1"/>
  <c r="L20" i="107" s="1"/>
  <c r="K20" i="107" a="1"/>
  <c r="K20" i="107" s="1"/>
  <c r="I20" i="107" a="1"/>
  <c r="I20" i="107" s="1"/>
  <c r="H20" i="107" a="1"/>
  <c r="H20" i="107" s="1"/>
  <c r="G20" i="107" a="1"/>
  <c r="G20" i="107" s="1"/>
  <c r="F20" i="107" a="1"/>
  <c r="F20" i="107" s="1"/>
  <c r="E20" i="107" a="1"/>
  <c r="E20" i="107" s="1"/>
  <c r="D20" i="107" a="1"/>
  <c r="D20" i="107" s="1"/>
  <c r="V18" i="107" a="1"/>
  <c r="V18" i="107" s="1"/>
  <c r="Q18" i="107" a="1"/>
  <c r="Q18" i="107" s="1"/>
  <c r="K18" i="107" a="1"/>
  <c r="K18" i="107" s="1"/>
  <c r="V17" i="107" a="1"/>
  <c r="V17" i="107" s="1"/>
  <c r="Q17" i="107" a="1"/>
  <c r="Q17" i="107" s="1"/>
  <c r="K17" i="107" a="1"/>
  <c r="K17" i="107" s="1"/>
  <c r="D7" i="107" a="1"/>
  <c r="D7" i="107" s="1"/>
  <c r="D6" i="107" a="1"/>
  <c r="D6" i="107" s="1"/>
  <c r="D5" i="107" a="1"/>
  <c r="D5" i="107" s="1"/>
  <c r="F99" i="106" a="1"/>
  <c r="F99" i="106" s="1"/>
  <c r="D96" i="106" a="1"/>
  <c r="D96" i="106" s="1"/>
  <c r="H89" i="106" a="1"/>
  <c r="H89" i="106" s="1"/>
  <c r="D89" i="106" a="1"/>
  <c r="D89" i="106" s="1"/>
  <c r="E87" i="106" a="1"/>
  <c r="E87" i="106" s="1"/>
  <c r="F94" i="106" s="1"/>
  <c r="E86" i="106" a="1"/>
  <c r="E86" i="106" s="1"/>
  <c r="D82" i="106" a="1"/>
  <c r="D82" i="106" s="1"/>
  <c r="D81" i="106" a="1"/>
  <c r="D81" i="106" s="1"/>
  <c r="D67" i="106"/>
  <c r="D66" i="106"/>
  <c r="D65" i="106"/>
  <c r="I60" i="106"/>
  <c r="I56" i="106" s="1"/>
  <c r="I59" i="106"/>
  <c r="I58" i="106"/>
  <c r="I55" i="106" a="1"/>
  <c r="I55" i="106" s="1"/>
  <c r="G55" i="106" a="1"/>
  <c r="G55" i="106" s="1"/>
  <c r="D55" i="106" a="1"/>
  <c r="D55" i="106" s="1"/>
  <c r="E53" i="106" a="1"/>
  <c r="E53" i="106" s="1"/>
  <c r="F77" i="106" s="1"/>
  <c r="E52" i="106" a="1"/>
  <c r="E52" i="106" s="1"/>
  <c r="D48" i="106" a="1"/>
  <c r="D48" i="106" s="1"/>
  <c r="D47" i="106" a="1"/>
  <c r="D47" i="106" s="1"/>
  <c r="I18" i="106"/>
  <c r="I14" i="106" s="1"/>
  <c r="I17" i="106"/>
  <c r="I16" i="106"/>
  <c r="I13" i="106" a="1"/>
  <c r="I13" i="106" s="1"/>
  <c r="G13" i="106" a="1"/>
  <c r="G13" i="106" s="1"/>
  <c r="D13" i="106" a="1"/>
  <c r="D13" i="106" s="1"/>
  <c r="E11" i="106" a="1"/>
  <c r="E11" i="106" s="1"/>
  <c r="F43" i="106" s="1"/>
  <c r="E10" i="106" a="1"/>
  <c r="E10" i="106" s="1"/>
  <c r="D6" i="106" a="1"/>
  <c r="D6" i="106" s="1"/>
  <c r="D5" i="106" a="1"/>
  <c r="D5" i="106" s="1"/>
  <c r="F151" i="105" a="1"/>
  <c r="F151" i="105" s="1"/>
  <c r="D148" i="105" a="1"/>
  <c r="D148" i="105" s="1"/>
  <c r="I129" i="105"/>
  <c r="I128" i="105"/>
  <c r="I127" i="105"/>
  <c r="I124" i="105" a="1"/>
  <c r="I124" i="105" s="1"/>
  <c r="G124" i="105" a="1"/>
  <c r="G124" i="105" s="1"/>
  <c r="D124" i="105" a="1"/>
  <c r="D124" i="105" s="1"/>
  <c r="E122" i="105" a="1"/>
  <c r="E122" i="105" s="1"/>
  <c r="F146" i="105" s="1"/>
  <c r="E121" i="105" a="1"/>
  <c r="E121" i="105" s="1"/>
  <c r="D117" i="105" a="1"/>
  <c r="D117" i="105" s="1"/>
  <c r="D116" i="105" a="1"/>
  <c r="D116" i="105" s="1"/>
  <c r="I96" i="105" a="1"/>
  <c r="I96" i="105" s="1"/>
  <c r="G96" i="105" a="1"/>
  <c r="G96" i="105" s="1"/>
  <c r="D96" i="105" a="1"/>
  <c r="D96" i="105" s="1"/>
  <c r="E94" i="105" a="1"/>
  <c r="E94" i="105" s="1"/>
  <c r="G102" i="105" s="1"/>
  <c r="E93" i="105" a="1"/>
  <c r="E93" i="105" s="1"/>
  <c r="D89" i="105" a="1"/>
  <c r="D89" i="105" s="1"/>
  <c r="D88" i="105" a="1"/>
  <c r="D88" i="105" s="1"/>
  <c r="F84" i="105" a="1"/>
  <c r="F84" i="105" s="1"/>
  <c r="D81" i="105" a="1"/>
  <c r="D81" i="105" s="1"/>
  <c r="J54" i="105"/>
  <c r="J53" i="105"/>
  <c r="J52" i="105"/>
  <c r="J49" i="105" a="1"/>
  <c r="J49" i="105" s="1"/>
  <c r="H49" i="105" a="1"/>
  <c r="H49" i="105" s="1"/>
  <c r="D49" i="105" a="1"/>
  <c r="D49" i="105" s="1"/>
  <c r="E47" i="105" a="1"/>
  <c r="E47" i="105" s="1"/>
  <c r="F79" i="105" s="1"/>
  <c r="E46" i="105" a="1"/>
  <c r="E46" i="105" s="1"/>
  <c r="D42" i="105" a="1"/>
  <c r="D42" i="105" s="1"/>
  <c r="D41" i="105" a="1"/>
  <c r="D41" i="105" s="1"/>
  <c r="I14" i="105" a="1"/>
  <c r="I14" i="105" s="1"/>
  <c r="I13" i="105" a="1"/>
  <c r="I13" i="105" s="1"/>
  <c r="G13" i="105" a="1"/>
  <c r="G13" i="105" s="1"/>
  <c r="D13" i="105" a="1"/>
  <c r="D13" i="105" s="1"/>
  <c r="E11" i="105" a="1"/>
  <c r="E11" i="105" s="1"/>
  <c r="E10" i="105" a="1"/>
  <c r="E10" i="105" s="1"/>
  <c r="D6" i="105" a="1"/>
  <c r="D6" i="105" s="1"/>
  <c r="D5" i="105" a="1"/>
  <c r="D5" i="105" s="1"/>
  <c r="I17" i="104" a="1"/>
  <c r="I17" i="104" s="1"/>
  <c r="I14" i="104" a="1"/>
  <c r="I14" i="104" s="1"/>
  <c r="I13" i="104" a="1"/>
  <c r="I13" i="104" s="1"/>
  <c r="G13" i="104" a="1"/>
  <c r="G13" i="104" s="1"/>
  <c r="D13" i="104" a="1"/>
  <c r="D13" i="104" s="1"/>
  <c r="E11" i="104" a="1"/>
  <c r="E11" i="104" s="1"/>
  <c r="E10" i="104" a="1"/>
  <c r="E10" i="104" s="1"/>
  <c r="D6" i="104" a="1"/>
  <c r="D6" i="104" s="1"/>
  <c r="D5" i="104" a="1"/>
  <c r="D5" i="104" s="1"/>
  <c r="F55" i="103" a="1"/>
  <c r="F55" i="103" s="1"/>
  <c r="D52" i="103" a="1"/>
  <c r="D52" i="103" s="1"/>
  <c r="K48" i="103"/>
  <c r="K47" i="103"/>
  <c r="I44" i="103" a="1"/>
  <c r="I44" i="103" s="1"/>
  <c r="D44" i="103" a="1"/>
  <c r="D44" i="103" s="1"/>
  <c r="E42" i="103" a="1"/>
  <c r="E42" i="103" s="1"/>
  <c r="F50" i="103" s="1"/>
  <c r="E41" i="103" a="1"/>
  <c r="E41" i="103" s="1"/>
  <c r="D37" i="103" a="1"/>
  <c r="D37" i="103" s="1"/>
  <c r="D36" i="103" a="1"/>
  <c r="D36" i="103" s="1"/>
  <c r="I30" i="103" a="1"/>
  <c r="I30" i="103" s="1"/>
  <c r="I29" i="103" a="1"/>
  <c r="I29" i="103" s="1"/>
  <c r="I28" i="103" a="1"/>
  <c r="I28" i="103" s="1"/>
  <c r="I27" i="103" a="1"/>
  <c r="I27" i="103" s="1"/>
  <c r="I26" i="103" a="1"/>
  <c r="I26" i="103" s="1"/>
  <c r="I25" i="103" a="1"/>
  <c r="I25" i="103" s="1"/>
  <c r="I24" i="103" a="1"/>
  <c r="I24" i="103" s="1"/>
  <c r="I23" i="103" a="1"/>
  <c r="I23" i="103" s="1"/>
  <c r="I15" i="103" a="1"/>
  <c r="I15" i="103" s="1"/>
  <c r="I14" i="103" a="1"/>
  <c r="I14" i="103" s="1"/>
  <c r="I13" i="103" a="1"/>
  <c r="I13" i="103" s="1"/>
  <c r="G13" i="103" a="1"/>
  <c r="G13" i="103" s="1"/>
  <c r="D13" i="103" a="1"/>
  <c r="D13" i="103" s="1"/>
  <c r="E11" i="103" a="1"/>
  <c r="E11" i="103" s="1"/>
  <c r="F32" i="103" s="1"/>
  <c r="E10" i="103" a="1"/>
  <c r="E10" i="103" s="1"/>
  <c r="D6" i="103" a="1"/>
  <c r="D6" i="103" s="1"/>
  <c r="D5" i="103" a="1"/>
  <c r="D5" i="103" s="1"/>
  <c r="I53" i="102" a="1"/>
  <c r="I53" i="102" s="1"/>
  <c r="I52" i="102"/>
  <c r="I49" i="102" a="1"/>
  <c r="I49" i="102" s="1"/>
  <c r="G49" i="102" a="1"/>
  <c r="G49" i="102" s="1"/>
  <c r="D49" i="102" a="1"/>
  <c r="D49" i="102" s="1"/>
  <c r="E47" i="102" a="1"/>
  <c r="E47" i="102" s="1"/>
  <c r="E46" i="102" a="1"/>
  <c r="E46" i="102" s="1"/>
  <c r="D42" i="102" a="1"/>
  <c r="D42" i="102" s="1"/>
  <c r="D41" i="102" a="1"/>
  <c r="D41" i="102" s="1"/>
  <c r="I14" i="102" a="1"/>
  <c r="I14" i="102" s="1"/>
  <c r="I13" i="102" a="1"/>
  <c r="I13" i="102" s="1"/>
  <c r="G13" i="102" a="1"/>
  <c r="G13" i="102" s="1"/>
  <c r="D13" i="102" a="1"/>
  <c r="D13" i="102" s="1"/>
  <c r="E11" i="102" a="1"/>
  <c r="E11" i="102" s="1"/>
  <c r="E10" i="102" a="1"/>
  <c r="E10" i="102" s="1"/>
  <c r="D6" i="102" a="1"/>
  <c r="D6" i="102" s="1"/>
  <c r="D5" i="102" a="1"/>
  <c r="D5" i="102" s="1"/>
  <c r="O115" i="101" a="1"/>
  <c r="O115" i="101" s="1"/>
  <c r="M112" i="101" a="1"/>
  <c r="M112" i="101" s="1"/>
  <c r="S99" i="101"/>
  <c r="S98" i="101"/>
  <c r="S96" i="101"/>
  <c r="N107" i="101" s="1"/>
  <c r="S95" i="101"/>
  <c r="Q92" i="101" a="1"/>
  <c r="Q92" i="101" s="1"/>
  <c r="M92" i="101" a="1"/>
  <c r="M92" i="101" s="1"/>
  <c r="N90" i="101" a="1"/>
  <c r="N90" i="101" s="1"/>
  <c r="N89" i="101" a="1"/>
  <c r="N89" i="101" s="1"/>
  <c r="F85" i="101" a="1"/>
  <c r="F85" i="101" s="1"/>
  <c r="M84" i="101" a="1"/>
  <c r="M84" i="101" s="1"/>
  <c r="M83" i="101" a="1"/>
  <c r="M83" i="101" s="1"/>
  <c r="D82" i="101" a="1"/>
  <c r="D82" i="101" s="1"/>
  <c r="P76" i="101" a="1"/>
  <c r="P76" i="101" s="1"/>
  <c r="M76" i="101" a="1"/>
  <c r="M76" i="101" s="1"/>
  <c r="N72" i="101" a="1"/>
  <c r="N72" i="101" s="1"/>
  <c r="O79" i="101" s="1"/>
  <c r="N71" i="101" a="1"/>
  <c r="N71" i="101" s="1"/>
  <c r="M67" i="101" a="1"/>
  <c r="M67" i="101" s="1"/>
  <c r="M66" i="101" a="1"/>
  <c r="M66" i="101" s="1"/>
  <c r="P60" i="101" a="1"/>
  <c r="P60" i="101" s="1"/>
  <c r="M60" i="101" a="1"/>
  <c r="M60" i="101" s="1"/>
  <c r="N58" i="101" a="1"/>
  <c r="N58" i="101" s="1"/>
  <c r="O63" i="101" s="1"/>
  <c r="N57" i="101" a="1"/>
  <c r="N57" i="101" s="1"/>
  <c r="I55" i="101"/>
  <c r="M54" i="101" a="1"/>
  <c r="M54" i="101" s="1"/>
  <c r="I54" i="101"/>
  <c r="M53" i="101" a="1"/>
  <c r="M53" i="101" s="1"/>
  <c r="I53" i="101"/>
  <c r="I52" i="101"/>
  <c r="I49" i="101" a="1"/>
  <c r="I49" i="101" s="1"/>
  <c r="G49" i="101" a="1"/>
  <c r="G49" i="101" s="1"/>
  <c r="D49" i="101" a="1"/>
  <c r="D49" i="101" s="1"/>
  <c r="E47" i="101" a="1"/>
  <c r="E47" i="101" s="1"/>
  <c r="F80" i="101" s="1"/>
  <c r="P46" i="101" a="1"/>
  <c r="P46" i="101" s="1"/>
  <c r="M46" i="101" a="1"/>
  <c r="M46" i="101" s="1"/>
  <c r="E46" i="101" a="1"/>
  <c r="E46" i="101" s="1"/>
  <c r="N44" i="101" a="1"/>
  <c r="N44" i="101" s="1"/>
  <c r="O49" i="101" s="1"/>
  <c r="N43" i="101" a="1"/>
  <c r="N43" i="101" s="1"/>
  <c r="D41" i="101" a="1"/>
  <c r="D41" i="101" s="1"/>
  <c r="M40" i="101" a="1"/>
  <c r="M40" i="101" s="1"/>
  <c r="D40" i="101" a="1"/>
  <c r="D40" i="101" s="1"/>
  <c r="M39" i="101" a="1"/>
  <c r="M39" i="101" s="1"/>
  <c r="I14" i="101" a="1"/>
  <c r="I14" i="101" s="1"/>
  <c r="I13" i="101" a="1"/>
  <c r="I13" i="101" s="1"/>
  <c r="G13" i="101" a="1"/>
  <c r="G13" i="101" s="1"/>
  <c r="D13" i="101" a="1"/>
  <c r="D13" i="101" s="1"/>
  <c r="E11" i="101" a="1"/>
  <c r="E11" i="101" s="1"/>
  <c r="E10" i="101" a="1"/>
  <c r="E10" i="101" s="1"/>
  <c r="D6" i="101" a="1"/>
  <c r="D6" i="101" s="1"/>
  <c r="D5" i="101" a="1"/>
  <c r="D5" i="101" s="1"/>
  <c r="H56" i="100"/>
  <c r="I56" i="100" s="1"/>
  <c r="G56" i="100"/>
  <c r="H55" i="100"/>
  <c r="I55" i="100" s="1"/>
  <c r="G55" i="100"/>
  <c r="H54" i="100"/>
  <c r="J54" i="100" s="1"/>
  <c r="G54" i="100"/>
  <c r="K44" i="100"/>
  <c r="F44" i="100"/>
  <c r="G44" i="100" s="1"/>
  <c r="K43" i="100"/>
  <c r="F43" i="100"/>
  <c r="G43" i="100" s="1"/>
  <c r="K42" i="100"/>
  <c r="F42" i="100"/>
  <c r="G42" i="100" s="1"/>
  <c r="E320" i="116" s="1" a="1"/>
  <c r="E320" i="116" s="1"/>
  <c r="F34" i="100"/>
  <c r="G34" i="100" s="1"/>
  <c r="F33" i="100"/>
  <c r="G33" i="100" s="1"/>
  <c r="F32" i="100"/>
  <c r="G32" i="100" s="1"/>
  <c r="F31" i="100"/>
  <c r="G31" i="100" s="1"/>
  <c r="F30" i="100"/>
  <c r="G30" i="100" s="1"/>
  <c r="F29" i="100"/>
  <c r="G29" i="100" s="1"/>
  <c r="F28" i="100"/>
  <c r="G28" i="100" s="1"/>
  <c r="F27" i="100"/>
  <c r="G27" i="100" s="1"/>
  <c r="F26" i="100"/>
  <c r="G26" i="100" s="1"/>
  <c r="F25" i="100"/>
  <c r="G25" i="100" s="1"/>
  <c r="E252" i="116" s="1" a="1"/>
  <c r="G21" i="100"/>
  <c r="G20" i="100"/>
  <c r="G19" i="100"/>
  <c r="G18" i="100"/>
  <c r="I18" i="100" s="1"/>
  <c r="G17" i="100"/>
  <c r="G16" i="100"/>
  <c r="I16" i="100" s="1"/>
  <c r="G15" i="100"/>
  <c r="G14" i="100"/>
  <c r="I14" i="100" s="1"/>
  <c r="G13" i="100"/>
  <c r="G12" i="100"/>
  <c r="I12" i="100" s="1"/>
  <c r="E139" i="98"/>
  <c r="G138" i="98"/>
  <c r="E138" i="98"/>
  <c r="G137" i="98"/>
  <c r="E137" i="98"/>
  <c r="D137" i="98"/>
  <c r="G136" i="98"/>
  <c r="E136" i="98"/>
  <c r="D136" i="98"/>
  <c r="G135" i="98"/>
  <c r="E135" i="98"/>
  <c r="D135" i="98"/>
  <c r="G134" i="98"/>
  <c r="E134" i="98"/>
  <c r="D134" i="98"/>
  <c r="G133" i="98"/>
  <c r="F133" i="98"/>
  <c r="E133" i="98"/>
  <c r="D133" i="98"/>
  <c r="I132" i="98"/>
  <c r="G132" i="98"/>
  <c r="F132" i="98"/>
  <c r="E132" i="98"/>
  <c r="D132" i="98"/>
  <c r="I131" i="98"/>
  <c r="H131" i="98"/>
  <c r="G131" i="98"/>
  <c r="F131" i="98"/>
  <c r="E131" i="98"/>
  <c r="D131" i="98"/>
  <c r="F120" i="98" a="1"/>
  <c r="F120" i="98" s="1"/>
  <c r="E120" i="98" a="1"/>
  <c r="E120" i="98" s="1"/>
  <c r="D120" i="98" a="1"/>
  <c r="D120" i="98" s="1"/>
  <c r="F119" i="98" a="1"/>
  <c r="F119" i="98" s="1"/>
  <c r="E119" i="98" a="1"/>
  <c r="E119" i="98" s="1"/>
  <c r="D119" i="98" a="1"/>
  <c r="D119" i="98" s="1"/>
  <c r="F118" i="98" a="1"/>
  <c r="F118" i="98" s="1"/>
  <c r="E118" i="98" a="1"/>
  <c r="E118" i="98" s="1"/>
  <c r="D118" i="98" a="1"/>
  <c r="D118" i="98" s="1"/>
  <c r="F117" i="98" a="1"/>
  <c r="F117" i="98" s="1"/>
  <c r="E117" i="98" a="1"/>
  <c r="E117" i="98" s="1"/>
  <c r="D117" i="98" a="1"/>
  <c r="D117" i="98" s="1"/>
  <c r="F116" i="98" a="1"/>
  <c r="F116" i="98" s="1"/>
  <c r="E116" i="98" a="1"/>
  <c r="E116" i="98" s="1"/>
  <c r="D116" i="98" a="1"/>
  <c r="D116" i="98" s="1"/>
  <c r="F115" i="98" a="1"/>
  <c r="F115" i="98" s="1"/>
  <c r="E115" i="98" a="1"/>
  <c r="E115" i="98" s="1"/>
  <c r="D115" i="98" a="1"/>
  <c r="D115" i="98" s="1"/>
  <c r="F114" i="98" a="1"/>
  <c r="F114" i="98" s="1"/>
  <c r="E114" i="98" a="1"/>
  <c r="E114" i="98" s="1"/>
  <c r="D114" i="98" a="1"/>
  <c r="D114" i="98" s="1"/>
  <c r="G113" i="98" a="1"/>
  <c r="G113" i="98" s="1"/>
  <c r="F113" i="98" a="1"/>
  <c r="F113" i="98" s="1"/>
  <c r="E113" i="98" a="1"/>
  <c r="E113" i="98" s="1"/>
  <c r="D113" i="98" a="1"/>
  <c r="D113" i="98" s="1"/>
  <c r="D110" i="98" a="1"/>
  <c r="D110" i="98" s="1"/>
  <c r="D109" i="98" a="1"/>
  <c r="D109" i="98" s="1"/>
  <c r="D108" i="98" a="1"/>
  <c r="D108" i="98" s="1"/>
  <c r="D107" i="98" a="1"/>
  <c r="D107" i="98" s="1"/>
  <c r="J104" i="98" a="1"/>
  <c r="J104" i="98" s="1"/>
  <c r="I104" i="98" a="1"/>
  <c r="I104" i="98" s="1"/>
  <c r="H104" i="98" a="1"/>
  <c r="H104" i="98" s="1"/>
  <c r="G104" i="98" a="1"/>
  <c r="G104" i="98" s="1"/>
  <c r="F104" i="98" a="1"/>
  <c r="F104" i="98" s="1"/>
  <c r="E104" i="98" a="1"/>
  <c r="E104" i="98" s="1"/>
  <c r="D104" i="98" a="1"/>
  <c r="D104" i="98" s="1"/>
  <c r="J103" i="98" a="1"/>
  <c r="J103" i="98" s="1"/>
  <c r="I103" i="98" a="1"/>
  <c r="I103" i="98" s="1"/>
  <c r="H103" i="98" a="1"/>
  <c r="H103" i="98" s="1"/>
  <c r="G103" i="98" a="1"/>
  <c r="G103" i="98" s="1"/>
  <c r="F103" i="98" a="1"/>
  <c r="F103" i="98" s="1"/>
  <c r="E103" i="98" a="1"/>
  <c r="E103" i="98" s="1"/>
  <c r="D103" i="98" a="1"/>
  <c r="D103" i="98" s="1"/>
  <c r="J102" i="98" a="1"/>
  <c r="J102" i="98" s="1"/>
  <c r="I102" i="98" a="1"/>
  <c r="I102" i="98" s="1"/>
  <c r="H102" i="98" a="1"/>
  <c r="H102" i="98" s="1"/>
  <c r="G102" i="98" a="1"/>
  <c r="G102" i="98" s="1"/>
  <c r="F102" i="98" a="1"/>
  <c r="F102" i="98" s="1"/>
  <c r="E102" i="98" a="1"/>
  <c r="E102" i="98" s="1"/>
  <c r="D102" i="98" a="1"/>
  <c r="D102" i="98" s="1"/>
  <c r="J101" i="98" a="1"/>
  <c r="J101" i="98" s="1"/>
  <c r="I101" i="98" a="1"/>
  <c r="I101" i="98" s="1"/>
  <c r="H101" i="98" a="1"/>
  <c r="H101" i="98" s="1"/>
  <c r="G101" i="98" a="1"/>
  <c r="G101" i="98" s="1"/>
  <c r="F101" i="98" a="1"/>
  <c r="F101" i="98" s="1"/>
  <c r="E101" i="98" a="1"/>
  <c r="E101" i="98" s="1"/>
  <c r="D101" i="98" a="1"/>
  <c r="D101" i="98" s="1"/>
  <c r="J100" i="98" a="1"/>
  <c r="J100" i="98" s="1"/>
  <c r="I100" i="98" a="1"/>
  <c r="I100" i="98" s="1"/>
  <c r="H100" i="98" a="1"/>
  <c r="H100" i="98" s="1"/>
  <c r="G100" i="98" a="1"/>
  <c r="G100" i="98" s="1"/>
  <c r="F100" i="98" a="1"/>
  <c r="F100" i="98" s="1"/>
  <c r="E100" i="98" a="1"/>
  <c r="E100" i="98" s="1"/>
  <c r="D100" i="98" a="1"/>
  <c r="D100" i="98" s="1"/>
  <c r="J99" i="98" a="1"/>
  <c r="J99" i="98" s="1"/>
  <c r="I99" i="98" a="1"/>
  <c r="I99" i="98" s="1"/>
  <c r="H99" i="98" a="1"/>
  <c r="H99" i="98" s="1"/>
  <c r="G99" i="98" a="1"/>
  <c r="G99" i="98" s="1"/>
  <c r="F99" i="98" a="1"/>
  <c r="F99" i="98" s="1"/>
  <c r="E99" i="98" a="1"/>
  <c r="E99" i="98" s="1"/>
  <c r="D99" i="98" a="1"/>
  <c r="D99" i="98" s="1"/>
  <c r="J98" i="98" a="1"/>
  <c r="J98" i="98" s="1"/>
  <c r="I98" i="98" a="1"/>
  <c r="I98" i="98" s="1"/>
  <c r="H98" i="98" a="1"/>
  <c r="H98" i="98" s="1"/>
  <c r="G98" i="98" a="1"/>
  <c r="G98" i="98" s="1"/>
  <c r="F98" i="98" a="1"/>
  <c r="F98" i="98" s="1"/>
  <c r="E98" i="98" a="1"/>
  <c r="E98" i="98" s="1"/>
  <c r="D98" i="98" a="1"/>
  <c r="D98" i="98" s="1"/>
  <c r="J97" i="98" a="1"/>
  <c r="J97" i="98" s="1"/>
  <c r="I97" i="98" a="1"/>
  <c r="I97" i="98" s="1"/>
  <c r="H97" i="98" a="1"/>
  <c r="H97" i="98" s="1"/>
  <c r="G97" i="98" a="1"/>
  <c r="G97" i="98" s="1"/>
  <c r="F97" i="98" a="1"/>
  <c r="F97" i="98" s="1"/>
  <c r="E97" i="98" a="1"/>
  <c r="E97" i="98" s="1"/>
  <c r="D97" i="98" a="1"/>
  <c r="D97" i="98" s="1"/>
  <c r="J96" i="98" a="1"/>
  <c r="J96" i="98" s="1"/>
  <c r="I96" i="98" a="1"/>
  <c r="I96" i="98" s="1"/>
  <c r="H96" i="98" a="1"/>
  <c r="H96" i="98" s="1"/>
  <c r="G96" i="98" a="1"/>
  <c r="G96" i="98" s="1"/>
  <c r="F96" i="98" a="1"/>
  <c r="F96" i="98" s="1"/>
  <c r="E96" i="98" a="1"/>
  <c r="E96" i="98" s="1"/>
  <c r="D96" i="98" a="1"/>
  <c r="D96" i="98" s="1"/>
  <c r="J95" i="98" a="1"/>
  <c r="J95" i="98" s="1"/>
  <c r="I95" i="98" a="1"/>
  <c r="I95" i="98" s="1"/>
  <c r="H95" i="98" a="1"/>
  <c r="H95" i="98" s="1"/>
  <c r="G95" i="98" a="1"/>
  <c r="G95" i="98" s="1"/>
  <c r="F95" i="98" a="1"/>
  <c r="F95" i="98" s="1"/>
  <c r="E95" i="98" a="1"/>
  <c r="E95" i="98" s="1"/>
  <c r="D95" i="98" a="1"/>
  <c r="D95" i="98" s="1"/>
  <c r="J94" i="98" a="1"/>
  <c r="J94" i="98" s="1"/>
  <c r="I94" i="98" a="1"/>
  <c r="I94" i="98" s="1"/>
  <c r="H94" i="98" a="1"/>
  <c r="H94" i="98" s="1"/>
  <c r="G94" i="98" a="1"/>
  <c r="G94" i="98" s="1"/>
  <c r="F94" i="98" a="1"/>
  <c r="F94" i="98" s="1"/>
  <c r="E94" i="98" a="1"/>
  <c r="E94" i="98" s="1"/>
  <c r="D94" i="98" a="1"/>
  <c r="D94" i="98" s="1"/>
  <c r="J93" i="98" a="1"/>
  <c r="J93" i="98" s="1"/>
  <c r="I93" i="98" a="1"/>
  <c r="I93" i="98" s="1"/>
  <c r="H93" i="98" a="1"/>
  <c r="H93" i="98" s="1"/>
  <c r="G93" i="98" a="1"/>
  <c r="G93" i="98" s="1"/>
  <c r="F93" i="98" a="1"/>
  <c r="F93" i="98" s="1"/>
  <c r="E93" i="98" a="1"/>
  <c r="E93" i="98" s="1"/>
  <c r="D93" i="98" a="1"/>
  <c r="D93" i="98" s="1"/>
  <c r="J92" i="98" a="1"/>
  <c r="J92" i="98" s="1"/>
  <c r="I92" i="98" a="1"/>
  <c r="I92" i="98" s="1"/>
  <c r="H92" i="98" a="1"/>
  <c r="H92" i="98" s="1"/>
  <c r="G92" i="98" a="1"/>
  <c r="G92" i="98" s="1"/>
  <c r="F92" i="98" a="1"/>
  <c r="F92" i="98" s="1"/>
  <c r="E92" i="98" a="1"/>
  <c r="E92" i="98" s="1"/>
  <c r="D92" i="98" a="1"/>
  <c r="D92" i="98" s="1"/>
  <c r="J91" i="98" a="1"/>
  <c r="J91" i="98" s="1"/>
  <c r="I91" i="98" a="1"/>
  <c r="I91" i="98" s="1"/>
  <c r="H91" i="98" a="1"/>
  <c r="H91" i="98" s="1"/>
  <c r="G91" i="98" a="1"/>
  <c r="G91" i="98" s="1"/>
  <c r="F91" i="98" a="1"/>
  <c r="F91" i="98" s="1"/>
  <c r="E91" i="98" a="1"/>
  <c r="E91" i="98" s="1"/>
  <c r="D91" i="98" a="1"/>
  <c r="D91" i="98" s="1"/>
  <c r="J90" i="98" a="1"/>
  <c r="J90" i="98" s="1"/>
  <c r="I90" i="98" a="1"/>
  <c r="I90" i="98" s="1"/>
  <c r="H90" i="98" a="1"/>
  <c r="H90" i="98" s="1"/>
  <c r="G90" i="98" a="1"/>
  <c r="G90" i="98" s="1"/>
  <c r="F90" i="98" a="1"/>
  <c r="F90" i="98" s="1"/>
  <c r="E90" i="98" a="1"/>
  <c r="E90" i="98" s="1"/>
  <c r="D90" i="98" a="1"/>
  <c r="D90" i="98" s="1"/>
  <c r="J89" i="98" a="1"/>
  <c r="J89" i="98" s="1"/>
  <c r="I89" i="98" a="1"/>
  <c r="I89" i="98" s="1"/>
  <c r="H89" i="98" a="1"/>
  <c r="H89" i="98" s="1"/>
  <c r="G89" i="98" a="1"/>
  <c r="G89" i="98" s="1"/>
  <c r="F89" i="98" a="1"/>
  <c r="F89" i="98" s="1"/>
  <c r="E89" i="98" a="1"/>
  <c r="E89" i="98" s="1"/>
  <c r="D89" i="98" a="1"/>
  <c r="D89" i="98" s="1"/>
  <c r="J88" i="98" a="1"/>
  <c r="J88" i="98" s="1"/>
  <c r="I88" i="98" a="1"/>
  <c r="I88" i="98" s="1"/>
  <c r="H88" i="98" a="1"/>
  <c r="H88" i="98" s="1"/>
  <c r="G88" i="98" a="1"/>
  <c r="G88" i="98" s="1"/>
  <c r="F88" i="98" a="1"/>
  <c r="F88" i="98" s="1"/>
  <c r="E88" i="98" a="1"/>
  <c r="E88" i="98" s="1"/>
  <c r="D88" i="98" a="1"/>
  <c r="D88" i="98" s="1"/>
  <c r="J87" i="98" a="1"/>
  <c r="J87" i="98" s="1"/>
  <c r="I87" i="98" a="1"/>
  <c r="I87" i="98" s="1"/>
  <c r="H87" i="98" a="1"/>
  <c r="H87" i="98" s="1"/>
  <c r="G87" i="98" a="1"/>
  <c r="G87" i="98" s="1"/>
  <c r="F87" i="98" a="1"/>
  <c r="F87" i="98" s="1"/>
  <c r="E87" i="98" a="1"/>
  <c r="E87" i="98" s="1"/>
  <c r="D87" i="98" a="1"/>
  <c r="D87" i="98" s="1"/>
  <c r="D84" i="98" a="1"/>
  <c r="D84" i="98" s="1"/>
  <c r="D83" i="98" a="1"/>
  <c r="D83" i="98" s="1"/>
  <c r="D82" i="98" a="1"/>
  <c r="D82" i="98" s="1"/>
  <c r="D81" i="98" a="1"/>
  <c r="D81" i="98" s="1"/>
  <c r="K77" i="98" a="1"/>
  <c r="K77" i="98" s="1"/>
  <c r="J77" i="98" a="1"/>
  <c r="J77" i="98" s="1"/>
  <c r="I77" i="98" a="1"/>
  <c r="I77" i="98" s="1"/>
  <c r="H77" i="98" a="1"/>
  <c r="H77" i="98" s="1"/>
  <c r="G77" i="98" a="1"/>
  <c r="G77" i="98" s="1"/>
  <c r="F77" i="98" a="1"/>
  <c r="F77" i="98" s="1"/>
  <c r="E77" i="98" a="1"/>
  <c r="E77" i="98" s="1"/>
  <c r="D77" i="98" a="1"/>
  <c r="D77" i="98" s="1"/>
  <c r="K76" i="98" a="1"/>
  <c r="K76" i="98" s="1"/>
  <c r="J76" i="98" a="1"/>
  <c r="J76" i="98" s="1"/>
  <c r="I76" i="98" a="1"/>
  <c r="I76" i="98" s="1"/>
  <c r="H76" i="98" a="1"/>
  <c r="H76" i="98" s="1"/>
  <c r="G76" i="98" a="1"/>
  <c r="G76" i="98" s="1"/>
  <c r="F76" i="98" a="1"/>
  <c r="F76" i="98" s="1"/>
  <c r="E76" i="98" a="1"/>
  <c r="E76" i="98" s="1"/>
  <c r="D76" i="98" a="1"/>
  <c r="D76" i="98" s="1"/>
  <c r="K75" i="98" a="1"/>
  <c r="K75" i="98" s="1"/>
  <c r="J75" i="98" a="1"/>
  <c r="J75" i="98" s="1"/>
  <c r="I75" i="98" a="1"/>
  <c r="I75" i="98" s="1"/>
  <c r="H75" i="98" a="1"/>
  <c r="H75" i="98" s="1"/>
  <c r="G75" i="98" a="1"/>
  <c r="G75" i="98" s="1"/>
  <c r="F75" i="98" a="1"/>
  <c r="F75" i="98" s="1"/>
  <c r="E75" i="98" a="1"/>
  <c r="E75" i="98" s="1"/>
  <c r="D75" i="98" a="1"/>
  <c r="D75" i="98" s="1"/>
  <c r="K74" i="98" a="1"/>
  <c r="K74" i="98" s="1"/>
  <c r="J74" i="98" a="1"/>
  <c r="J74" i="98" s="1"/>
  <c r="I74" i="98" a="1"/>
  <c r="I74" i="98" s="1"/>
  <c r="H74" i="98" a="1"/>
  <c r="H74" i="98" s="1"/>
  <c r="G74" i="98" a="1"/>
  <c r="G74" i="98" s="1"/>
  <c r="F74" i="98" a="1"/>
  <c r="F74" i="98" s="1"/>
  <c r="E74" i="98" a="1"/>
  <c r="E74" i="98" s="1"/>
  <c r="D74" i="98" a="1"/>
  <c r="D74" i="98" s="1"/>
  <c r="K73" i="98" a="1"/>
  <c r="K73" i="98" s="1"/>
  <c r="J73" i="98" a="1"/>
  <c r="J73" i="98" s="1"/>
  <c r="I73" i="98" a="1"/>
  <c r="I73" i="98" s="1"/>
  <c r="H73" i="98" a="1"/>
  <c r="H73" i="98" s="1"/>
  <c r="G73" i="98" a="1"/>
  <c r="G73" i="98" s="1"/>
  <c r="F73" i="98" a="1"/>
  <c r="F73" i="98" s="1"/>
  <c r="E73" i="98" a="1"/>
  <c r="E73" i="98" s="1"/>
  <c r="D73" i="98" a="1"/>
  <c r="D73" i="98" s="1"/>
  <c r="K72" i="98" a="1"/>
  <c r="K72" i="98" s="1"/>
  <c r="J72" i="98" a="1"/>
  <c r="J72" i="98" s="1"/>
  <c r="I72" i="98" a="1"/>
  <c r="I72" i="98" s="1"/>
  <c r="H72" i="98" a="1"/>
  <c r="H72" i="98" s="1"/>
  <c r="G72" i="98" a="1"/>
  <c r="G72" i="98" s="1"/>
  <c r="F72" i="98" a="1"/>
  <c r="F72" i="98" s="1"/>
  <c r="E72" i="98" a="1"/>
  <c r="E72" i="98" s="1"/>
  <c r="D72" i="98" a="1"/>
  <c r="D72" i="98" s="1"/>
  <c r="K71" i="98" a="1"/>
  <c r="K71" i="98" s="1"/>
  <c r="J71" i="98" a="1"/>
  <c r="J71" i="98" s="1"/>
  <c r="I71" i="98" a="1"/>
  <c r="I71" i="98" s="1"/>
  <c r="H71" i="98" a="1"/>
  <c r="H71" i="98" s="1"/>
  <c r="G71" i="98" a="1"/>
  <c r="G71" i="98" s="1"/>
  <c r="F71" i="98" a="1"/>
  <c r="F71" i="98" s="1"/>
  <c r="E71" i="98" a="1"/>
  <c r="E71" i="98" s="1"/>
  <c r="D71" i="98" a="1"/>
  <c r="D71" i="98" s="1"/>
  <c r="K70" i="98" a="1"/>
  <c r="K70" i="98" s="1"/>
  <c r="J70" i="98" a="1"/>
  <c r="J70" i="98" s="1"/>
  <c r="I70" i="98" a="1"/>
  <c r="I70" i="98" s="1"/>
  <c r="H70" i="98" a="1"/>
  <c r="H70" i="98" s="1"/>
  <c r="G70" i="98" a="1"/>
  <c r="G70" i="98" s="1"/>
  <c r="F70" i="98" a="1"/>
  <c r="F70" i="98" s="1"/>
  <c r="E70" i="98" a="1"/>
  <c r="E70" i="98" s="1"/>
  <c r="D70" i="98" a="1"/>
  <c r="D70" i="98" s="1"/>
  <c r="K69" i="98" a="1"/>
  <c r="K69" i="98" s="1"/>
  <c r="J69" i="98" a="1"/>
  <c r="J69" i="98" s="1"/>
  <c r="I69" i="98" a="1"/>
  <c r="I69" i="98" s="1"/>
  <c r="H69" i="98" a="1"/>
  <c r="H69" i="98" s="1"/>
  <c r="G69" i="98" a="1"/>
  <c r="G69" i="98" s="1"/>
  <c r="F69" i="98" a="1"/>
  <c r="F69" i="98" s="1"/>
  <c r="E69" i="98" a="1"/>
  <c r="E69" i="98" s="1"/>
  <c r="D69" i="98" a="1"/>
  <c r="D69" i="98" s="1"/>
  <c r="K68" i="98" a="1"/>
  <c r="K68" i="98" s="1"/>
  <c r="J68" i="98" a="1"/>
  <c r="J68" i="98" s="1"/>
  <c r="I68" i="98" a="1"/>
  <c r="I68" i="98" s="1"/>
  <c r="H68" i="98" a="1"/>
  <c r="H68" i="98" s="1"/>
  <c r="G68" i="98" a="1"/>
  <c r="G68" i="98" s="1"/>
  <c r="F68" i="98" a="1"/>
  <c r="F68" i="98" s="1"/>
  <c r="E68" i="98" a="1"/>
  <c r="E68" i="98" s="1"/>
  <c r="D68" i="98" a="1"/>
  <c r="D68" i="98" s="1"/>
  <c r="K67" i="98" a="1"/>
  <c r="K67" i="98" s="1"/>
  <c r="J67" i="98" a="1"/>
  <c r="J67" i="98" s="1"/>
  <c r="I67" i="98" a="1"/>
  <c r="I67" i="98" s="1"/>
  <c r="H67" i="98" a="1"/>
  <c r="H67" i="98" s="1"/>
  <c r="G67" i="98" a="1"/>
  <c r="G67" i="98" s="1"/>
  <c r="F67" i="98" a="1"/>
  <c r="F67" i="98" s="1"/>
  <c r="E67" i="98" a="1"/>
  <c r="E67" i="98" s="1"/>
  <c r="D67" i="98" a="1"/>
  <c r="D67" i="98" s="1"/>
  <c r="K66" i="98" a="1"/>
  <c r="K66" i="98" s="1"/>
  <c r="J66" i="98" a="1"/>
  <c r="J66" i="98" s="1"/>
  <c r="I66" i="98" a="1"/>
  <c r="I66" i="98" s="1"/>
  <c r="H66" i="98" a="1"/>
  <c r="H66" i="98" s="1"/>
  <c r="G66" i="98" a="1"/>
  <c r="G66" i="98" s="1"/>
  <c r="F66" i="98" a="1"/>
  <c r="F66" i="98" s="1"/>
  <c r="E66" i="98" a="1"/>
  <c r="E66" i="98" s="1"/>
  <c r="D66" i="98" a="1"/>
  <c r="D66" i="98" s="1"/>
  <c r="K65" i="98" a="1"/>
  <c r="K65" i="98" s="1"/>
  <c r="J65" i="98" a="1"/>
  <c r="J65" i="98" s="1"/>
  <c r="I65" i="98" a="1"/>
  <c r="I65" i="98" s="1"/>
  <c r="H65" i="98" a="1"/>
  <c r="H65" i="98" s="1"/>
  <c r="G65" i="98" a="1"/>
  <c r="G65" i="98" s="1"/>
  <c r="F65" i="98" a="1"/>
  <c r="F65" i="98" s="1"/>
  <c r="E65" i="98" a="1"/>
  <c r="E65" i="98" s="1"/>
  <c r="D65" i="98" a="1"/>
  <c r="D65" i="98" s="1"/>
  <c r="K64" i="98" a="1"/>
  <c r="K64" i="98" s="1"/>
  <c r="J64" i="98" a="1"/>
  <c r="J64" i="98" s="1"/>
  <c r="I64" i="98" a="1"/>
  <c r="I64" i="98" s="1"/>
  <c r="H64" i="98" a="1"/>
  <c r="H64" i="98" s="1"/>
  <c r="G64" i="98" a="1"/>
  <c r="G64" i="98" s="1"/>
  <c r="F64" i="98" a="1"/>
  <c r="F64" i="98" s="1"/>
  <c r="E64" i="98" a="1"/>
  <c r="E64" i="98" s="1"/>
  <c r="D64" i="98" a="1"/>
  <c r="D64" i="98" s="1"/>
  <c r="K63" i="98" a="1"/>
  <c r="K63" i="98" s="1"/>
  <c r="J63" i="98" a="1"/>
  <c r="J63" i="98" s="1"/>
  <c r="I63" i="98" a="1"/>
  <c r="I63" i="98" s="1"/>
  <c r="H63" i="98" a="1"/>
  <c r="H63" i="98" s="1"/>
  <c r="G63" i="98" a="1"/>
  <c r="G63" i="98" s="1"/>
  <c r="F63" i="98" a="1"/>
  <c r="F63" i="98" s="1"/>
  <c r="E63" i="98" a="1"/>
  <c r="E63" i="98" s="1"/>
  <c r="D63" i="98" a="1"/>
  <c r="D63" i="98" s="1"/>
  <c r="K62" i="98" a="1"/>
  <c r="K62" i="98" s="1"/>
  <c r="J62" i="98" a="1"/>
  <c r="J62" i="98" s="1"/>
  <c r="I62" i="98" a="1"/>
  <c r="I62" i="98" s="1"/>
  <c r="H62" i="98" a="1"/>
  <c r="H62" i="98" s="1"/>
  <c r="G62" i="98" a="1"/>
  <c r="G62" i="98" s="1"/>
  <c r="F62" i="98" a="1"/>
  <c r="F62" i="98" s="1"/>
  <c r="E62" i="98" a="1"/>
  <c r="E62" i="98" s="1"/>
  <c r="D62" i="98" a="1"/>
  <c r="D62" i="98" s="1"/>
  <c r="K61" i="98" a="1"/>
  <c r="K61" i="98" s="1"/>
  <c r="J61" i="98" a="1"/>
  <c r="J61" i="98" s="1"/>
  <c r="I61" i="98" a="1"/>
  <c r="I61" i="98" s="1"/>
  <c r="H61" i="98" a="1"/>
  <c r="H61" i="98" s="1"/>
  <c r="G61" i="98" a="1"/>
  <c r="G61" i="98" s="1"/>
  <c r="F61" i="98" a="1"/>
  <c r="F61" i="98" s="1"/>
  <c r="E61" i="98" a="1"/>
  <c r="E61" i="98" s="1"/>
  <c r="D61" i="98" a="1"/>
  <c r="D61" i="98" s="1"/>
  <c r="K60" i="98" a="1"/>
  <c r="K60" i="98" s="1"/>
  <c r="J60" i="98" a="1"/>
  <c r="J60" i="98" s="1"/>
  <c r="I60" i="98" a="1"/>
  <c r="I60" i="98" s="1"/>
  <c r="H60" i="98" a="1"/>
  <c r="H60" i="98" s="1"/>
  <c r="G60" i="98" a="1"/>
  <c r="G60" i="98" s="1"/>
  <c r="F60" i="98" a="1"/>
  <c r="F60" i="98" s="1"/>
  <c r="E60" i="98" a="1"/>
  <c r="E60" i="98" s="1"/>
  <c r="D60" i="98" a="1"/>
  <c r="D60" i="98" s="1"/>
  <c r="K59" i="98" a="1"/>
  <c r="K59" i="98" s="1"/>
  <c r="J59" i="98" a="1"/>
  <c r="J59" i="98" s="1"/>
  <c r="I59" i="98" a="1"/>
  <c r="I59" i="98" s="1"/>
  <c r="H59" i="98" a="1"/>
  <c r="H59" i="98" s="1"/>
  <c r="G59" i="98" a="1"/>
  <c r="G59" i="98" s="1"/>
  <c r="F59" i="98" a="1"/>
  <c r="F59" i="98" s="1"/>
  <c r="E59" i="98" a="1"/>
  <c r="E59" i="98" s="1"/>
  <c r="D59" i="98" a="1"/>
  <c r="D59" i="98" s="1"/>
  <c r="K58" i="98" a="1"/>
  <c r="K58" i="98" s="1"/>
  <c r="J58" i="98" a="1"/>
  <c r="J58" i="98" s="1"/>
  <c r="I58" i="98" a="1"/>
  <c r="I58" i="98" s="1"/>
  <c r="H58" i="98" a="1"/>
  <c r="H58" i="98" s="1"/>
  <c r="G58" i="98" a="1"/>
  <c r="G58" i="98" s="1"/>
  <c r="F58" i="98" a="1"/>
  <c r="F58" i="98" s="1"/>
  <c r="E58" i="98" a="1"/>
  <c r="E58" i="98" s="1"/>
  <c r="D58" i="98" a="1"/>
  <c r="D58" i="98" s="1"/>
  <c r="K57" i="98" a="1"/>
  <c r="K57" i="98" s="1"/>
  <c r="J57" i="98" a="1"/>
  <c r="J57" i="98" s="1"/>
  <c r="I57" i="98" a="1"/>
  <c r="I57" i="98" s="1"/>
  <c r="H57" i="98" a="1"/>
  <c r="H57" i="98" s="1"/>
  <c r="G57" i="98" a="1"/>
  <c r="G57" i="98" s="1"/>
  <c r="F57" i="98" a="1"/>
  <c r="F57" i="98" s="1"/>
  <c r="E57" i="98" a="1"/>
  <c r="E57" i="98" s="1"/>
  <c r="D57" i="98" a="1"/>
  <c r="D57" i="98" s="1"/>
  <c r="K56" i="98" a="1"/>
  <c r="K56" i="98" s="1"/>
  <c r="J56" i="98" a="1"/>
  <c r="J56" i="98" s="1"/>
  <c r="I56" i="98" a="1"/>
  <c r="I56" i="98" s="1"/>
  <c r="H56" i="98" a="1"/>
  <c r="H56" i="98" s="1"/>
  <c r="G56" i="98" a="1"/>
  <c r="G56" i="98" s="1"/>
  <c r="F56" i="98" a="1"/>
  <c r="F56" i="98" s="1"/>
  <c r="E56" i="98" a="1"/>
  <c r="E56" i="98" s="1"/>
  <c r="D56" i="98" a="1"/>
  <c r="D56" i="98" s="1"/>
  <c r="K55" i="98" a="1"/>
  <c r="K55" i="98" s="1"/>
  <c r="J55" i="98" a="1"/>
  <c r="J55" i="98" s="1"/>
  <c r="I55" i="98" a="1"/>
  <c r="I55" i="98" s="1"/>
  <c r="H55" i="98" a="1"/>
  <c r="H55" i="98" s="1"/>
  <c r="G55" i="98" a="1"/>
  <c r="G55" i="98" s="1"/>
  <c r="F55" i="98" a="1"/>
  <c r="F55" i="98" s="1"/>
  <c r="E55" i="98" a="1"/>
  <c r="E55" i="98" s="1"/>
  <c r="D55" i="98" a="1"/>
  <c r="D55" i="98" s="1"/>
  <c r="K54" i="98" a="1"/>
  <c r="K54" i="98" s="1"/>
  <c r="J54" i="98" a="1"/>
  <c r="J54" i="98" s="1"/>
  <c r="I54" i="98" a="1"/>
  <c r="I54" i="98" s="1"/>
  <c r="H54" i="98" a="1"/>
  <c r="H54" i="98" s="1"/>
  <c r="G54" i="98" a="1"/>
  <c r="G54" i="98" s="1"/>
  <c r="F54" i="98" a="1"/>
  <c r="F54" i="98" s="1"/>
  <c r="E54" i="98" a="1"/>
  <c r="E54" i="98" s="1"/>
  <c r="D54" i="98" a="1"/>
  <c r="D54" i="98" s="1"/>
  <c r="D52" i="98" a="1"/>
  <c r="D52" i="98" s="1"/>
  <c r="D51" i="98" a="1"/>
  <c r="D51" i="98" s="1"/>
  <c r="D50" i="98" a="1"/>
  <c r="D50" i="98" s="1"/>
  <c r="D49" i="98" a="1"/>
  <c r="D49" i="98" s="1"/>
  <c r="J43" i="98" a="1"/>
  <c r="J43" i="98" s="1"/>
  <c r="I43" i="98" a="1"/>
  <c r="I43" i="98" s="1"/>
  <c r="H43" i="98" a="1"/>
  <c r="H43" i="98" s="1"/>
  <c r="G43" i="98" a="1"/>
  <c r="G43" i="98" s="1"/>
  <c r="F43" i="98" a="1"/>
  <c r="F43" i="98" s="1"/>
  <c r="E43" i="98" a="1"/>
  <c r="E43" i="98" s="1"/>
  <c r="D43" i="98" a="1"/>
  <c r="D43" i="98" s="1"/>
  <c r="J42" i="98" a="1"/>
  <c r="J42" i="98" s="1"/>
  <c r="I42" i="98" a="1"/>
  <c r="I42" i="98" s="1"/>
  <c r="H42" i="98" a="1"/>
  <c r="H42" i="98" s="1"/>
  <c r="G42" i="98" a="1"/>
  <c r="G42" i="98" s="1"/>
  <c r="F42" i="98" a="1"/>
  <c r="F42" i="98" s="1"/>
  <c r="E42" i="98" a="1"/>
  <c r="E42" i="98" s="1"/>
  <c r="D42" i="98" a="1"/>
  <c r="D42" i="98" s="1"/>
  <c r="J41" i="98" a="1"/>
  <c r="J41" i="98" s="1"/>
  <c r="I41" i="98" a="1"/>
  <c r="I41" i="98" s="1"/>
  <c r="H41" i="98" a="1"/>
  <c r="H41" i="98" s="1"/>
  <c r="G41" i="98" a="1"/>
  <c r="G41" i="98" s="1"/>
  <c r="F41" i="98" a="1"/>
  <c r="F41" i="98" s="1"/>
  <c r="E41" i="98" a="1"/>
  <c r="E41" i="98" s="1"/>
  <c r="D41" i="98" a="1"/>
  <c r="D41" i="98" s="1"/>
  <c r="J40" i="98" a="1"/>
  <c r="J40" i="98" s="1"/>
  <c r="I40" i="98" a="1"/>
  <c r="I40" i="98" s="1"/>
  <c r="H40" i="98" a="1"/>
  <c r="H40" i="98" s="1"/>
  <c r="G40" i="98" a="1"/>
  <c r="G40" i="98" s="1"/>
  <c r="F40" i="98" a="1"/>
  <c r="F40" i="98" s="1"/>
  <c r="E40" i="98" a="1"/>
  <c r="E40" i="98" s="1"/>
  <c r="D40" i="98" a="1"/>
  <c r="D40" i="98" s="1"/>
  <c r="D38" i="98" a="1"/>
  <c r="D38" i="98" s="1"/>
  <c r="D37" i="98" a="1"/>
  <c r="D37" i="98" s="1"/>
  <c r="L34" i="98" a="1"/>
  <c r="L34" i="98" s="1"/>
  <c r="K34" i="98" a="1"/>
  <c r="K34" i="98" s="1"/>
  <c r="J34" i="98" a="1"/>
  <c r="J34" i="98" s="1"/>
  <c r="I34" i="98" a="1"/>
  <c r="I34" i="98" s="1"/>
  <c r="H34" i="98" a="1"/>
  <c r="H34" i="98" s="1"/>
  <c r="G34" i="98" a="1"/>
  <c r="G34" i="98" s="1"/>
  <c r="F34" i="98" a="1"/>
  <c r="F34" i="98" s="1"/>
  <c r="E34" i="98" a="1"/>
  <c r="E34" i="98" s="1"/>
  <c r="D34" i="98" a="1"/>
  <c r="D34" i="98" s="1"/>
  <c r="L33" i="98" a="1"/>
  <c r="L33" i="98" s="1"/>
  <c r="K33" i="98" a="1"/>
  <c r="K33" i="98" s="1"/>
  <c r="J33" i="98" a="1"/>
  <c r="J33" i="98" s="1"/>
  <c r="I33" i="98" a="1"/>
  <c r="I33" i="98" s="1"/>
  <c r="H33" i="98" a="1"/>
  <c r="H33" i="98" s="1"/>
  <c r="G33" i="98" a="1"/>
  <c r="G33" i="98" s="1"/>
  <c r="F33" i="98" a="1"/>
  <c r="F33" i="98" s="1"/>
  <c r="E33" i="98" a="1"/>
  <c r="E33" i="98" s="1"/>
  <c r="D33" i="98" a="1"/>
  <c r="D33" i="98" s="1"/>
  <c r="L32" i="98" a="1"/>
  <c r="L32" i="98" s="1"/>
  <c r="K32" i="98" a="1"/>
  <c r="K32" i="98" s="1"/>
  <c r="J32" i="98" a="1"/>
  <c r="J32" i="98" s="1"/>
  <c r="I32" i="98" a="1"/>
  <c r="I32" i="98" s="1"/>
  <c r="H32" i="98" a="1"/>
  <c r="H32" i="98" s="1"/>
  <c r="G32" i="98" a="1"/>
  <c r="G32" i="98" s="1"/>
  <c r="F32" i="98" a="1"/>
  <c r="F32" i="98" s="1"/>
  <c r="E32" i="98" a="1"/>
  <c r="E32" i="98" s="1"/>
  <c r="D32" i="98" a="1"/>
  <c r="D32" i="98" s="1"/>
  <c r="L31" i="98" a="1"/>
  <c r="L31" i="98" s="1"/>
  <c r="K31" i="98" a="1"/>
  <c r="K31" i="98" s="1"/>
  <c r="J31" i="98" a="1"/>
  <c r="J31" i="98" s="1"/>
  <c r="I31" i="98" a="1"/>
  <c r="I31" i="98" s="1"/>
  <c r="H31" i="98" a="1"/>
  <c r="H31" i="98" s="1"/>
  <c r="G31" i="98" a="1"/>
  <c r="G31" i="98" s="1"/>
  <c r="F31" i="98" a="1"/>
  <c r="F31" i="98" s="1"/>
  <c r="E31" i="98" a="1"/>
  <c r="E31" i="98" s="1"/>
  <c r="D31" i="98" a="1"/>
  <c r="D31" i="98" s="1"/>
  <c r="L30" i="98" a="1"/>
  <c r="L30" i="98" s="1"/>
  <c r="K30" i="98" a="1"/>
  <c r="K30" i="98" s="1"/>
  <c r="J30" i="98" a="1"/>
  <c r="J30" i="98" s="1"/>
  <c r="I30" i="98" a="1"/>
  <c r="I30" i="98" s="1"/>
  <c r="H30" i="98" a="1"/>
  <c r="H30" i="98" s="1"/>
  <c r="G30" i="98" a="1"/>
  <c r="G30" i="98" s="1"/>
  <c r="F30" i="98" a="1"/>
  <c r="F30" i="98" s="1"/>
  <c r="E30" i="98" a="1"/>
  <c r="E30" i="98" s="1"/>
  <c r="D30" i="98" a="1"/>
  <c r="D30" i="98" s="1"/>
  <c r="L29" i="98" a="1"/>
  <c r="L29" i="98" s="1"/>
  <c r="K29" i="98" a="1"/>
  <c r="K29" i="98" s="1"/>
  <c r="J29" i="98" a="1"/>
  <c r="J29" i="98" s="1"/>
  <c r="I29" i="98" a="1"/>
  <c r="I29" i="98" s="1"/>
  <c r="H29" i="98" a="1"/>
  <c r="H29" i="98" s="1"/>
  <c r="G29" i="98" a="1"/>
  <c r="G29" i="98" s="1"/>
  <c r="F29" i="98" a="1"/>
  <c r="F29" i="98" s="1"/>
  <c r="E29" i="98" a="1"/>
  <c r="E29" i="98" s="1"/>
  <c r="D29" i="98" a="1"/>
  <c r="D29" i="98" s="1"/>
  <c r="L28" i="98" a="1"/>
  <c r="L28" i="98" s="1"/>
  <c r="K28" i="98" a="1"/>
  <c r="K28" i="98" s="1"/>
  <c r="J28" i="98" a="1"/>
  <c r="J28" i="98" s="1"/>
  <c r="I28" i="98" a="1"/>
  <c r="I28" i="98" s="1"/>
  <c r="H28" i="98" a="1"/>
  <c r="H28" i="98" s="1"/>
  <c r="G28" i="98" a="1"/>
  <c r="G28" i="98" s="1"/>
  <c r="F28" i="98" a="1"/>
  <c r="F28" i="98" s="1"/>
  <c r="E28" i="98" a="1"/>
  <c r="E28" i="98" s="1"/>
  <c r="D28" i="98" a="1"/>
  <c r="D28" i="98" s="1"/>
  <c r="L27" i="98" a="1"/>
  <c r="L27" i="98" s="1"/>
  <c r="K27" i="98" a="1"/>
  <c r="K27" i="98" s="1"/>
  <c r="J27" i="98" a="1"/>
  <c r="J27" i="98" s="1"/>
  <c r="I27" i="98" a="1"/>
  <c r="I27" i="98" s="1"/>
  <c r="H27" i="98" a="1"/>
  <c r="H27" i="98" s="1"/>
  <c r="G27" i="98" a="1"/>
  <c r="G27" i="98" s="1"/>
  <c r="F27" i="98" a="1"/>
  <c r="F27" i="98" s="1"/>
  <c r="E27" i="98" a="1"/>
  <c r="E27" i="98" s="1"/>
  <c r="D27" i="98" a="1"/>
  <c r="D27" i="98" s="1"/>
  <c r="L26" i="98" a="1"/>
  <c r="L26" i="98" s="1"/>
  <c r="K26" i="98" a="1"/>
  <c r="K26" i="98" s="1"/>
  <c r="J26" i="98" a="1"/>
  <c r="J26" i="98" s="1"/>
  <c r="I26" i="98" a="1"/>
  <c r="I26" i="98" s="1"/>
  <c r="H26" i="98" a="1"/>
  <c r="H26" i="98" s="1"/>
  <c r="G26" i="98" a="1"/>
  <c r="G26" i="98" s="1"/>
  <c r="F26" i="98" a="1"/>
  <c r="F26" i="98" s="1"/>
  <c r="E26" i="98" a="1"/>
  <c r="E26" i="98" s="1"/>
  <c r="D26" i="98" a="1"/>
  <c r="D26" i="98" s="1"/>
  <c r="L25" i="98" a="1"/>
  <c r="L25" i="98" s="1"/>
  <c r="K25" i="98" a="1"/>
  <c r="K25" i="98" s="1"/>
  <c r="J25" i="98" a="1"/>
  <c r="J25" i="98" s="1"/>
  <c r="I25" i="98" a="1"/>
  <c r="I25" i="98" s="1"/>
  <c r="H25" i="98" a="1"/>
  <c r="H25" i="98" s="1"/>
  <c r="G25" i="98" a="1"/>
  <c r="G25" i="98" s="1"/>
  <c r="F25" i="98" a="1"/>
  <c r="F25" i="98" s="1"/>
  <c r="E25" i="98" a="1"/>
  <c r="E25" i="98" s="1"/>
  <c r="D25" i="98" a="1"/>
  <c r="D25" i="98" s="1"/>
  <c r="L24" i="98" a="1"/>
  <c r="L24" i="98" s="1"/>
  <c r="K24" i="98" a="1"/>
  <c r="K24" i="98" s="1"/>
  <c r="J24" i="98" a="1"/>
  <c r="J24" i="98" s="1"/>
  <c r="I24" i="98" a="1"/>
  <c r="I24" i="98" s="1"/>
  <c r="H24" i="98" a="1"/>
  <c r="H24" i="98" s="1"/>
  <c r="G24" i="98" a="1"/>
  <c r="G24" i="98" s="1"/>
  <c r="F24" i="98" a="1"/>
  <c r="F24" i="98" s="1"/>
  <c r="E24" i="98" a="1"/>
  <c r="E24" i="98" s="1"/>
  <c r="D24" i="98" a="1"/>
  <c r="D24" i="98" s="1"/>
  <c r="L23" i="98" a="1"/>
  <c r="L23" i="98" s="1"/>
  <c r="K23" i="98" a="1"/>
  <c r="K23" i="98" s="1"/>
  <c r="J23" i="98" a="1"/>
  <c r="J23" i="98" s="1"/>
  <c r="I23" i="98" a="1"/>
  <c r="I23" i="98" s="1"/>
  <c r="H23" i="98" a="1"/>
  <c r="H23" i="98" s="1"/>
  <c r="G23" i="98" a="1"/>
  <c r="G23" i="98" s="1"/>
  <c r="F23" i="98" a="1"/>
  <c r="F23" i="98" s="1"/>
  <c r="E23" i="98" a="1"/>
  <c r="E23" i="98" s="1"/>
  <c r="D23" i="98" a="1"/>
  <c r="D23" i="98" s="1"/>
  <c r="L22" i="98" a="1"/>
  <c r="L22" i="98" s="1"/>
  <c r="K22" i="98" a="1"/>
  <c r="K22" i="98" s="1"/>
  <c r="J22" i="98" a="1"/>
  <c r="J22" i="98" s="1"/>
  <c r="I22" i="98" a="1"/>
  <c r="I22" i="98" s="1"/>
  <c r="H22" i="98" a="1"/>
  <c r="H22" i="98" s="1"/>
  <c r="G22" i="98" a="1"/>
  <c r="G22" i="98" s="1"/>
  <c r="F22" i="98" a="1"/>
  <c r="F22" i="98" s="1"/>
  <c r="E22" i="98" a="1"/>
  <c r="E22" i="98" s="1"/>
  <c r="D22" i="98" a="1"/>
  <c r="D22" i="98" s="1"/>
  <c r="L21" i="98" a="1"/>
  <c r="L21" i="98" s="1"/>
  <c r="K21" i="98" a="1"/>
  <c r="K21" i="98" s="1"/>
  <c r="J21" i="98" a="1"/>
  <c r="J21" i="98" s="1"/>
  <c r="I21" i="98" a="1"/>
  <c r="I21" i="98" s="1"/>
  <c r="H21" i="98" a="1"/>
  <c r="H21" i="98" s="1"/>
  <c r="G21" i="98" a="1"/>
  <c r="G21" i="98" s="1"/>
  <c r="F21" i="98" a="1"/>
  <c r="F21" i="98" s="1"/>
  <c r="E21" i="98" a="1"/>
  <c r="E21" i="98" s="1"/>
  <c r="D21" i="98" a="1"/>
  <c r="D21" i="98" s="1"/>
  <c r="L20" i="98" a="1"/>
  <c r="L20" i="98" s="1"/>
  <c r="K20" i="98" a="1"/>
  <c r="K20" i="98" s="1"/>
  <c r="J20" i="98" a="1"/>
  <c r="J20" i="98" s="1"/>
  <c r="I20" i="98" a="1"/>
  <c r="I20" i="98" s="1"/>
  <c r="H20" i="98" a="1"/>
  <c r="H20" i="98" s="1"/>
  <c r="G20" i="98" a="1"/>
  <c r="G20" i="98" s="1"/>
  <c r="F20" i="98" a="1"/>
  <c r="F20" i="98" s="1"/>
  <c r="E20" i="98" a="1"/>
  <c r="E20" i="98" s="1"/>
  <c r="D20" i="98" a="1"/>
  <c r="D20" i="98" s="1"/>
  <c r="L19" i="98" a="1"/>
  <c r="L19" i="98" s="1"/>
  <c r="K19" i="98" a="1"/>
  <c r="K19" i="98" s="1"/>
  <c r="J19" i="98" a="1"/>
  <c r="J19" i="98" s="1"/>
  <c r="I19" i="98" a="1"/>
  <c r="I19" i="98" s="1"/>
  <c r="H19" i="98" a="1"/>
  <c r="H19" i="98" s="1"/>
  <c r="G19" i="98" a="1"/>
  <c r="G19" i="98" s="1"/>
  <c r="F19" i="98" a="1"/>
  <c r="F19" i="98" s="1"/>
  <c r="E19" i="98" a="1"/>
  <c r="E19" i="98" s="1"/>
  <c r="D19" i="98" a="1"/>
  <c r="D19" i="98" s="1"/>
  <c r="L18" i="98" a="1"/>
  <c r="L18" i="98" s="1"/>
  <c r="K18" i="98" a="1"/>
  <c r="K18" i="98" s="1"/>
  <c r="J18" i="98" a="1"/>
  <c r="J18" i="98" s="1"/>
  <c r="I18" i="98" a="1"/>
  <c r="I18" i="98" s="1"/>
  <c r="H18" i="98" a="1"/>
  <c r="H18" i="98" s="1"/>
  <c r="G18" i="98" a="1"/>
  <c r="G18" i="98" s="1"/>
  <c r="F18" i="98" a="1"/>
  <c r="F18" i="98" s="1"/>
  <c r="E18" i="98" a="1"/>
  <c r="E18" i="98" s="1"/>
  <c r="D18" i="98" a="1"/>
  <c r="D18" i="98" s="1"/>
  <c r="L17" i="98" a="1"/>
  <c r="L17" i="98" s="1"/>
  <c r="K17" i="98" a="1"/>
  <c r="K17" i="98" s="1"/>
  <c r="J17" i="98" a="1"/>
  <c r="J17" i="98" s="1"/>
  <c r="I17" i="98" a="1"/>
  <c r="I17" i="98" s="1"/>
  <c r="H17" i="98" a="1"/>
  <c r="H17" i="98" s="1"/>
  <c r="G17" i="98" a="1"/>
  <c r="G17" i="98" s="1"/>
  <c r="F17" i="98" a="1"/>
  <c r="F17" i="98" s="1"/>
  <c r="E17" i="98" a="1"/>
  <c r="E17" i="98" s="1"/>
  <c r="D17" i="98" a="1"/>
  <c r="D17" i="98" s="1"/>
  <c r="L16" i="98" a="1"/>
  <c r="L16" i="98" s="1"/>
  <c r="K16" i="98" a="1"/>
  <c r="K16" i="98" s="1"/>
  <c r="J16" i="98" a="1"/>
  <c r="J16" i="98" s="1"/>
  <c r="I16" i="98" a="1"/>
  <c r="I16" i="98" s="1"/>
  <c r="H16" i="98" a="1"/>
  <c r="H16" i="98" s="1"/>
  <c r="G16" i="98" a="1"/>
  <c r="G16" i="98" s="1"/>
  <c r="F16" i="98" a="1"/>
  <c r="F16" i="98" s="1"/>
  <c r="E16" i="98" a="1"/>
  <c r="E16" i="98" s="1"/>
  <c r="D16" i="98" a="1"/>
  <c r="D16" i="98" s="1"/>
  <c r="L15" i="98" a="1"/>
  <c r="L15" i="98" s="1"/>
  <c r="K15" i="98" a="1"/>
  <c r="K15" i="98" s="1"/>
  <c r="J15" i="98" a="1"/>
  <c r="J15" i="98" s="1"/>
  <c r="I15" i="98" a="1"/>
  <c r="I15" i="98" s="1"/>
  <c r="H15" i="98" a="1"/>
  <c r="H15" i="98" s="1"/>
  <c r="G15" i="98" a="1"/>
  <c r="G15" i="98" s="1"/>
  <c r="F15" i="98" a="1"/>
  <c r="F15" i="98" s="1"/>
  <c r="E15" i="98" a="1"/>
  <c r="E15" i="98" s="1"/>
  <c r="D15" i="98" a="1"/>
  <c r="D15" i="98" s="1"/>
  <c r="L14" i="98" a="1"/>
  <c r="L14" i="98" s="1"/>
  <c r="K14" i="98" a="1"/>
  <c r="K14" i="98" s="1"/>
  <c r="J14" i="98" a="1"/>
  <c r="J14" i="98" s="1"/>
  <c r="I14" i="98" a="1"/>
  <c r="I14" i="98" s="1"/>
  <c r="H14" i="98" a="1"/>
  <c r="H14" i="98" s="1"/>
  <c r="G14" i="98" a="1"/>
  <c r="G14" i="98" s="1"/>
  <c r="F14" i="98" a="1"/>
  <c r="F14" i="98" s="1"/>
  <c r="E14" i="98" a="1"/>
  <c r="E14" i="98" s="1"/>
  <c r="D14" i="98" a="1"/>
  <c r="D14" i="98" s="1"/>
  <c r="L13" i="98" a="1"/>
  <c r="L13" i="98" s="1"/>
  <c r="K13" i="98" a="1"/>
  <c r="K13" i="98" s="1"/>
  <c r="J13" i="98" a="1"/>
  <c r="J13" i="98" s="1"/>
  <c r="I13" i="98" a="1"/>
  <c r="I13" i="98" s="1"/>
  <c r="H13" i="98" a="1"/>
  <c r="H13" i="98" s="1"/>
  <c r="G13" i="98" a="1"/>
  <c r="G13" i="98" s="1"/>
  <c r="F13" i="98" a="1"/>
  <c r="F13" i="98" s="1"/>
  <c r="E13" i="98" a="1"/>
  <c r="E13" i="98" s="1"/>
  <c r="D13" i="98" a="1"/>
  <c r="D13" i="98" s="1"/>
  <c r="L12" i="98" a="1"/>
  <c r="L12" i="98" s="1"/>
  <c r="K12" i="98" a="1"/>
  <c r="K12" i="98" s="1"/>
  <c r="J12" i="98" a="1"/>
  <c r="J12" i="98" s="1"/>
  <c r="I12" i="98" a="1"/>
  <c r="I12" i="98" s="1"/>
  <c r="H12" i="98" a="1"/>
  <c r="H12" i="98" s="1"/>
  <c r="G12" i="98" a="1"/>
  <c r="G12" i="98" s="1"/>
  <c r="F12" i="98" a="1"/>
  <c r="F12" i="98" s="1"/>
  <c r="E12" i="98" a="1"/>
  <c r="E12" i="98" s="1"/>
  <c r="D12" i="98" a="1"/>
  <c r="D12" i="98" s="1"/>
  <c r="L11" i="98" a="1"/>
  <c r="L11" i="98" s="1"/>
  <c r="K11" i="98" a="1"/>
  <c r="K11" i="98" s="1"/>
  <c r="J11" i="98" a="1"/>
  <c r="J11" i="98" s="1"/>
  <c r="I11" i="98" a="1"/>
  <c r="I11" i="98" s="1"/>
  <c r="H11" i="98" a="1"/>
  <c r="H11" i="98" s="1"/>
  <c r="G11" i="98" a="1"/>
  <c r="G11" i="98" s="1"/>
  <c r="F11" i="98" a="1"/>
  <c r="F11" i="98" s="1"/>
  <c r="E11" i="98" a="1"/>
  <c r="E11" i="98" s="1"/>
  <c r="D11" i="98" a="1"/>
  <c r="D11" i="98" s="1"/>
  <c r="L10" i="98" a="1"/>
  <c r="L10" i="98" s="1"/>
  <c r="K10" i="98" a="1"/>
  <c r="K10" i="98" s="1"/>
  <c r="J10" i="98" a="1"/>
  <c r="J10" i="98" s="1"/>
  <c r="I10" i="98" a="1"/>
  <c r="I10" i="98" s="1"/>
  <c r="H10" i="98" a="1"/>
  <c r="H10" i="98" s="1"/>
  <c r="G10" i="98" a="1"/>
  <c r="G10" i="98" s="1"/>
  <c r="F10" i="98" a="1"/>
  <c r="F10" i="98" s="1"/>
  <c r="E10" i="98" a="1"/>
  <c r="E10" i="98" s="1"/>
  <c r="D10" i="98" a="1"/>
  <c r="D10" i="98" s="1"/>
  <c r="D8" i="98" a="1"/>
  <c r="D8" i="98" s="1"/>
  <c r="D7" i="98" a="1"/>
  <c r="D7" i="98" s="1"/>
  <c r="D6" i="98" a="1"/>
  <c r="D6" i="98" s="1"/>
  <c r="D5" i="98" a="1"/>
  <c r="D5" i="98" s="1"/>
  <c r="D48" i="97"/>
  <c r="D40" i="97"/>
  <c r="D37" i="97"/>
  <c r="D36" i="97"/>
  <c r="D35" i="97"/>
  <c r="D34" i="97"/>
  <c r="D33" i="97"/>
  <c r="D38" i="97"/>
  <c r="D31" i="97"/>
  <c r="D30" i="97"/>
  <c r="D29" i="97"/>
  <c r="D28" i="97"/>
  <c r="D27" i="97"/>
  <c r="D26" i="97"/>
  <c r="D42" i="97"/>
  <c r="P18" i="97"/>
  <c r="K40" i="97" s="1" a="1"/>
  <c r="K40" i="97" s="1"/>
  <c r="P17" i="97"/>
  <c r="P16" i="97" a="1"/>
  <c r="P16" i="97" s="1"/>
  <c r="I16" i="97" a="1"/>
  <c r="I16" i="97" s="1"/>
  <c r="P15" i="97" a="1"/>
  <c r="P15" i="97" s="1"/>
  <c r="I15" i="97" a="1"/>
  <c r="I15" i="97" s="1"/>
  <c r="P14" i="97" a="1"/>
  <c r="P14" i="97" s="1"/>
  <c r="N14" i="97" a="1"/>
  <c r="N14" i="97" s="1"/>
  <c r="K14" i="97" a="1"/>
  <c r="K14" i="97" s="1"/>
  <c r="I14" i="97" a="1"/>
  <c r="I14" i="97" s="1"/>
  <c r="G14" i="97" a="1"/>
  <c r="G14" i="97" s="1"/>
  <c r="D14" i="97" a="1"/>
  <c r="D14" i="97" s="1"/>
  <c r="L12" i="97" a="1"/>
  <c r="L12" i="97" s="1"/>
  <c r="E12" i="97" a="1"/>
  <c r="E12" i="97" s="1"/>
  <c r="L11" i="97" a="1"/>
  <c r="L11" i="97" s="1"/>
  <c r="E11" i="97" a="1"/>
  <c r="E11" i="97" s="1"/>
  <c r="K7" i="97" a="1"/>
  <c r="K7" i="97" s="1"/>
  <c r="K6" i="97" a="1"/>
  <c r="K6" i="97" s="1"/>
  <c r="D6" i="97" a="1"/>
  <c r="D6" i="97" s="1"/>
  <c r="K5" i="97" a="1"/>
  <c r="K5" i="97" s="1"/>
  <c r="D5" i="97" a="1"/>
  <c r="D5" i="97" s="1"/>
  <c r="D39" i="96"/>
  <c r="D38" i="96"/>
  <c r="D60" i="96"/>
  <c r="D35" i="96"/>
  <c r="D48" i="96"/>
  <c r="D28" i="96"/>
  <c r="D42" i="96"/>
  <c r="P16" i="96" a="1"/>
  <c r="P16" i="96" s="1"/>
  <c r="I16" i="96" a="1"/>
  <c r="I16" i="96" s="1"/>
  <c r="P15" i="96" a="1"/>
  <c r="P15" i="96" s="1"/>
  <c r="I15" i="96" a="1"/>
  <c r="I15" i="96" s="1"/>
  <c r="P14" i="96" a="1"/>
  <c r="P14" i="96" s="1"/>
  <c r="N14" i="96" a="1"/>
  <c r="N14" i="96" s="1"/>
  <c r="K14" i="96" a="1"/>
  <c r="K14" i="96" s="1"/>
  <c r="I14" i="96" a="1"/>
  <c r="I14" i="96" s="1"/>
  <c r="G14" i="96" a="1"/>
  <c r="G14" i="96" s="1"/>
  <c r="D14" i="96" a="1"/>
  <c r="D14" i="96" s="1"/>
  <c r="L12" i="96" a="1"/>
  <c r="L12" i="96" s="1"/>
  <c r="E12" i="96" a="1"/>
  <c r="E12" i="96" s="1"/>
  <c r="L11" i="96" a="1"/>
  <c r="L11" i="96" s="1"/>
  <c r="E11" i="96" a="1"/>
  <c r="E11" i="96" s="1"/>
  <c r="K6" i="96" a="1"/>
  <c r="K6" i="96" s="1"/>
  <c r="D6" i="96" a="1"/>
  <c r="D6" i="96" s="1"/>
  <c r="K5" i="96" a="1"/>
  <c r="K5" i="96" s="1"/>
  <c r="D5" i="96" a="1"/>
  <c r="D5" i="96" s="1"/>
  <c r="H21" i="95"/>
  <c r="H20" i="95"/>
  <c r="H19" i="95"/>
  <c r="H18" i="95"/>
  <c r="H17" i="95"/>
  <c r="H25" i="94" a="1"/>
  <c r="H25" i="94" s="1"/>
  <c r="G25" i="94" a="1"/>
  <c r="G25" i="94" s="1"/>
  <c r="F25" i="94" a="1"/>
  <c r="F25" i="94" s="1"/>
  <c r="E25" i="94" a="1"/>
  <c r="E25" i="94" s="1"/>
  <c r="D25" i="94" a="1"/>
  <c r="D25" i="94" s="1"/>
  <c r="D22" i="94" a="1"/>
  <c r="D22" i="94" s="1"/>
  <c r="D21" i="94" a="1"/>
  <c r="D21" i="94" s="1"/>
  <c r="F19" i="94" a="1"/>
  <c r="F19" i="94" s="1"/>
  <c r="E19" i="94" a="1"/>
  <c r="E19" i="94" s="1"/>
  <c r="D19" i="94" a="1"/>
  <c r="D19" i="94" s="1"/>
  <c r="F18" i="94" a="1"/>
  <c r="F18" i="94" s="1"/>
  <c r="E18" i="94" a="1"/>
  <c r="E18" i="94" s="1"/>
  <c r="D18" i="94" a="1"/>
  <c r="D18" i="94" s="1"/>
  <c r="F17" i="94" a="1"/>
  <c r="F17" i="94" s="1"/>
  <c r="E17" i="94" a="1"/>
  <c r="E17" i="94" s="1"/>
  <c r="D17" i="94" a="1"/>
  <c r="D17" i="94" s="1"/>
  <c r="F16" i="94" a="1"/>
  <c r="F16" i="94" s="1"/>
  <c r="E16" i="94" a="1"/>
  <c r="E16" i="94" s="1"/>
  <c r="D16" i="94" a="1"/>
  <c r="D16" i="94" s="1"/>
  <c r="F15" i="94" a="1"/>
  <c r="F15" i="94" s="1"/>
  <c r="E15" i="94" a="1"/>
  <c r="E15" i="94" s="1"/>
  <c r="D15" i="94" a="1"/>
  <c r="D15" i="94" s="1"/>
  <c r="F14" i="94" a="1"/>
  <c r="F14" i="94" s="1"/>
  <c r="E14" i="94" a="1"/>
  <c r="E14" i="94" s="1"/>
  <c r="D14" i="94" a="1"/>
  <c r="D14" i="94" s="1"/>
  <c r="F13" i="94" a="1"/>
  <c r="F13" i="94" s="1"/>
  <c r="E13" i="94" a="1"/>
  <c r="E13" i="94" s="1"/>
  <c r="D13" i="94" a="1"/>
  <c r="D13" i="94" s="1"/>
  <c r="F12" i="94" a="1"/>
  <c r="F12" i="94" s="1"/>
  <c r="E12" i="94" a="1"/>
  <c r="E12" i="94" s="1"/>
  <c r="D12" i="94" a="1"/>
  <c r="D12" i="94" s="1"/>
  <c r="F11" i="94" a="1"/>
  <c r="F11" i="94" s="1"/>
  <c r="E11" i="94" a="1"/>
  <c r="E11" i="94" s="1"/>
  <c r="D11" i="94" a="1"/>
  <c r="D11" i="94" s="1"/>
  <c r="F10" i="94" a="1"/>
  <c r="F10" i="94" s="1"/>
  <c r="E10" i="94" a="1"/>
  <c r="E10" i="94" s="1"/>
  <c r="D10" i="94" a="1"/>
  <c r="D10" i="94" s="1"/>
  <c r="D7" i="94" a="1"/>
  <c r="D7" i="94" s="1"/>
  <c r="D6" i="94" a="1"/>
  <c r="D6" i="94" s="1"/>
  <c r="D5" i="94" a="1"/>
  <c r="D5" i="94" s="1"/>
  <c r="J37" i="93"/>
  <c r="J33" i="93" s="1"/>
  <c r="J35" i="93"/>
  <c r="J34" i="93"/>
  <c r="J32" i="93"/>
  <c r="J31" i="93"/>
  <c r="H31" i="93" a="1"/>
  <c r="H31" i="93" s="1"/>
  <c r="D31" i="93" a="1"/>
  <c r="D31" i="93" s="1"/>
  <c r="E29" i="93" a="1"/>
  <c r="E29" i="93" s="1"/>
  <c r="F39" i="93" s="1"/>
  <c r="E28" i="93" a="1"/>
  <c r="E28" i="93" s="1"/>
  <c r="D24" i="93" a="1"/>
  <c r="D24" i="93" s="1"/>
  <c r="D23" i="93" a="1"/>
  <c r="D23" i="93" s="1"/>
  <c r="D22" i="93" a="1"/>
  <c r="D22" i="93" s="1"/>
  <c r="I16" i="93"/>
  <c r="I15" i="93" s="1" a="1"/>
  <c r="I15" i="93" s="1"/>
  <c r="I14" i="93"/>
  <c r="G14" i="93" a="1"/>
  <c r="G14" i="93" s="1"/>
  <c r="D14" i="93" a="1"/>
  <c r="D14" i="93" s="1"/>
  <c r="E12" i="93" a="1"/>
  <c r="E12" i="93" s="1"/>
  <c r="F18" i="93" s="1"/>
  <c r="E11" i="93" a="1"/>
  <c r="E11" i="93" s="1"/>
  <c r="D7" i="93" a="1"/>
  <c r="D7" i="93" s="1"/>
  <c r="D6" i="93" a="1"/>
  <c r="D6" i="93" s="1"/>
  <c r="D5" i="93" a="1"/>
  <c r="D5" i="93" s="1"/>
  <c r="H48" i="92"/>
  <c r="E48" i="92"/>
  <c r="H47" i="92"/>
  <c r="E47" i="92"/>
  <c r="H46" i="92"/>
  <c r="E46" i="92"/>
  <c r="H39" i="92"/>
  <c r="H38" i="92"/>
  <c r="H37" i="92"/>
  <c r="E30" i="92"/>
  <c r="I37" i="92" s="1"/>
  <c r="E29" i="92"/>
  <c r="E16" i="92"/>
  <c r="E22" i="92" s="1"/>
  <c r="E6" i="92"/>
  <c r="E123" i="91" a="1"/>
  <c r="E123" i="91" s="1"/>
  <c r="D123" i="91" a="1"/>
  <c r="D123" i="91" s="1"/>
  <c r="E122" i="91" a="1"/>
  <c r="E122" i="91" s="1"/>
  <c r="D122" i="91" a="1"/>
  <c r="D122" i="91" s="1"/>
  <c r="E121" i="91" a="1"/>
  <c r="E121" i="91" s="1"/>
  <c r="D121" i="91" a="1"/>
  <c r="D121" i="91" s="1"/>
  <c r="E120" i="91" a="1"/>
  <c r="E120" i="91" s="1"/>
  <c r="D120" i="91" a="1"/>
  <c r="D120" i="91" s="1"/>
  <c r="D118" i="91" a="1"/>
  <c r="D118" i="91" s="1"/>
  <c r="D117" i="91" a="1"/>
  <c r="D117" i="91" s="1"/>
  <c r="F115" i="91" a="1"/>
  <c r="F115" i="91" s="1"/>
  <c r="E115" i="91" a="1"/>
  <c r="E115" i="91" s="1"/>
  <c r="I14" i="89" s="1"/>
  <c r="D115" i="91" a="1"/>
  <c r="D115" i="91" s="1"/>
  <c r="D114" i="91" a="1"/>
  <c r="D114" i="91" s="1"/>
  <c r="D113" i="91" a="1"/>
  <c r="D113" i="91" s="1"/>
  <c r="D112" i="91" a="1"/>
  <c r="D112" i="91" s="1"/>
  <c r="E110" i="91" a="1"/>
  <c r="E110" i="91" s="1"/>
  <c r="I15" i="90" s="1"/>
  <c r="D110" i="91" a="1"/>
  <c r="D110" i="91" s="1"/>
  <c r="D109" i="91" a="1"/>
  <c r="D109" i="91" s="1"/>
  <c r="D108" i="91" a="1"/>
  <c r="D108" i="91" s="1"/>
  <c r="F105" i="91" a="1"/>
  <c r="F105" i="91" s="1"/>
  <c r="E105" i="91" a="1"/>
  <c r="E105" i="91" s="1"/>
  <c r="D105" i="91" a="1"/>
  <c r="D105" i="91" s="1"/>
  <c r="F104" i="91" a="1"/>
  <c r="F104" i="91" s="1"/>
  <c r="E104" i="91" a="1"/>
  <c r="E104" i="91" s="1"/>
  <c r="D104" i="91" a="1"/>
  <c r="D104" i="91" s="1"/>
  <c r="F103" i="91" a="1"/>
  <c r="F103" i="91" s="1"/>
  <c r="E103" i="91" a="1"/>
  <c r="E103" i="91" s="1"/>
  <c r="D103" i="91" a="1"/>
  <c r="D103" i="91" s="1"/>
  <c r="F102" i="91" a="1"/>
  <c r="F102" i="91" s="1"/>
  <c r="E102" i="91" a="1"/>
  <c r="E102" i="91" s="1"/>
  <c r="D102" i="91" a="1"/>
  <c r="D102" i="91" s="1"/>
  <c r="F101" i="91" a="1"/>
  <c r="F101" i="91" s="1"/>
  <c r="E101" i="91" a="1"/>
  <c r="E101" i="91" s="1"/>
  <c r="D101" i="91" a="1"/>
  <c r="D101" i="91" s="1"/>
  <c r="F100" i="91" a="1"/>
  <c r="F100" i="91" s="1"/>
  <c r="E100" i="91" a="1"/>
  <c r="E100" i="91" s="1"/>
  <c r="D100" i="91" a="1"/>
  <c r="D100" i="91" s="1"/>
  <c r="F99" i="91" a="1"/>
  <c r="F99" i="91" s="1"/>
  <c r="E99" i="91" a="1"/>
  <c r="E99" i="91" s="1"/>
  <c r="D99" i="91" a="1"/>
  <c r="D99" i="91" s="1"/>
  <c r="F98" i="91" a="1"/>
  <c r="F98" i="91" s="1"/>
  <c r="E98" i="91" a="1"/>
  <c r="E98" i="91" s="1"/>
  <c r="D98" i="91" a="1"/>
  <c r="D98" i="91" s="1"/>
  <c r="D96" i="91" a="1"/>
  <c r="D96" i="91" s="1"/>
  <c r="D95" i="91" a="1"/>
  <c r="D95" i="91" s="1"/>
  <c r="D94" i="91" a="1"/>
  <c r="D94" i="91" s="1"/>
  <c r="F91" i="91" a="1"/>
  <c r="F91" i="91" s="1"/>
  <c r="E91" i="91" a="1"/>
  <c r="E91" i="91" s="1"/>
  <c r="D91" i="91" a="1"/>
  <c r="D91" i="91" s="1"/>
  <c r="F90" i="91" a="1"/>
  <c r="F90" i="91" s="1"/>
  <c r="E90" i="91" a="1"/>
  <c r="E90" i="91" s="1"/>
  <c r="D90" i="91" a="1"/>
  <c r="D90" i="91" s="1"/>
  <c r="F89" i="91" a="1"/>
  <c r="F89" i="91" s="1"/>
  <c r="E89" i="91" a="1"/>
  <c r="E89" i="91" s="1"/>
  <c r="D89" i="91" a="1"/>
  <c r="D89" i="91" s="1"/>
  <c r="F88" i="91" a="1"/>
  <c r="F88" i="91" s="1"/>
  <c r="E88" i="91" a="1"/>
  <c r="E88" i="91" s="1"/>
  <c r="D88" i="91" a="1"/>
  <c r="D88" i="91" s="1"/>
  <c r="F87" i="91" a="1"/>
  <c r="F87" i="91" s="1"/>
  <c r="E87" i="91" a="1"/>
  <c r="E87" i="91" s="1"/>
  <c r="D87" i="91" a="1"/>
  <c r="D87" i="91" s="1"/>
  <c r="F86" i="91" a="1"/>
  <c r="F86" i="91" s="1"/>
  <c r="E86" i="91" a="1"/>
  <c r="E86" i="91" s="1"/>
  <c r="D86" i="91" a="1"/>
  <c r="D86" i="91" s="1"/>
  <c r="F85" i="91" a="1"/>
  <c r="F85" i="91" s="1"/>
  <c r="E85" i="91" a="1"/>
  <c r="E85" i="91" s="1"/>
  <c r="D85" i="91" a="1"/>
  <c r="D85" i="91" s="1"/>
  <c r="D83" i="91" a="1"/>
  <c r="D83" i="91" s="1"/>
  <c r="D82" i="91" a="1"/>
  <c r="D82" i="91" s="1"/>
  <c r="D81" i="91" a="1"/>
  <c r="D81" i="91" s="1"/>
  <c r="F78" i="91" a="1"/>
  <c r="F78" i="91" s="1"/>
  <c r="E78" i="91" a="1"/>
  <c r="E78" i="91" s="1"/>
  <c r="D78" i="91" a="1"/>
  <c r="D78" i="91" s="1"/>
  <c r="F77" i="91" a="1"/>
  <c r="F77" i="91" s="1"/>
  <c r="E77" i="91" a="1"/>
  <c r="E77" i="91" s="1"/>
  <c r="D77" i="91" a="1"/>
  <c r="D77" i="91" s="1"/>
  <c r="F76" i="91" a="1"/>
  <c r="F76" i="91" s="1"/>
  <c r="E76" i="91" a="1"/>
  <c r="E76" i="91" s="1"/>
  <c r="D76" i="91" a="1"/>
  <c r="D76" i="91" s="1"/>
  <c r="D74" i="91" a="1"/>
  <c r="D74" i="91" s="1"/>
  <c r="D73" i="91" a="1"/>
  <c r="D73" i="91" s="1"/>
  <c r="D72" i="91" a="1"/>
  <c r="D72" i="91" s="1"/>
  <c r="N68" i="91" a="1"/>
  <c r="N68" i="91" s="1"/>
  <c r="M68" i="91" a="1"/>
  <c r="M68" i="91" s="1"/>
  <c r="L68" i="91" a="1"/>
  <c r="L68" i="91" s="1"/>
  <c r="K68" i="91" a="1"/>
  <c r="K68" i="91" s="1"/>
  <c r="J68" i="91" a="1"/>
  <c r="J68" i="91" s="1"/>
  <c r="I68" i="91" a="1"/>
  <c r="I68" i="91" s="1"/>
  <c r="H68" i="91" a="1"/>
  <c r="H68" i="91" s="1"/>
  <c r="G68" i="91" a="1"/>
  <c r="G68" i="91" s="1"/>
  <c r="F68" i="91" a="1"/>
  <c r="F68" i="91" s="1"/>
  <c r="E68" i="91" a="1"/>
  <c r="E68" i="91" s="1"/>
  <c r="D68" i="91" a="1"/>
  <c r="D68" i="91" s="1"/>
  <c r="N67" i="91" a="1"/>
  <c r="N67" i="91" s="1"/>
  <c r="M67" i="91" a="1"/>
  <c r="M67" i="91" s="1"/>
  <c r="L67" i="91" a="1"/>
  <c r="L67" i="91" s="1"/>
  <c r="K67" i="91" a="1"/>
  <c r="K67" i="91" s="1"/>
  <c r="J67" i="91" a="1"/>
  <c r="J67" i="91" s="1"/>
  <c r="I67" i="91" a="1"/>
  <c r="I67" i="91" s="1"/>
  <c r="H67" i="91" a="1"/>
  <c r="H67" i="91" s="1"/>
  <c r="G67" i="91" a="1"/>
  <c r="G67" i="91" s="1"/>
  <c r="F67" i="91" a="1"/>
  <c r="F67" i="91" s="1"/>
  <c r="E67" i="91" a="1"/>
  <c r="E67" i="91" s="1"/>
  <c r="D67" i="91" a="1"/>
  <c r="D67" i="91" s="1"/>
  <c r="N66" i="91" a="1"/>
  <c r="N66" i="91" s="1"/>
  <c r="M66" i="91" a="1"/>
  <c r="M66" i="91" s="1"/>
  <c r="L66" i="91" a="1"/>
  <c r="L66" i="91" s="1"/>
  <c r="K66" i="91" a="1"/>
  <c r="K66" i="91" s="1"/>
  <c r="J66" i="91" a="1"/>
  <c r="J66" i="91" s="1"/>
  <c r="I66" i="91" a="1"/>
  <c r="I66" i="91" s="1"/>
  <c r="H66" i="91" a="1"/>
  <c r="H66" i="91" s="1"/>
  <c r="G66" i="91" a="1"/>
  <c r="G66" i="91" s="1"/>
  <c r="F66" i="91" a="1"/>
  <c r="F66" i="91" s="1"/>
  <c r="E66" i="91" a="1"/>
  <c r="E66" i="91" s="1"/>
  <c r="D66" i="91" a="1"/>
  <c r="D66" i="91" s="1"/>
  <c r="N65" i="91" a="1"/>
  <c r="N65" i="91" s="1"/>
  <c r="M65" i="91" a="1"/>
  <c r="M65" i="91" s="1"/>
  <c r="L65" i="91" a="1"/>
  <c r="L65" i="91" s="1"/>
  <c r="K65" i="91" a="1"/>
  <c r="K65" i="91" s="1"/>
  <c r="J65" i="91" a="1"/>
  <c r="J65" i="91" s="1"/>
  <c r="I65" i="91" a="1"/>
  <c r="I65" i="91" s="1"/>
  <c r="H65" i="91" a="1"/>
  <c r="H65" i="91" s="1"/>
  <c r="G65" i="91" a="1"/>
  <c r="G65" i="91" s="1"/>
  <c r="F65" i="91" a="1"/>
  <c r="F65" i="91" s="1"/>
  <c r="E65" i="91" a="1"/>
  <c r="E65" i="91" s="1"/>
  <c r="D65" i="91" a="1"/>
  <c r="D65" i="91" s="1"/>
  <c r="N64" i="91" a="1"/>
  <c r="N64" i="91" s="1"/>
  <c r="M64" i="91" a="1"/>
  <c r="M64" i="91" s="1"/>
  <c r="L64" i="91" a="1"/>
  <c r="L64" i="91" s="1"/>
  <c r="K64" i="91" a="1"/>
  <c r="K64" i="91" s="1"/>
  <c r="J64" i="91" a="1"/>
  <c r="J64" i="91" s="1"/>
  <c r="I64" i="91" a="1"/>
  <c r="I64" i="91" s="1"/>
  <c r="H64" i="91" a="1"/>
  <c r="H64" i="91" s="1"/>
  <c r="G64" i="91" a="1"/>
  <c r="G64" i="91" s="1"/>
  <c r="F64" i="91" a="1"/>
  <c r="F64" i="91" s="1"/>
  <c r="E64" i="91" a="1"/>
  <c r="E64" i="91" s="1"/>
  <c r="D64" i="91" a="1"/>
  <c r="D64" i="91" s="1"/>
  <c r="N63" i="91" a="1"/>
  <c r="N63" i="91" s="1"/>
  <c r="M63" i="91" a="1"/>
  <c r="M63" i="91" s="1"/>
  <c r="L63" i="91" a="1"/>
  <c r="L63" i="91" s="1"/>
  <c r="K63" i="91" a="1"/>
  <c r="K63" i="91" s="1"/>
  <c r="J63" i="91" a="1"/>
  <c r="J63" i="91" s="1"/>
  <c r="I63" i="91" a="1"/>
  <c r="I63" i="91" s="1"/>
  <c r="H63" i="91" a="1"/>
  <c r="H63" i="91" s="1"/>
  <c r="G63" i="91" a="1"/>
  <c r="G63" i="91" s="1"/>
  <c r="F63" i="91" a="1"/>
  <c r="F63" i="91" s="1"/>
  <c r="E63" i="91" a="1"/>
  <c r="E63" i="91" s="1"/>
  <c r="D63" i="91" a="1"/>
  <c r="D63" i="91" s="1"/>
  <c r="N62" i="91" a="1"/>
  <c r="N62" i="91" s="1"/>
  <c r="M62" i="91" a="1"/>
  <c r="M62" i="91" s="1"/>
  <c r="L62" i="91" a="1"/>
  <c r="L62" i="91" s="1"/>
  <c r="K62" i="91" a="1"/>
  <c r="K62" i="91" s="1"/>
  <c r="J62" i="91" a="1"/>
  <c r="J62" i="91" s="1"/>
  <c r="I62" i="91" a="1"/>
  <c r="I62" i="91" s="1"/>
  <c r="H62" i="91" a="1"/>
  <c r="H62" i="91" s="1"/>
  <c r="G62" i="91" a="1"/>
  <c r="G62" i="91" s="1"/>
  <c r="F62" i="91" a="1"/>
  <c r="F62" i="91" s="1"/>
  <c r="E62" i="91" a="1"/>
  <c r="E62" i="91" s="1"/>
  <c r="D62" i="91" a="1"/>
  <c r="D62" i="91" s="1"/>
  <c r="N61" i="91" a="1"/>
  <c r="N61" i="91" s="1"/>
  <c r="M61" i="91" a="1"/>
  <c r="M61" i="91" s="1"/>
  <c r="L61" i="91" a="1"/>
  <c r="L61" i="91" s="1"/>
  <c r="K61" i="91" a="1"/>
  <c r="K61" i="91" s="1"/>
  <c r="J61" i="91" a="1"/>
  <c r="J61" i="91" s="1"/>
  <c r="I61" i="91" a="1"/>
  <c r="I61" i="91" s="1"/>
  <c r="H61" i="91" a="1"/>
  <c r="H61" i="91" s="1"/>
  <c r="G61" i="91" a="1"/>
  <c r="G61" i="91" s="1"/>
  <c r="F61" i="91" a="1"/>
  <c r="F61" i="91" s="1"/>
  <c r="E61" i="91" a="1"/>
  <c r="E61" i="91" s="1"/>
  <c r="D61" i="91" a="1"/>
  <c r="D61" i="91" s="1"/>
  <c r="N60" i="91" a="1"/>
  <c r="N60" i="91" s="1"/>
  <c r="M60" i="91" a="1"/>
  <c r="M60" i="91" s="1"/>
  <c r="L60" i="91" a="1"/>
  <c r="L60" i="91" s="1"/>
  <c r="K60" i="91" a="1"/>
  <c r="K60" i="91" s="1"/>
  <c r="J60" i="91" a="1"/>
  <c r="J60" i="91" s="1"/>
  <c r="I60" i="91" a="1"/>
  <c r="I60" i="91" s="1"/>
  <c r="H60" i="91" a="1"/>
  <c r="H60" i="91" s="1"/>
  <c r="G60" i="91" a="1"/>
  <c r="G60" i="91" s="1"/>
  <c r="F60" i="91" a="1"/>
  <c r="F60" i="91" s="1"/>
  <c r="E60" i="91" a="1"/>
  <c r="E60" i="91" s="1"/>
  <c r="D60" i="91" a="1"/>
  <c r="D60" i="91" s="1"/>
  <c r="D53" i="91" a="1"/>
  <c r="D53" i="91" s="1"/>
  <c r="D52" i="91" a="1"/>
  <c r="D52" i="91" s="1"/>
  <c r="D51" i="91" a="1"/>
  <c r="D51" i="91" s="1"/>
  <c r="D47" i="91" a="1"/>
  <c r="D47" i="91" s="1"/>
  <c r="D46" i="91" a="1"/>
  <c r="D46" i="91" s="1"/>
  <c r="D45" i="91" a="1"/>
  <c r="D45" i="91" s="1"/>
  <c r="E21" i="91" a="1"/>
  <c r="E21" i="91" s="1"/>
  <c r="D21" i="91" a="1"/>
  <c r="D21" i="91" s="1"/>
  <c r="E20" i="91" a="1"/>
  <c r="E20" i="91" s="1"/>
  <c r="D20" i="91" a="1"/>
  <c r="D20" i="91" s="1"/>
  <c r="D18" i="91" a="1"/>
  <c r="D18" i="91" s="1"/>
  <c r="D17" i="91" a="1"/>
  <c r="D17" i="91" s="1"/>
  <c r="H13" i="91" a="1"/>
  <c r="H13" i="91" s="1"/>
  <c r="G13" i="91" a="1"/>
  <c r="G13" i="91" s="1"/>
  <c r="F13" i="91" a="1"/>
  <c r="F13" i="91" s="1"/>
  <c r="E13" i="91" a="1"/>
  <c r="E13" i="91" s="1"/>
  <c r="D13" i="91" a="1"/>
  <c r="D13" i="91" s="1"/>
  <c r="H12" i="91" a="1"/>
  <c r="H12" i="91" s="1"/>
  <c r="G12" i="91" a="1"/>
  <c r="G12" i="91" s="1"/>
  <c r="F12" i="91" a="1"/>
  <c r="F12" i="91" s="1"/>
  <c r="E12" i="91" a="1"/>
  <c r="E12" i="91" s="1"/>
  <c r="D12" i="91" a="1"/>
  <c r="D12" i="91" s="1"/>
  <c r="H11" i="91" a="1"/>
  <c r="H11" i="91" s="1"/>
  <c r="G11" i="91" a="1"/>
  <c r="G11" i="91" s="1"/>
  <c r="F11" i="91" a="1"/>
  <c r="F11" i="91" s="1"/>
  <c r="E11" i="91" a="1"/>
  <c r="E11" i="91" s="1"/>
  <c r="D11" i="91" a="1"/>
  <c r="D11" i="91" s="1"/>
  <c r="H10" i="91" a="1"/>
  <c r="H10" i="91" s="1"/>
  <c r="G10" i="91" a="1"/>
  <c r="G10" i="91" s="1"/>
  <c r="F10" i="91" a="1"/>
  <c r="F10" i="91" s="1"/>
  <c r="E10" i="91" a="1"/>
  <c r="E10" i="91" s="1"/>
  <c r="D10" i="91" a="1"/>
  <c r="D10" i="91" s="1"/>
  <c r="H9" i="91" a="1"/>
  <c r="H9" i="91" s="1"/>
  <c r="G9" i="91" a="1"/>
  <c r="G9" i="91" s="1"/>
  <c r="F9" i="91" a="1"/>
  <c r="F9" i="91" s="1"/>
  <c r="E9" i="91" a="1"/>
  <c r="E9" i="91" s="1"/>
  <c r="D9" i="91" a="1"/>
  <c r="D9" i="91" s="1"/>
  <c r="D6" i="91" a="1"/>
  <c r="D6" i="91" s="1"/>
  <c r="D5" i="91" a="1"/>
  <c r="D5" i="91" s="1"/>
  <c r="P52" i="90" a="1"/>
  <c r="P52" i="90" s="1"/>
  <c r="F52" i="90" a="1"/>
  <c r="F52" i="90" s="1"/>
  <c r="N49" i="90" a="1"/>
  <c r="N49" i="90" s="1"/>
  <c r="D49" i="90" a="1"/>
  <c r="D49" i="90" s="1"/>
  <c r="R43" i="90" a="1"/>
  <c r="R43" i="90" s="1"/>
  <c r="N43" i="90" a="1"/>
  <c r="N43" i="90" s="1"/>
  <c r="H43" i="90" a="1"/>
  <c r="H43" i="90" s="1"/>
  <c r="D43" i="90" a="1"/>
  <c r="D43" i="90" s="1"/>
  <c r="E41" i="90" a="1"/>
  <c r="E41" i="90" s="1"/>
  <c r="E40" i="90" a="1"/>
  <c r="E40" i="90" s="1"/>
  <c r="D36" i="90" a="1"/>
  <c r="D36" i="90" s="1"/>
  <c r="D35" i="90" a="1"/>
  <c r="D35" i="90" s="1"/>
  <c r="N28" i="90"/>
  <c r="D28" i="90"/>
  <c r="N23" i="90"/>
  <c r="D23" i="90"/>
  <c r="I18" i="90"/>
  <c r="I17" i="90"/>
  <c r="I16" i="90"/>
  <c r="I13" i="90" a="1"/>
  <c r="I13" i="90" s="1"/>
  <c r="G13" i="90" a="1"/>
  <c r="G13" i="90" s="1"/>
  <c r="S23" i="90" s="1"/>
  <c r="D13" i="90" a="1"/>
  <c r="D13" i="90" s="1"/>
  <c r="E11" i="90" a="1"/>
  <c r="E11" i="90" s="1"/>
  <c r="E10" i="90" a="1"/>
  <c r="E10" i="90" s="1"/>
  <c r="D6" i="90" a="1"/>
  <c r="D6" i="90" s="1"/>
  <c r="D5" i="90" a="1"/>
  <c r="D5" i="90" s="1"/>
  <c r="O50" i="89" a="1"/>
  <c r="O50" i="89" s="1"/>
  <c r="F50" i="89" a="1"/>
  <c r="F50" i="89" s="1"/>
  <c r="M47" i="89" a="1"/>
  <c r="M47" i="89" s="1"/>
  <c r="D47" i="89" a="1"/>
  <c r="D47" i="89" s="1"/>
  <c r="I43" i="89"/>
  <c r="I42" i="89"/>
  <c r="I41" i="89"/>
  <c r="P38" i="89" a="1"/>
  <c r="P38" i="89" s="1"/>
  <c r="M38" i="89" a="1"/>
  <c r="M38" i="89" s="1"/>
  <c r="G38" i="89" a="1"/>
  <c r="G38" i="89" s="1"/>
  <c r="D38" i="89" a="1"/>
  <c r="D38" i="89" s="1"/>
  <c r="E36" i="89" a="1"/>
  <c r="E36" i="89" s="1"/>
  <c r="O45" i="89" s="1"/>
  <c r="E35" i="89" a="1"/>
  <c r="E35" i="89" s="1"/>
  <c r="D31" i="89" a="1"/>
  <c r="D31" i="89" s="1"/>
  <c r="D30" i="89" a="1"/>
  <c r="D30" i="89" s="1"/>
  <c r="M24" i="89"/>
  <c r="D24" i="89"/>
  <c r="M19" i="89"/>
  <c r="D19" i="89"/>
  <c r="I13" i="89" a="1"/>
  <c r="I13" i="89" s="1"/>
  <c r="G13" i="89" a="1"/>
  <c r="G13" i="89" s="1"/>
  <c r="D13" i="89" a="1"/>
  <c r="D13" i="89" s="1"/>
  <c r="E11" i="89" a="1"/>
  <c r="E11" i="89" s="1"/>
  <c r="E10" i="89" a="1"/>
  <c r="E10" i="89" s="1"/>
  <c r="D6" i="89" a="1"/>
  <c r="D6" i="89" s="1"/>
  <c r="D5" i="89" a="1"/>
  <c r="D5" i="89" s="1"/>
  <c r="P32" i="88" a="1"/>
  <c r="P32" i="88" s="1"/>
  <c r="F32" i="88" a="1"/>
  <c r="F32" i="88" s="1"/>
  <c r="N29" i="88" a="1"/>
  <c r="N29" i="88" s="1"/>
  <c r="D29" i="88" a="1"/>
  <c r="D29" i="88" s="1"/>
  <c r="N25" i="88"/>
  <c r="D25" i="88"/>
  <c r="N20" i="88"/>
  <c r="D20" i="88"/>
  <c r="I14" i="88" s="1"/>
  <c r="I13" i="88" a="1"/>
  <c r="I13" i="88" s="1"/>
  <c r="G13" i="88" a="1"/>
  <c r="G13" i="88" s="1"/>
  <c r="D13" i="88" a="1"/>
  <c r="D13" i="88" s="1"/>
  <c r="E11" i="88" a="1"/>
  <c r="E11" i="88" s="1"/>
  <c r="E10" i="88" a="1"/>
  <c r="E10" i="88" s="1"/>
  <c r="D6" i="88" a="1"/>
  <c r="D6" i="88" s="1"/>
  <c r="D5" i="88" a="1"/>
  <c r="D5" i="88" s="1"/>
  <c r="O203" i="87"/>
  <c r="E203" i="87"/>
  <c r="O202" i="87"/>
  <c r="E202" i="87"/>
  <c r="O201" i="87"/>
  <c r="E201" i="87"/>
  <c r="O200" i="87"/>
  <c r="E200" i="87"/>
  <c r="O199" i="87"/>
  <c r="N199" i="87"/>
  <c r="E199" i="87"/>
  <c r="D199" i="87"/>
  <c r="O198" i="87"/>
  <c r="E198" i="87"/>
  <c r="O197" i="87"/>
  <c r="E197" i="87"/>
  <c r="O196" i="87"/>
  <c r="E196" i="87"/>
  <c r="O195" i="87"/>
  <c r="E195" i="87"/>
  <c r="O194" i="87"/>
  <c r="N194" i="87"/>
  <c r="E194" i="87"/>
  <c r="D194" i="87"/>
  <c r="O193" i="87"/>
  <c r="E193" i="87"/>
  <c r="O192" i="87"/>
  <c r="E192" i="87"/>
  <c r="O191" i="87"/>
  <c r="E191" i="87"/>
  <c r="O190" i="87"/>
  <c r="E190" i="87"/>
  <c r="O189" i="87"/>
  <c r="N189" i="87"/>
  <c r="E189" i="87"/>
  <c r="D189" i="87"/>
  <c r="F184" i="87"/>
  <c r="E184" i="87"/>
  <c r="F183" i="87"/>
  <c r="E183" i="87"/>
  <c r="F182" i="87"/>
  <c r="E182" i="87"/>
  <c r="F181" i="87"/>
  <c r="E181" i="87"/>
  <c r="F180" i="87"/>
  <c r="E180" i="87"/>
  <c r="D180" i="87"/>
  <c r="F179" i="87"/>
  <c r="E179" i="87"/>
  <c r="F178" i="87"/>
  <c r="E178" i="87"/>
  <c r="F177" i="87"/>
  <c r="E177" i="87"/>
  <c r="F176" i="87"/>
  <c r="E176" i="87"/>
  <c r="F175" i="87"/>
  <c r="E175" i="87"/>
  <c r="D175" i="87"/>
  <c r="F174" i="87"/>
  <c r="E174" i="87"/>
  <c r="F173" i="87"/>
  <c r="E173" i="87"/>
  <c r="F172" i="87"/>
  <c r="E172" i="87"/>
  <c r="F171" i="87"/>
  <c r="E171" i="87"/>
  <c r="F170" i="87"/>
  <c r="E170" i="87"/>
  <c r="D170" i="87"/>
  <c r="D162" i="87"/>
  <c r="O156" i="87"/>
  <c r="E156" i="87"/>
  <c r="O155" i="87"/>
  <c r="E155" i="87"/>
  <c r="O154" i="87"/>
  <c r="E154" i="87"/>
  <c r="O153" i="87"/>
  <c r="E153" i="87"/>
  <c r="O152" i="87"/>
  <c r="N152" i="87"/>
  <c r="E152" i="87"/>
  <c r="D152" i="87"/>
  <c r="O151" i="87"/>
  <c r="E151" i="87"/>
  <c r="O150" i="87"/>
  <c r="E150" i="87"/>
  <c r="O149" i="87"/>
  <c r="E149" i="87"/>
  <c r="O148" i="87"/>
  <c r="E148" i="87"/>
  <c r="O147" i="87"/>
  <c r="N147" i="87"/>
  <c r="E147" i="87"/>
  <c r="D147" i="87"/>
  <c r="O146" i="87"/>
  <c r="E146" i="87"/>
  <c r="O145" i="87"/>
  <c r="E145" i="87"/>
  <c r="O144" i="87"/>
  <c r="E144" i="87"/>
  <c r="O143" i="87"/>
  <c r="E143" i="87"/>
  <c r="O142" i="87"/>
  <c r="N142" i="87"/>
  <c r="E142" i="87"/>
  <c r="D142" i="87"/>
  <c r="I137" i="87" a="1"/>
  <c r="I137" i="87" s="1"/>
  <c r="I136" i="87" a="1"/>
  <c r="I136" i="87" s="1"/>
  <c r="I135" i="87" a="1"/>
  <c r="I135" i="87" s="1"/>
  <c r="I134" i="87" a="1"/>
  <c r="I134" i="87" s="1"/>
  <c r="I133" i="87" a="1"/>
  <c r="I133" i="87" s="1"/>
  <c r="G133" i="87" a="1"/>
  <c r="D133" i="87" a="1"/>
  <c r="D133" i="87" s="1"/>
  <c r="E131" i="87" a="1"/>
  <c r="E131" i="87" s="1"/>
  <c r="E130" i="87" a="1"/>
  <c r="E130" i="87" s="1"/>
  <c r="D126" i="87" a="1"/>
  <c r="D126" i="87" s="1"/>
  <c r="D125" i="87" a="1"/>
  <c r="D125" i="87" s="1"/>
  <c r="O119" i="87"/>
  <c r="E119" i="87"/>
  <c r="O118" i="87"/>
  <c r="E118" i="87"/>
  <c r="O117" i="87"/>
  <c r="E117" i="87"/>
  <c r="O116" i="87"/>
  <c r="E116" i="87"/>
  <c r="O115" i="87"/>
  <c r="N115" i="87"/>
  <c r="E115" i="87"/>
  <c r="D115" i="87"/>
  <c r="O114" i="87"/>
  <c r="E114" i="87"/>
  <c r="O113" i="87"/>
  <c r="E113" i="87"/>
  <c r="O112" i="87"/>
  <c r="E112" i="87"/>
  <c r="O111" i="87"/>
  <c r="E111" i="87"/>
  <c r="O110" i="87"/>
  <c r="N110" i="87"/>
  <c r="E110" i="87"/>
  <c r="D110" i="87"/>
  <c r="O109" i="87"/>
  <c r="E109" i="87"/>
  <c r="O108" i="87"/>
  <c r="E108" i="87"/>
  <c r="O107" i="87"/>
  <c r="E107" i="87"/>
  <c r="O106" i="87"/>
  <c r="E106" i="87"/>
  <c r="O105" i="87"/>
  <c r="N105" i="87"/>
  <c r="E105" i="87"/>
  <c r="D105" i="87"/>
  <c r="F100" i="87"/>
  <c r="E100" i="87"/>
  <c r="F99" i="87"/>
  <c r="E99" i="87"/>
  <c r="F98" i="87"/>
  <c r="E98" i="87"/>
  <c r="F97" i="87"/>
  <c r="E97" i="87"/>
  <c r="F96" i="87"/>
  <c r="E96" i="87"/>
  <c r="D96" i="87"/>
  <c r="F95" i="87"/>
  <c r="E95" i="87"/>
  <c r="F94" i="87"/>
  <c r="E94" i="87"/>
  <c r="F93" i="87"/>
  <c r="E93" i="87"/>
  <c r="F92" i="87"/>
  <c r="E92" i="87"/>
  <c r="F91" i="87"/>
  <c r="E91" i="87"/>
  <c r="D91" i="87"/>
  <c r="F90" i="87"/>
  <c r="E90" i="87"/>
  <c r="F89" i="87"/>
  <c r="E89" i="87"/>
  <c r="F88" i="87"/>
  <c r="E88" i="87"/>
  <c r="F87" i="87"/>
  <c r="E87" i="87"/>
  <c r="F86" i="87"/>
  <c r="E86" i="87"/>
  <c r="D86" i="87"/>
  <c r="O81" i="87"/>
  <c r="E81" i="87"/>
  <c r="O80" i="87"/>
  <c r="E80" i="87"/>
  <c r="O79" i="87"/>
  <c r="E79" i="87"/>
  <c r="O78" i="87"/>
  <c r="E78" i="87"/>
  <c r="O77" i="87"/>
  <c r="N77" i="87"/>
  <c r="E77" i="87"/>
  <c r="D77" i="87"/>
  <c r="O76" i="87"/>
  <c r="E76" i="87"/>
  <c r="O75" i="87"/>
  <c r="E75" i="87"/>
  <c r="O74" i="87"/>
  <c r="E74" i="87"/>
  <c r="O73" i="87"/>
  <c r="E73" i="87"/>
  <c r="O72" i="87"/>
  <c r="N72" i="87"/>
  <c r="E72" i="87"/>
  <c r="D72" i="87"/>
  <c r="O71" i="87"/>
  <c r="E71" i="87"/>
  <c r="O70" i="87"/>
  <c r="E70" i="87"/>
  <c r="O69" i="87"/>
  <c r="E69" i="87"/>
  <c r="O68" i="87"/>
  <c r="E68" i="87"/>
  <c r="O67" i="87"/>
  <c r="N67" i="87"/>
  <c r="E67" i="87"/>
  <c r="D67" i="87"/>
  <c r="O36" i="87"/>
  <c r="E36" i="87"/>
  <c r="O35" i="87"/>
  <c r="E35" i="87"/>
  <c r="O34" i="87"/>
  <c r="E34" i="87"/>
  <c r="O33" i="87"/>
  <c r="E33" i="87"/>
  <c r="O32" i="87"/>
  <c r="N32" i="87"/>
  <c r="E32" i="87"/>
  <c r="D32" i="87"/>
  <c r="O31" i="87"/>
  <c r="E31" i="87"/>
  <c r="O30" i="87"/>
  <c r="E30" i="87"/>
  <c r="O29" i="87"/>
  <c r="E29" i="87"/>
  <c r="O28" i="87"/>
  <c r="E28" i="87"/>
  <c r="O27" i="87"/>
  <c r="N27" i="87"/>
  <c r="E27" i="87"/>
  <c r="D27" i="87"/>
  <c r="O26" i="87"/>
  <c r="E26" i="87"/>
  <c r="O25" i="87"/>
  <c r="E25" i="87"/>
  <c r="O24" i="87"/>
  <c r="E24" i="87"/>
  <c r="O23" i="87"/>
  <c r="E23" i="87"/>
  <c r="O22" i="87"/>
  <c r="N22" i="87"/>
  <c r="E22" i="87"/>
  <c r="D22" i="87"/>
  <c r="I17" i="87" a="1"/>
  <c r="I17" i="87" s="1"/>
  <c r="I16" i="87" a="1"/>
  <c r="I16" i="87" s="1"/>
  <c r="I15" i="87" a="1"/>
  <c r="I15" i="87" s="1"/>
  <c r="I14" i="87" a="1"/>
  <c r="I14" i="87" s="1"/>
  <c r="I13" i="87" a="1"/>
  <c r="I13" i="87" s="1"/>
  <c r="G13" i="87" a="1"/>
  <c r="F41" i="87" s="1"/>
  <c r="D13" i="87" a="1"/>
  <c r="D13" i="87" s="1"/>
  <c r="E11" i="87" a="1"/>
  <c r="E11" i="87" s="1"/>
  <c r="E10" i="87" a="1"/>
  <c r="E10" i="87" s="1"/>
  <c r="D6" i="87" a="1"/>
  <c r="D6" i="87" s="1"/>
  <c r="D5" i="87" a="1"/>
  <c r="D5" i="87" s="1"/>
  <c r="P64" i="86" a="1"/>
  <c r="P64" i="86" s="1"/>
  <c r="F64" i="86" a="1"/>
  <c r="F64" i="86" s="1"/>
  <c r="N61" i="86" a="1"/>
  <c r="N61" i="86" s="1"/>
  <c r="D61" i="86" a="1"/>
  <c r="D61" i="86" s="1"/>
  <c r="O57" i="86"/>
  <c r="N57" i="86"/>
  <c r="E57" i="86"/>
  <c r="D57" i="86"/>
  <c r="O56" i="86"/>
  <c r="N56" i="86"/>
  <c r="E56" i="86"/>
  <c r="D56" i="86"/>
  <c r="O55" i="86"/>
  <c r="N55" i="86"/>
  <c r="E55" i="86"/>
  <c r="D55" i="86"/>
  <c r="I48" i="86" a="1"/>
  <c r="I48" i="86" s="1"/>
  <c r="G48" i="86" a="1"/>
  <c r="G48" i="86" s="1"/>
  <c r="D48" i="86" a="1"/>
  <c r="D48" i="86" s="1"/>
  <c r="E46" i="86" a="1"/>
  <c r="E46" i="86" s="1"/>
  <c r="E45" i="86" a="1"/>
  <c r="E45" i="86" s="1"/>
  <c r="D41" i="86" a="1"/>
  <c r="D41" i="86" s="1"/>
  <c r="D40" i="86" a="1"/>
  <c r="D40" i="86" s="1"/>
  <c r="O36" i="86"/>
  <c r="N36" i="86"/>
  <c r="E36" i="86"/>
  <c r="D36" i="86"/>
  <c r="O35" i="86"/>
  <c r="N35" i="86"/>
  <c r="E35" i="86"/>
  <c r="D35" i="86"/>
  <c r="O34" i="86"/>
  <c r="N34" i="86"/>
  <c r="E34" i="86"/>
  <c r="D34" i="86"/>
  <c r="O29" i="86"/>
  <c r="N29" i="86"/>
  <c r="E29" i="86"/>
  <c r="D29" i="86"/>
  <c r="O28" i="86"/>
  <c r="N28" i="86"/>
  <c r="E28" i="86"/>
  <c r="D28" i="86"/>
  <c r="O27" i="86"/>
  <c r="N27" i="86"/>
  <c r="E27" i="86"/>
  <c r="D27" i="86"/>
  <c r="I18" i="86"/>
  <c r="I14" i="86" s="1"/>
  <c r="I17" i="86"/>
  <c r="I16" i="86"/>
  <c r="I13" i="86" a="1"/>
  <c r="I13" i="86" s="1"/>
  <c r="G13" i="86" a="1"/>
  <c r="G13" i="86" s="1"/>
  <c r="D13" i="86" a="1"/>
  <c r="D13" i="86" s="1"/>
  <c r="E11" i="86" a="1"/>
  <c r="E11" i="86" s="1"/>
  <c r="T34" i="86" s="1"/>
  <c r="E10" i="86" a="1"/>
  <c r="E10" i="86" s="1"/>
  <c r="D6" i="86" a="1"/>
  <c r="D6" i="86" s="1"/>
  <c r="D5" i="86" a="1"/>
  <c r="D5" i="86" s="1"/>
  <c r="P101" i="85" a="1"/>
  <c r="P101" i="85" s="1"/>
  <c r="F101" i="85" a="1"/>
  <c r="F101" i="85" s="1"/>
  <c r="N98" i="85" a="1"/>
  <c r="N98" i="85" s="1"/>
  <c r="D98" i="85" a="1"/>
  <c r="D98" i="85" s="1"/>
  <c r="I94" i="85"/>
  <c r="I93" i="85"/>
  <c r="I92" i="85"/>
  <c r="Q89" i="85" a="1"/>
  <c r="Q89" i="85" s="1"/>
  <c r="N89" i="85" a="1"/>
  <c r="N89" i="85" s="1"/>
  <c r="G89" i="85" a="1"/>
  <c r="G89" i="85" s="1"/>
  <c r="D89" i="85" a="1"/>
  <c r="D89" i="85" s="1"/>
  <c r="E87" i="85" a="1"/>
  <c r="E87" i="85" s="1"/>
  <c r="E86" i="85" a="1"/>
  <c r="E86" i="85" s="1"/>
  <c r="D82" i="85" a="1"/>
  <c r="D82" i="85" s="1"/>
  <c r="D81" i="85" a="1"/>
  <c r="D81" i="85" s="1"/>
  <c r="O75" i="85"/>
  <c r="E75" i="85"/>
  <c r="O74" i="85"/>
  <c r="E74" i="85"/>
  <c r="O73" i="85"/>
  <c r="E73" i="85"/>
  <c r="O72" i="85"/>
  <c r="E72" i="85"/>
  <c r="O71" i="85"/>
  <c r="N71" i="85"/>
  <c r="E71" i="85"/>
  <c r="D71" i="85"/>
  <c r="O70" i="85"/>
  <c r="E70" i="85"/>
  <c r="O69" i="85"/>
  <c r="E69" i="85"/>
  <c r="O68" i="85"/>
  <c r="E68" i="85"/>
  <c r="O67" i="85"/>
  <c r="E67" i="85"/>
  <c r="O66" i="85"/>
  <c r="N66" i="85"/>
  <c r="E66" i="85"/>
  <c r="D66" i="85"/>
  <c r="O65" i="85"/>
  <c r="E65" i="85"/>
  <c r="O64" i="85"/>
  <c r="E64" i="85"/>
  <c r="O63" i="85"/>
  <c r="E63" i="85"/>
  <c r="O62" i="85"/>
  <c r="E62" i="85"/>
  <c r="O61" i="85"/>
  <c r="N61" i="85"/>
  <c r="E61" i="85"/>
  <c r="D61" i="85"/>
  <c r="N60" i="85"/>
  <c r="D60" i="85"/>
  <c r="N59" i="85"/>
  <c r="D59" i="85"/>
  <c r="N58" i="85"/>
  <c r="D58" i="85"/>
  <c r="N57" i="85"/>
  <c r="D57" i="85"/>
  <c r="O40" i="85"/>
  <c r="E40" i="85"/>
  <c r="O39" i="85"/>
  <c r="E39" i="85"/>
  <c r="O38" i="85"/>
  <c r="E38" i="85"/>
  <c r="O37" i="85"/>
  <c r="E37" i="85"/>
  <c r="O36" i="85"/>
  <c r="N36" i="85"/>
  <c r="E36" i="85"/>
  <c r="D36" i="85"/>
  <c r="O35" i="85"/>
  <c r="E35" i="85"/>
  <c r="O34" i="85"/>
  <c r="E34" i="85"/>
  <c r="O33" i="85"/>
  <c r="E33" i="85"/>
  <c r="O32" i="85"/>
  <c r="E32" i="85"/>
  <c r="O31" i="85"/>
  <c r="N31" i="85"/>
  <c r="E31" i="85"/>
  <c r="D31" i="85"/>
  <c r="O30" i="85"/>
  <c r="E30" i="85"/>
  <c r="O29" i="85"/>
  <c r="E29" i="85"/>
  <c r="O28" i="85"/>
  <c r="E28" i="85"/>
  <c r="O27" i="85"/>
  <c r="E27" i="85"/>
  <c r="O26" i="85"/>
  <c r="N26" i="85"/>
  <c r="E26" i="85"/>
  <c r="D26" i="85"/>
  <c r="N25" i="85"/>
  <c r="D25" i="85"/>
  <c r="N24" i="85"/>
  <c r="D24" i="85"/>
  <c r="N23" i="85"/>
  <c r="D23" i="85"/>
  <c r="N22" i="85"/>
  <c r="D22" i="85"/>
  <c r="I14" i="85" a="1"/>
  <c r="I14" i="85" s="1"/>
  <c r="I13" i="85" a="1"/>
  <c r="I13" i="85" s="1"/>
  <c r="G13" i="85" a="1"/>
  <c r="G13" i="85" s="1"/>
  <c r="D13" i="85" a="1"/>
  <c r="D13" i="85" s="1"/>
  <c r="E11" i="85" a="1"/>
  <c r="E11" i="85" s="1"/>
  <c r="P77" i="85" s="1"/>
  <c r="E10" i="85" a="1"/>
  <c r="E10" i="85" s="1"/>
  <c r="D6" i="85" a="1"/>
  <c r="D6" i="85" s="1"/>
  <c r="D5" i="85" a="1"/>
  <c r="D5" i="85" s="1"/>
  <c r="P250" i="84" a="1"/>
  <c r="P250" i="84" s="1"/>
  <c r="F250" i="84" a="1"/>
  <c r="F250" i="84" s="1"/>
  <c r="N247" i="84" a="1"/>
  <c r="N247" i="84" s="1"/>
  <c r="D247" i="84" a="1"/>
  <c r="D247" i="84" s="1"/>
  <c r="O243" i="84"/>
  <c r="E243" i="84"/>
  <c r="O242" i="84"/>
  <c r="E242" i="84"/>
  <c r="O241" i="84"/>
  <c r="E241" i="84"/>
  <c r="O240" i="84"/>
  <c r="E240" i="84"/>
  <c r="O239" i="84"/>
  <c r="N239" i="84"/>
  <c r="E239" i="84"/>
  <c r="D239" i="84"/>
  <c r="O238" i="84"/>
  <c r="E238" i="84"/>
  <c r="O237" i="84"/>
  <c r="E237" i="84"/>
  <c r="O236" i="84"/>
  <c r="E236" i="84"/>
  <c r="O235" i="84"/>
  <c r="E235" i="84"/>
  <c r="O234" i="84"/>
  <c r="N234" i="84"/>
  <c r="E234" i="84"/>
  <c r="D234" i="84"/>
  <c r="O233" i="84"/>
  <c r="E233" i="84"/>
  <c r="O232" i="84"/>
  <c r="E232" i="84"/>
  <c r="O231" i="84"/>
  <c r="E231" i="84"/>
  <c r="O230" i="84"/>
  <c r="E230" i="84"/>
  <c r="O229" i="84"/>
  <c r="N229" i="84"/>
  <c r="E229" i="84"/>
  <c r="D229" i="84"/>
  <c r="N228" i="84"/>
  <c r="D228" i="84"/>
  <c r="N227" i="84"/>
  <c r="D227" i="84"/>
  <c r="N226" i="84"/>
  <c r="D226" i="84"/>
  <c r="N225" i="84"/>
  <c r="D225" i="84"/>
  <c r="I216" i="84" a="1"/>
  <c r="I216" i="84" s="1"/>
  <c r="J215" i="84" a="1"/>
  <c r="J215" i="84" s="1"/>
  <c r="I215" i="84" a="1"/>
  <c r="I215" i="84" s="1"/>
  <c r="G215" i="84" a="1"/>
  <c r="G215" i="84" s="1"/>
  <c r="D215" i="84" a="1"/>
  <c r="D215" i="84" s="1"/>
  <c r="E213" i="84" a="1"/>
  <c r="E213" i="84" s="1"/>
  <c r="E212" i="84" a="1"/>
  <c r="E212" i="84" s="1"/>
  <c r="D208" i="84" a="1"/>
  <c r="D208" i="84" s="1"/>
  <c r="D207" i="84" a="1"/>
  <c r="D207" i="84" s="1"/>
  <c r="O203" i="84"/>
  <c r="E203" i="84"/>
  <c r="O202" i="84"/>
  <c r="E202" i="84"/>
  <c r="O201" i="84"/>
  <c r="E201" i="84"/>
  <c r="O200" i="84"/>
  <c r="E200" i="84"/>
  <c r="O199" i="84"/>
  <c r="N199" i="84"/>
  <c r="E199" i="84"/>
  <c r="D199" i="84"/>
  <c r="O198" i="84"/>
  <c r="E198" i="84"/>
  <c r="O197" i="84"/>
  <c r="E197" i="84"/>
  <c r="O196" i="84"/>
  <c r="E196" i="84"/>
  <c r="O195" i="84"/>
  <c r="E195" i="84"/>
  <c r="O194" i="84"/>
  <c r="N194" i="84"/>
  <c r="E194" i="84"/>
  <c r="D194" i="84"/>
  <c r="O193" i="84"/>
  <c r="E193" i="84"/>
  <c r="O192" i="84"/>
  <c r="E192" i="84"/>
  <c r="O191" i="84"/>
  <c r="E191" i="84"/>
  <c r="O190" i="84"/>
  <c r="E190" i="84"/>
  <c r="O189" i="84"/>
  <c r="N189" i="84"/>
  <c r="E189" i="84"/>
  <c r="D189" i="84"/>
  <c r="I184" i="84"/>
  <c r="H184" i="84"/>
  <c r="G184" i="84"/>
  <c r="F184" i="84"/>
  <c r="E184" i="84"/>
  <c r="I183" i="84"/>
  <c r="H183" i="84"/>
  <c r="G183" i="84"/>
  <c r="F183" i="84"/>
  <c r="E183" i="84"/>
  <c r="I182" i="84"/>
  <c r="H182" i="84"/>
  <c r="G182" i="84"/>
  <c r="F182" i="84"/>
  <c r="E182" i="84"/>
  <c r="I181" i="84"/>
  <c r="H181" i="84"/>
  <c r="G181" i="84"/>
  <c r="F181" i="84"/>
  <c r="E181" i="84"/>
  <c r="I180" i="84"/>
  <c r="H180" i="84"/>
  <c r="G180" i="84"/>
  <c r="F180" i="84"/>
  <c r="E180" i="84"/>
  <c r="D180" i="84"/>
  <c r="I179" i="84"/>
  <c r="H179" i="84"/>
  <c r="G179" i="84"/>
  <c r="F179" i="84"/>
  <c r="E179" i="84"/>
  <c r="I178" i="84"/>
  <c r="H178" i="84"/>
  <c r="G178" i="84"/>
  <c r="F178" i="84"/>
  <c r="E178" i="84"/>
  <c r="I177" i="84"/>
  <c r="H177" i="84"/>
  <c r="G177" i="84"/>
  <c r="F177" i="84"/>
  <c r="E177" i="84"/>
  <c r="I176" i="84"/>
  <c r="H176" i="84"/>
  <c r="G176" i="84"/>
  <c r="F176" i="84"/>
  <c r="E176" i="84"/>
  <c r="I175" i="84"/>
  <c r="H175" i="84"/>
  <c r="G175" i="84"/>
  <c r="F175" i="84"/>
  <c r="E175" i="84"/>
  <c r="D175" i="84"/>
  <c r="I174" i="84"/>
  <c r="H174" i="84"/>
  <c r="G174" i="84"/>
  <c r="F174" i="84"/>
  <c r="E174" i="84"/>
  <c r="I173" i="84"/>
  <c r="H173" i="84"/>
  <c r="G173" i="84"/>
  <c r="F173" i="84"/>
  <c r="E173" i="84"/>
  <c r="I172" i="84"/>
  <c r="H172" i="84"/>
  <c r="G172" i="84"/>
  <c r="F172" i="84"/>
  <c r="E172" i="84"/>
  <c r="I171" i="84"/>
  <c r="H171" i="84"/>
  <c r="G171" i="84"/>
  <c r="F171" i="84"/>
  <c r="E171" i="84"/>
  <c r="I170" i="84"/>
  <c r="H170" i="84"/>
  <c r="G170" i="84"/>
  <c r="F170" i="84"/>
  <c r="E170" i="84"/>
  <c r="D170" i="84"/>
  <c r="I165" i="84" a="1"/>
  <c r="I165" i="84" s="1"/>
  <c r="I164" i="84" a="1"/>
  <c r="I164" i="84" s="1"/>
  <c r="G164" i="84" a="1"/>
  <c r="G164" i="84" s="1"/>
  <c r="D164" i="84" a="1"/>
  <c r="D164" i="84" s="1"/>
  <c r="E162" i="84" a="1"/>
  <c r="E162" i="84" s="1"/>
  <c r="E161" i="84" a="1"/>
  <c r="E161" i="84" s="1"/>
  <c r="D157" i="84" a="1"/>
  <c r="D157" i="84" s="1"/>
  <c r="D156" i="84" a="1"/>
  <c r="D156" i="84" s="1"/>
  <c r="N152" i="84"/>
  <c r="D152" i="84"/>
  <c r="N151" i="84"/>
  <c r="D151" i="84"/>
  <c r="N150" i="84"/>
  <c r="D150" i="84"/>
  <c r="D133" i="84"/>
  <c r="E133" i="84" s="1" a="1"/>
  <c r="E133" i="84" s="1"/>
  <c r="D132" i="84"/>
  <c r="E132" i="84" s="1" a="1"/>
  <c r="E132" i="84" s="1"/>
  <c r="D131" i="84"/>
  <c r="E131" i="84" s="1" a="1"/>
  <c r="E131" i="84" s="1"/>
  <c r="D130" i="84"/>
  <c r="E130" i="84" s="1" a="1"/>
  <c r="E130" i="84" s="1"/>
  <c r="I125" i="84" a="1"/>
  <c r="I125" i="84" s="1"/>
  <c r="I124" i="84" a="1"/>
  <c r="I124" i="84" s="1"/>
  <c r="I123" i="84" a="1"/>
  <c r="I123" i="84" s="1"/>
  <c r="G123" i="84" a="1"/>
  <c r="G123" i="84" s="1"/>
  <c r="D123" i="84" a="1"/>
  <c r="D123" i="84" s="1"/>
  <c r="E121" i="84" a="1"/>
  <c r="E121" i="84" s="1"/>
  <c r="E120" i="84" a="1"/>
  <c r="E120" i="84" s="1"/>
  <c r="D116" i="84" a="1"/>
  <c r="D116" i="84" s="1"/>
  <c r="D115" i="84" a="1"/>
  <c r="D115" i="84" s="1"/>
  <c r="N111" i="84"/>
  <c r="D111" i="84"/>
  <c r="N110" i="84"/>
  <c r="D110" i="84"/>
  <c r="N109" i="84"/>
  <c r="D109" i="84"/>
  <c r="N108" i="84"/>
  <c r="D108" i="84"/>
  <c r="H103" i="84"/>
  <c r="G103" i="84"/>
  <c r="F103" i="84"/>
  <c r="E103" i="84"/>
  <c r="D103" i="84"/>
  <c r="H102" i="84"/>
  <c r="G102" i="84"/>
  <c r="F102" i="84"/>
  <c r="E102" i="84"/>
  <c r="D102" i="84"/>
  <c r="H101" i="84"/>
  <c r="G101" i="84"/>
  <c r="F101" i="84"/>
  <c r="E101" i="84"/>
  <c r="D101" i="84"/>
  <c r="H100" i="84"/>
  <c r="G100" i="84"/>
  <c r="F100" i="84"/>
  <c r="E100" i="84"/>
  <c r="D100" i="84"/>
  <c r="I95" i="84" a="1"/>
  <c r="I95" i="84" s="1"/>
  <c r="I94" i="84" a="1"/>
  <c r="I94" i="84" s="1"/>
  <c r="G94" i="84" a="1"/>
  <c r="G94" i="84" s="1"/>
  <c r="D94" i="84" a="1"/>
  <c r="D94" i="84" s="1"/>
  <c r="E92" i="84" a="1"/>
  <c r="E92" i="84" s="1"/>
  <c r="E91" i="84" a="1"/>
  <c r="E91" i="84" s="1"/>
  <c r="D87" i="84" a="1"/>
  <c r="D87" i="84" s="1"/>
  <c r="D86" i="84" a="1"/>
  <c r="D86" i="84" s="1"/>
  <c r="G77" i="84"/>
  <c r="F77" i="84"/>
  <c r="E77" i="84"/>
  <c r="D77" i="84"/>
  <c r="G72" i="84"/>
  <c r="F72" i="84"/>
  <c r="E72" i="84"/>
  <c r="D72" i="84"/>
  <c r="I67" i="84" a="1"/>
  <c r="I67" i="84" s="1"/>
  <c r="I66" i="84" a="1"/>
  <c r="I66" i="84" s="1"/>
  <c r="I65" i="84" a="1"/>
  <c r="I65" i="84" s="1"/>
  <c r="G65" i="84" a="1"/>
  <c r="G65" i="84" s="1"/>
  <c r="H72" i="84" s="1"/>
  <c r="D65" i="84" a="1"/>
  <c r="D65" i="84" s="1"/>
  <c r="E63" i="84" a="1"/>
  <c r="E63" i="84" s="1"/>
  <c r="E62" i="84" a="1"/>
  <c r="E62" i="84" s="1"/>
  <c r="D58" i="84" a="1"/>
  <c r="D58" i="84" s="1"/>
  <c r="D57" i="84" a="1"/>
  <c r="D57" i="84" s="1"/>
  <c r="I43" i="84" a="1"/>
  <c r="I43" i="84" s="1"/>
  <c r="I42" i="84" a="1"/>
  <c r="I42" i="84" s="1"/>
  <c r="G42" i="84" a="1"/>
  <c r="G42" i="84" s="1"/>
  <c r="D42" i="84" a="1"/>
  <c r="D42" i="84" s="1"/>
  <c r="E40" i="84" a="1"/>
  <c r="E40" i="84" s="1"/>
  <c r="E39" i="84" a="1"/>
  <c r="E39" i="84" s="1"/>
  <c r="D35" i="84" a="1"/>
  <c r="D35" i="84" s="1"/>
  <c r="D34" i="84" a="1"/>
  <c r="D34" i="84" s="1"/>
  <c r="Q25" i="84"/>
  <c r="P25" i="84"/>
  <c r="O25" i="84"/>
  <c r="N25" i="84"/>
  <c r="G25" i="84"/>
  <c r="F25" i="84"/>
  <c r="E25" i="84"/>
  <c r="D25" i="84"/>
  <c r="Q20" i="84"/>
  <c r="P20" i="84"/>
  <c r="O20" i="84"/>
  <c r="N20" i="84"/>
  <c r="G20" i="84"/>
  <c r="F20" i="84"/>
  <c r="E20" i="84"/>
  <c r="D20" i="84"/>
  <c r="I14" i="84" a="1"/>
  <c r="I14" i="84" s="1"/>
  <c r="I13" i="84" a="1"/>
  <c r="I13" i="84" s="1"/>
  <c r="G13" i="84" a="1"/>
  <c r="H25" i="84" s="1"/>
  <c r="D13" i="84" a="1"/>
  <c r="D13" i="84" s="1"/>
  <c r="E11" i="84" a="1"/>
  <c r="E11" i="84" s="1"/>
  <c r="E10" i="84" a="1"/>
  <c r="E10" i="84" s="1"/>
  <c r="D6" i="84" a="1"/>
  <c r="D6" i="84" s="1"/>
  <c r="D5" i="84" a="1"/>
  <c r="D5" i="84" s="1"/>
  <c r="P227" i="83" a="1"/>
  <c r="P227" i="83" s="1"/>
  <c r="F227" i="83" a="1"/>
  <c r="F227" i="83" s="1"/>
  <c r="N224" i="83" a="1"/>
  <c r="N224" i="83" s="1"/>
  <c r="D224" i="83" a="1"/>
  <c r="D224" i="83" s="1"/>
  <c r="O220" i="83"/>
  <c r="E220" i="83"/>
  <c r="O219" i="83"/>
  <c r="E219" i="83"/>
  <c r="O218" i="83"/>
  <c r="E218" i="83"/>
  <c r="O217" i="83"/>
  <c r="E217" i="83"/>
  <c r="O216" i="83"/>
  <c r="N216" i="83"/>
  <c r="E216" i="83"/>
  <c r="D216" i="83"/>
  <c r="O215" i="83"/>
  <c r="E215" i="83"/>
  <c r="O214" i="83"/>
  <c r="E214" i="83"/>
  <c r="O213" i="83"/>
  <c r="E213" i="83"/>
  <c r="O212" i="83"/>
  <c r="E212" i="83"/>
  <c r="O211" i="83"/>
  <c r="N211" i="83"/>
  <c r="E211" i="83"/>
  <c r="D211" i="83"/>
  <c r="O210" i="83"/>
  <c r="E210" i="83"/>
  <c r="O209" i="83"/>
  <c r="E209" i="83"/>
  <c r="O208" i="83"/>
  <c r="E208" i="83"/>
  <c r="O207" i="83"/>
  <c r="E207" i="83"/>
  <c r="O206" i="83"/>
  <c r="N206" i="83"/>
  <c r="E206" i="83"/>
  <c r="D206" i="83"/>
  <c r="N205" i="83"/>
  <c r="D205" i="83"/>
  <c r="N204" i="83"/>
  <c r="D204" i="83"/>
  <c r="N203" i="83"/>
  <c r="D203" i="83"/>
  <c r="N202" i="83"/>
  <c r="D202" i="83"/>
  <c r="G197" i="83"/>
  <c r="F197" i="83"/>
  <c r="E197" i="83"/>
  <c r="D197" i="83"/>
  <c r="G192" i="83"/>
  <c r="F192" i="83"/>
  <c r="E192" i="83"/>
  <c r="D192" i="83"/>
  <c r="I187" i="83" a="1"/>
  <c r="I187" i="83" s="1"/>
  <c r="J186" i="83" a="1"/>
  <c r="J186" i="83" s="1"/>
  <c r="I186" i="83" a="1"/>
  <c r="I186" i="83" s="1"/>
  <c r="I185" i="83" a="1"/>
  <c r="I185" i="83" s="1"/>
  <c r="G185" i="83" a="1"/>
  <c r="D185" i="83" a="1"/>
  <c r="D185" i="83" s="1"/>
  <c r="E183" i="83" a="1"/>
  <c r="E183" i="83" s="1"/>
  <c r="T202" i="83" s="1"/>
  <c r="E182" i="83" a="1"/>
  <c r="E182" i="83" s="1"/>
  <c r="D178" i="83" a="1"/>
  <c r="D178" i="83" s="1"/>
  <c r="D177" i="83" a="1"/>
  <c r="D177" i="83" s="1"/>
  <c r="O173" i="83"/>
  <c r="E173" i="83"/>
  <c r="O172" i="83"/>
  <c r="E172" i="83"/>
  <c r="O171" i="83"/>
  <c r="E171" i="83"/>
  <c r="O170" i="83"/>
  <c r="E170" i="83"/>
  <c r="O169" i="83"/>
  <c r="N169" i="83"/>
  <c r="E169" i="83"/>
  <c r="D169" i="83"/>
  <c r="O168" i="83"/>
  <c r="E168" i="83"/>
  <c r="O167" i="83"/>
  <c r="E167" i="83"/>
  <c r="O166" i="83"/>
  <c r="E166" i="83"/>
  <c r="O165" i="83"/>
  <c r="E165" i="83"/>
  <c r="O164" i="83"/>
  <c r="N164" i="83"/>
  <c r="E164" i="83"/>
  <c r="D164" i="83"/>
  <c r="O163" i="83"/>
  <c r="E163" i="83"/>
  <c r="O162" i="83"/>
  <c r="E162" i="83"/>
  <c r="O161" i="83"/>
  <c r="E161" i="83"/>
  <c r="O160" i="83"/>
  <c r="E160" i="83"/>
  <c r="O159" i="83"/>
  <c r="N159" i="83"/>
  <c r="E159" i="83"/>
  <c r="D159" i="83"/>
  <c r="I154" i="83"/>
  <c r="H154" i="83"/>
  <c r="G154" i="83"/>
  <c r="F154" i="83"/>
  <c r="E154" i="83"/>
  <c r="I153" i="83"/>
  <c r="H153" i="83"/>
  <c r="G153" i="83"/>
  <c r="F153" i="83"/>
  <c r="E153" i="83"/>
  <c r="I152" i="83"/>
  <c r="H152" i="83"/>
  <c r="G152" i="83"/>
  <c r="F152" i="83"/>
  <c r="E152" i="83"/>
  <c r="I151" i="83"/>
  <c r="H151" i="83"/>
  <c r="G151" i="83"/>
  <c r="F151" i="83"/>
  <c r="E151" i="83"/>
  <c r="I150" i="83"/>
  <c r="H150" i="83"/>
  <c r="G150" i="83"/>
  <c r="F150" i="83"/>
  <c r="E150" i="83"/>
  <c r="D150" i="83"/>
  <c r="I149" i="83"/>
  <c r="H149" i="83"/>
  <c r="G149" i="83"/>
  <c r="F149" i="83"/>
  <c r="E149" i="83"/>
  <c r="I148" i="83"/>
  <c r="H148" i="83"/>
  <c r="G148" i="83"/>
  <c r="F148" i="83"/>
  <c r="E148" i="83"/>
  <c r="I147" i="83"/>
  <c r="H147" i="83"/>
  <c r="G147" i="83"/>
  <c r="F147" i="83"/>
  <c r="E147" i="83"/>
  <c r="I146" i="83"/>
  <c r="H146" i="83"/>
  <c r="G146" i="83"/>
  <c r="F146" i="83"/>
  <c r="E146" i="83"/>
  <c r="I145" i="83"/>
  <c r="H145" i="83"/>
  <c r="G145" i="83"/>
  <c r="F145" i="83"/>
  <c r="E145" i="83"/>
  <c r="D145" i="83"/>
  <c r="I144" i="83"/>
  <c r="H144" i="83"/>
  <c r="G144" i="83"/>
  <c r="F144" i="83"/>
  <c r="E144" i="83"/>
  <c r="I143" i="83"/>
  <c r="H143" i="83"/>
  <c r="G143" i="83"/>
  <c r="F143" i="83"/>
  <c r="E143" i="83"/>
  <c r="I142" i="83"/>
  <c r="H142" i="83"/>
  <c r="G142" i="83"/>
  <c r="F142" i="83"/>
  <c r="E142" i="83"/>
  <c r="I141" i="83"/>
  <c r="H141" i="83"/>
  <c r="G141" i="83"/>
  <c r="F141" i="83"/>
  <c r="E141" i="83"/>
  <c r="I140" i="83"/>
  <c r="H140" i="83"/>
  <c r="G140" i="83"/>
  <c r="F140" i="83"/>
  <c r="E140" i="83"/>
  <c r="D140" i="83"/>
  <c r="S135" i="83"/>
  <c r="I135" i="83"/>
  <c r="S134" i="83"/>
  <c r="I134" i="83"/>
  <c r="S133" i="83" a="1"/>
  <c r="S133" i="83" s="1"/>
  <c r="I133" i="83" a="1"/>
  <c r="I133" i="83" s="1"/>
  <c r="S132" i="83" a="1"/>
  <c r="S132" i="83" s="1"/>
  <c r="I132" i="83" a="1"/>
  <c r="I132" i="83" s="1"/>
  <c r="S131" i="83" a="1"/>
  <c r="S131" i="83" s="1"/>
  <c r="I131" i="83" a="1"/>
  <c r="I131" i="83" s="1"/>
  <c r="S130" i="83" a="1"/>
  <c r="S130" i="83" s="1"/>
  <c r="Q130" i="83" a="1"/>
  <c r="Q130" i="83" s="1"/>
  <c r="N130" i="83" a="1"/>
  <c r="N130" i="83" s="1"/>
  <c r="I130" i="83" a="1"/>
  <c r="I130" i="83" s="1"/>
  <c r="G130" i="83" a="1"/>
  <c r="G130" i="83" s="1"/>
  <c r="D130" i="83" a="1"/>
  <c r="D130" i="83" s="1"/>
  <c r="E128" i="83" a="1"/>
  <c r="E128" i="83" s="1"/>
  <c r="E127" i="83" a="1"/>
  <c r="E127" i="83" s="1"/>
  <c r="D123" i="83" a="1"/>
  <c r="D123" i="83" s="1"/>
  <c r="D122" i="83" a="1"/>
  <c r="D122" i="83" s="1"/>
  <c r="D121" i="83" a="1"/>
  <c r="D121" i="83" s="1"/>
  <c r="N117" i="83"/>
  <c r="D117" i="83"/>
  <c r="N116" i="83"/>
  <c r="D116" i="83"/>
  <c r="N115" i="83"/>
  <c r="D115" i="83"/>
  <c r="D110" i="83"/>
  <c r="E110" i="83" s="1" a="1"/>
  <c r="E110" i="83" s="1"/>
  <c r="D109" i="83"/>
  <c r="E109" i="83" s="1" a="1"/>
  <c r="E109" i="83" s="1"/>
  <c r="D108" i="83"/>
  <c r="E108" i="83" s="1" a="1"/>
  <c r="E108" i="83" s="1"/>
  <c r="I103" i="83" a="1"/>
  <c r="I103" i="83" s="1"/>
  <c r="I102" i="83" a="1"/>
  <c r="I102" i="83" s="1"/>
  <c r="I101" i="83" a="1"/>
  <c r="I101" i="83" s="1"/>
  <c r="G101" i="83" a="1"/>
  <c r="G101" i="83" s="1"/>
  <c r="D101" i="83" a="1"/>
  <c r="D101" i="83" s="1"/>
  <c r="E99" i="83" a="1"/>
  <c r="E99" i="83" s="1"/>
  <c r="E98" i="83" a="1"/>
  <c r="E98" i="83" s="1"/>
  <c r="D94" i="83" a="1"/>
  <c r="D94" i="83" s="1"/>
  <c r="D93" i="83" a="1"/>
  <c r="D93" i="83" s="1"/>
  <c r="N89" i="83"/>
  <c r="D89" i="83"/>
  <c r="N88" i="83"/>
  <c r="D88" i="83"/>
  <c r="N87" i="83"/>
  <c r="D87" i="83"/>
  <c r="N86" i="83"/>
  <c r="D86" i="83"/>
  <c r="H63" i="83"/>
  <c r="G63" i="83"/>
  <c r="F63" i="83"/>
  <c r="E63" i="83"/>
  <c r="D63" i="83"/>
  <c r="H62" i="83"/>
  <c r="G62" i="83"/>
  <c r="F62" i="83"/>
  <c r="E62" i="83"/>
  <c r="D62" i="83"/>
  <c r="H61" i="83"/>
  <c r="G61" i="83"/>
  <c r="F61" i="83"/>
  <c r="E61" i="83"/>
  <c r="D61" i="83"/>
  <c r="H60" i="83"/>
  <c r="G60" i="83"/>
  <c r="F60" i="83"/>
  <c r="E60" i="83"/>
  <c r="D60" i="83"/>
  <c r="S55" i="83"/>
  <c r="I55" i="83"/>
  <c r="E79" i="83" s="1"/>
  <c r="S54" i="83"/>
  <c r="I54" i="83"/>
  <c r="S53" i="83" a="1"/>
  <c r="S53" i="83" s="1"/>
  <c r="I53" i="83" a="1"/>
  <c r="I53" i="83" s="1"/>
  <c r="S52" i="83" a="1"/>
  <c r="S52" i="83" s="1"/>
  <c r="I52" i="83" a="1"/>
  <c r="I52" i="83" s="1"/>
  <c r="S51" i="83" a="1"/>
  <c r="S51" i="83" s="1"/>
  <c r="I51" i="83" a="1"/>
  <c r="I51" i="83" s="1"/>
  <c r="S50" i="83" a="1"/>
  <c r="S50" i="83" s="1"/>
  <c r="Q50" i="83" a="1"/>
  <c r="Q50" i="83" s="1"/>
  <c r="N50" i="83" a="1"/>
  <c r="N50" i="83" s="1"/>
  <c r="I50" i="83" a="1"/>
  <c r="I50" i="83" s="1"/>
  <c r="G50" i="83" a="1"/>
  <c r="F73" i="83" s="1"/>
  <c r="D50" i="83" a="1"/>
  <c r="D50" i="83" s="1"/>
  <c r="E48" i="83" a="1"/>
  <c r="E48" i="83" s="1"/>
  <c r="E47" i="83" a="1"/>
  <c r="E47" i="83" s="1"/>
  <c r="D41" i="83" a="1"/>
  <c r="D41" i="83" s="1"/>
  <c r="D40" i="83" a="1"/>
  <c r="D40" i="83" s="1"/>
  <c r="D39" i="83" a="1"/>
  <c r="D39" i="83" s="1"/>
  <c r="Q25" i="83"/>
  <c r="P25" i="83"/>
  <c r="O25" i="83"/>
  <c r="N25" i="83"/>
  <c r="G25" i="83"/>
  <c r="F25" i="83"/>
  <c r="E25" i="83"/>
  <c r="D25" i="83"/>
  <c r="Q20" i="83"/>
  <c r="P20" i="83"/>
  <c r="O20" i="83"/>
  <c r="N20" i="83"/>
  <c r="G20" i="83"/>
  <c r="F20" i="83"/>
  <c r="E20" i="83"/>
  <c r="D20" i="83"/>
  <c r="I15" i="83" a="1"/>
  <c r="I15" i="83" s="1"/>
  <c r="I14" i="83" a="1"/>
  <c r="I14" i="83" s="1"/>
  <c r="I13" i="83" a="1"/>
  <c r="I13" i="83" s="1"/>
  <c r="G13" i="83" a="1"/>
  <c r="D13" i="83" a="1"/>
  <c r="D13" i="83" s="1"/>
  <c r="E11" i="83" a="1"/>
  <c r="E11" i="83" s="1"/>
  <c r="E10" i="83" a="1"/>
  <c r="E10" i="83" s="1"/>
  <c r="D6" i="83" a="1"/>
  <c r="D6" i="83" s="1"/>
  <c r="D5" i="83" a="1"/>
  <c r="D5" i="83" s="1"/>
  <c r="M56" i="82"/>
  <c r="H56" i="82"/>
  <c r="G56" i="82"/>
  <c r="F56" i="82"/>
  <c r="E56" i="82"/>
  <c r="M55" i="82"/>
  <c r="M54" i="82"/>
  <c r="M53" i="82"/>
  <c r="M52" i="82"/>
  <c r="E51" i="82"/>
  <c r="M49" i="82"/>
  <c r="H49" i="82"/>
  <c r="G49" i="82"/>
  <c r="F49" i="82"/>
  <c r="E49" i="82"/>
  <c r="M48" i="82"/>
  <c r="M47" i="82"/>
  <c r="M46" i="82"/>
  <c r="M45" i="82"/>
  <c r="E44" i="82"/>
  <c r="M42" i="82"/>
  <c r="H42" i="82"/>
  <c r="G42" i="82"/>
  <c r="F42" i="82"/>
  <c r="E42" i="82"/>
  <c r="M41" i="82"/>
  <c r="M40" i="82"/>
  <c r="M39" i="82"/>
  <c r="M38" i="82"/>
  <c r="E37" i="82"/>
  <c r="H34" i="82"/>
  <c r="G34" i="82"/>
  <c r="F34" i="82"/>
  <c r="E34" i="82"/>
  <c r="D51" i="82"/>
  <c r="D44" i="82"/>
  <c r="D37" i="82"/>
  <c r="D11" i="82"/>
  <c r="D10" i="82"/>
  <c r="D58" i="78"/>
  <c r="D38" i="78"/>
  <c r="D37" i="78"/>
  <c r="D36" i="78"/>
  <c r="D35" i="78"/>
  <c r="D34" i="78"/>
  <c r="D33" i="78"/>
  <c r="D32" i="78"/>
  <c r="D31" i="78"/>
  <c r="D13" i="78"/>
  <c r="D12" i="78"/>
  <c r="J13" i="78"/>
  <c r="D9" i="78"/>
  <c r="J9" i="78"/>
  <c r="D8" i="78"/>
  <c r="J35" i="78"/>
  <c r="O79" i="117"/>
  <c r="E433" i="116" a="1"/>
  <c r="E118" i="105" a="1"/>
  <c r="E8" i="93"/>
  <c r="E209" i="84" a="1"/>
  <c r="E7" i="116" a="1"/>
  <c r="E43" i="105" a="1"/>
  <c r="E25" i="93"/>
  <c r="E117" i="84" a="1"/>
  <c r="E61" i="117" a="1"/>
  <c r="E79" i="117"/>
  <c r="E555" i="116"/>
  <c r="E7" i="104" a="1"/>
  <c r="E37" i="90"/>
  <c r="E88" i="84" a="1"/>
  <c r="N85" i="101" a="1"/>
  <c r="O26" i="117" a="1"/>
  <c r="E42" i="101" a="1"/>
  <c r="O42" i="117"/>
  <c r="E218" i="116" a="1"/>
  <c r="E7" i="103" a="1"/>
  <c r="E7" i="90" a="1"/>
  <c r="E7" i="84" a="1"/>
  <c r="E42" i="117"/>
  <c r="E124" i="83" a="1"/>
  <c r="E400" i="116" a="1"/>
  <c r="E7" i="86" a="1"/>
  <c r="O7" i="117"/>
  <c r="L8" i="97" a="1"/>
  <c r="E7" i="117"/>
  <c r="E90" i="105" a="1"/>
  <c r="E538" i="116"/>
  <c r="E7" i="96" a="1"/>
  <c r="E609" i="116" a="1"/>
  <c r="E203" i="116" a="1"/>
  <c r="E38" i="103" a="1"/>
  <c r="E7" i="89" a="1"/>
  <c r="E59" i="84" a="1"/>
  <c r="E44" i="83" a="1"/>
  <c r="E7" i="97" a="1"/>
  <c r="O61" i="117" a="1"/>
  <c r="E158" i="84" a="1"/>
  <c r="E576" i="116" a="1"/>
  <c r="E101" i="116" a="1"/>
  <c r="E43" i="102" a="1"/>
  <c r="E32" i="89"/>
  <c r="E36" i="84" a="1"/>
  <c r="E189" i="116" a="1"/>
  <c r="E95" i="83" a="1"/>
  <c r="E7" i="109" a="1"/>
  <c r="E7" i="101" a="1"/>
  <c r="E305" i="116" a="1"/>
  <c r="E7" i="102" a="1"/>
  <c r="E7" i="88" a="1"/>
  <c r="E273" i="116" a="1"/>
  <c r="E7" i="87" a="1"/>
  <c r="E99" i="109" a="1"/>
  <c r="E127" i="87" a="1"/>
  <c r="E7" i="106" a="1"/>
  <c r="E179" i="83" a="1"/>
  <c r="E26" i="117" a="1"/>
  <c r="E83" i="85"/>
  <c r="E7" i="83" a="1"/>
  <c r="E523" i="116"/>
  <c r="E49" i="106" a="1"/>
  <c r="E42" i="86" a="1"/>
  <c r="E83" i="106"/>
  <c r="E166" i="116" a="1"/>
  <c r="L7" i="96" a="1"/>
  <c r="E7" i="105" a="1"/>
  <c r="E370" i="116" a="1"/>
  <c r="E338" i="116" a="1"/>
  <c r="E7" i="85" a="1"/>
  <c r="E81" i="83" l="1"/>
  <c r="E77" i="83"/>
  <c r="E73" i="83"/>
  <c r="E78" i="83"/>
  <c r="E74" i="83"/>
  <c r="I14" i="90"/>
  <c r="E74" i="117" a="1"/>
  <c r="E74" i="117" s="1"/>
  <c r="J86" i="117" s="1"/>
  <c r="E90" i="117" s="1" a="1"/>
  <c r="E90" i="117" s="1"/>
  <c r="J586" i="116" s="1"/>
  <c r="K39" i="97" a="1"/>
  <c r="K39" i="97" s="1"/>
  <c r="E252" i="116"/>
  <c r="J252" i="116" s="1" a="1"/>
  <c r="J252" i="116" s="1"/>
  <c r="J255" i="116" a="1"/>
  <c r="J255" i="116" s="1"/>
  <c r="J259" i="116" a="1"/>
  <c r="J259" i="116" s="1"/>
  <c r="H320" i="116" a="1"/>
  <c r="H320" i="116" s="1"/>
  <c r="G320" i="116" a="1"/>
  <c r="G320" i="116" s="1"/>
  <c r="F320" i="116" a="1"/>
  <c r="F320" i="116" s="1"/>
  <c r="E25" i="104" a="1"/>
  <c r="E25" i="104" s="1"/>
  <c r="F20" i="103" a="1"/>
  <c r="F20" i="103" s="1"/>
  <c r="P21" i="101" a="1"/>
  <c r="G20" i="103" a="1"/>
  <c r="P11" i="101" a="1"/>
  <c r="P236" i="116" a="1"/>
  <c r="P236" i="116" s="1"/>
  <c r="O236" i="116" a="1"/>
  <c r="O236" i="116" s="1"/>
  <c r="AL236" i="116" a="1"/>
  <c r="AL236" i="116" s="1"/>
  <c r="AK236" i="116" a="1"/>
  <c r="AH236" i="116" a="1"/>
  <c r="AH236" i="116" s="1"/>
  <c r="AG236" i="116" a="1"/>
  <c r="AD236" i="116" a="1"/>
  <c r="AD236" i="116" s="1"/>
  <c r="AC236" i="116" a="1"/>
  <c r="Z236" i="116" a="1"/>
  <c r="Z236" i="116" s="1"/>
  <c r="Y236" i="116" a="1"/>
  <c r="V236" i="116" a="1"/>
  <c r="V236" i="116" s="1"/>
  <c r="U236" i="116" a="1"/>
  <c r="U236" i="116" s="1"/>
  <c r="R236" i="116" a="1"/>
  <c r="R236" i="116" s="1"/>
  <c r="Q236" i="116" a="1"/>
  <c r="I328" i="116" a="1"/>
  <c r="I328" i="116" s="1"/>
  <c r="I151" i="116" a="1"/>
  <c r="I151" i="116" s="1"/>
  <c r="E19" i="117" a="1"/>
  <c r="E19" i="117" s="1"/>
  <c r="J584" i="116" s="1"/>
  <c r="G315" i="116"/>
  <c r="F19" i="117"/>
  <c r="P19" i="117"/>
  <c r="I152" i="116" a="1"/>
  <c r="I152" i="116" s="1"/>
  <c r="G485" i="116" a="1"/>
  <c r="G485" i="116" s="1"/>
  <c r="O19" i="117" a="1"/>
  <c r="O19" i="117" s="1"/>
  <c r="R584" i="116" s="1"/>
  <c r="O74" i="117" a="1"/>
  <c r="O74" i="117" s="1"/>
  <c r="T86" i="117" s="1"/>
  <c r="O90" i="117" s="1" a="1"/>
  <c r="O90" i="117" s="1"/>
  <c r="R586" i="116" s="1"/>
  <c r="E35" i="117" a="1"/>
  <c r="E35" i="117" s="1"/>
  <c r="I48" i="117" s="1"/>
  <c r="G177" i="116" a="1"/>
  <c r="G177" i="116" s="1"/>
  <c r="E61" i="117"/>
  <c r="O61" i="117"/>
  <c r="E26" i="117"/>
  <c r="O26" i="117"/>
  <c r="F142" i="116"/>
  <c r="F160" i="116"/>
  <c r="F156" i="116"/>
  <c r="P55" i="117"/>
  <c r="F55" i="117"/>
  <c r="F181" i="116"/>
  <c r="F517" i="116"/>
  <c r="F263" i="116"/>
  <c r="F182" i="116"/>
  <c r="P90" i="117"/>
  <c r="F90" i="117"/>
  <c r="I482" i="116" a="1"/>
  <c r="I482" i="116" s="1"/>
  <c r="E488" i="116" s="1"/>
  <c r="G482" i="116" a="1"/>
  <c r="G482" i="116" s="1"/>
  <c r="P74" i="117"/>
  <c r="F74" i="117"/>
  <c r="G140" i="116" a="1"/>
  <c r="G140" i="116" s="1"/>
  <c r="G151" i="116" a="1"/>
  <c r="G151" i="116" s="1"/>
  <c r="G494" i="116" a="1"/>
  <c r="G494" i="116" s="1"/>
  <c r="G47" i="116" a="1"/>
  <c r="G47" i="116" s="1"/>
  <c r="J47" i="116" a="1"/>
  <c r="J47" i="116" s="1"/>
  <c r="I322" i="116" a="1"/>
  <c r="I322" i="116" s="1"/>
  <c r="G49" i="116" a="1"/>
  <c r="G49" i="116" s="1"/>
  <c r="G496" i="116" a="1"/>
  <c r="G496" i="116" s="1"/>
  <c r="J49" i="116" a="1"/>
  <c r="J49" i="116" s="1"/>
  <c r="G150" i="116" a="1"/>
  <c r="G150" i="116" s="1"/>
  <c r="G481" i="116" a="1"/>
  <c r="G481" i="116" s="1"/>
  <c r="F35" i="116"/>
  <c r="E189" i="116"/>
  <c r="E101" i="116"/>
  <c r="E203" i="116"/>
  <c r="E218" i="116"/>
  <c r="E7" i="116"/>
  <c r="E433" i="116"/>
  <c r="E166" i="116"/>
  <c r="E338" i="116"/>
  <c r="E370" i="116"/>
  <c r="E400" i="116"/>
  <c r="E273" i="116"/>
  <c r="E305" i="116"/>
  <c r="E576" i="116"/>
  <c r="E609" i="116"/>
  <c r="J80" i="116" a="1"/>
  <c r="J80" i="116" s="1"/>
  <c r="J84" i="116" a="1"/>
  <c r="J84" i="116" s="1"/>
  <c r="J88" i="116" a="1"/>
  <c r="J88" i="116" s="1"/>
  <c r="J83" i="116" a="1"/>
  <c r="J83" i="116" s="1"/>
  <c r="J87" i="116" a="1"/>
  <c r="J87" i="116" s="1"/>
  <c r="J81" i="116" a="1"/>
  <c r="J81" i="116" s="1"/>
  <c r="G85" i="116" a="1"/>
  <c r="G85" i="116" s="1"/>
  <c r="I139" i="116" a="1"/>
  <c r="I139" i="116" s="1"/>
  <c r="G139" i="116" a="1"/>
  <c r="G139" i="116" s="1"/>
  <c r="J69" i="116" a="1"/>
  <c r="J69" i="116" s="1"/>
  <c r="J63" i="116" a="1"/>
  <c r="J63" i="116" s="1"/>
  <c r="I149" i="116" a="1"/>
  <c r="I149" i="116" s="1"/>
  <c r="G149" i="116" a="1"/>
  <c r="G149" i="116" s="1"/>
  <c r="E182" i="116"/>
  <c r="J68" i="116" a="1"/>
  <c r="J68" i="116" s="1"/>
  <c r="M24" i="116" a="1"/>
  <c r="M24" i="116" s="1"/>
  <c r="F54" i="116"/>
  <c r="G81" i="116" a="1"/>
  <c r="G81" i="116" s="1"/>
  <c r="F94" i="116"/>
  <c r="G63" i="116" a="1"/>
  <c r="G63" i="116" s="1"/>
  <c r="J48" i="116" a="1"/>
  <c r="J48" i="116" s="1"/>
  <c r="J45" i="116" a="1"/>
  <c r="J45" i="116" s="1"/>
  <c r="J51" i="116" a="1"/>
  <c r="J51" i="116" s="1"/>
  <c r="G48" i="116" a="1"/>
  <c r="G48" i="116" s="1"/>
  <c r="G45" i="116" a="1"/>
  <c r="G45" i="116" s="1"/>
  <c r="G44" i="116" a="1"/>
  <c r="G44" i="116" s="1"/>
  <c r="J44" i="116" a="1"/>
  <c r="J44" i="116" s="1"/>
  <c r="J86" i="116" a="1"/>
  <c r="J86" i="116" s="1"/>
  <c r="G83" i="116" a="1"/>
  <c r="G83" i="116" s="1"/>
  <c r="G86" i="116" a="1"/>
  <c r="G86" i="116" s="1"/>
  <c r="J82" i="116" a="1"/>
  <c r="J82" i="116" s="1"/>
  <c r="G87" i="116" a="1"/>
  <c r="G87" i="116" s="1"/>
  <c r="F159" i="116"/>
  <c r="G82" i="116" a="1"/>
  <c r="G82" i="116" s="1"/>
  <c r="I122" i="116" a="1"/>
  <c r="I122" i="116" s="1"/>
  <c r="G68" i="116" a="1"/>
  <c r="G68" i="116" s="1"/>
  <c r="J64" i="116" a="1"/>
  <c r="J64" i="116" s="1"/>
  <c r="J67" i="116" a="1"/>
  <c r="J67" i="116" s="1"/>
  <c r="G64" i="116" a="1"/>
  <c r="G64" i="116" s="1"/>
  <c r="G69" i="116" a="1"/>
  <c r="G69" i="116" s="1"/>
  <c r="F127" i="116"/>
  <c r="G127" i="116" s="1" a="1"/>
  <c r="G127" i="116" s="1"/>
  <c r="F91" i="116"/>
  <c r="F72" i="116"/>
  <c r="G61" i="116" a="1"/>
  <c r="G61" i="116" s="1"/>
  <c r="I140" i="116" a="1"/>
  <c r="I140" i="116" s="1"/>
  <c r="G152" i="116" a="1"/>
  <c r="G152" i="116" s="1"/>
  <c r="G42" i="116" a="1"/>
  <c r="G42" i="116" s="1"/>
  <c r="G65" i="116" a="1"/>
  <c r="G65" i="116" s="1"/>
  <c r="G88" i="116" a="1"/>
  <c r="G88" i="116" s="1"/>
  <c r="H453" i="116" a="1"/>
  <c r="H453" i="116" s="1"/>
  <c r="J453" i="116" a="1"/>
  <c r="J453" i="116" s="1"/>
  <c r="M25" i="116" a="1"/>
  <c r="M25" i="116" s="1"/>
  <c r="G46" i="116" a="1"/>
  <c r="G46" i="116" s="1"/>
  <c r="G50" i="116" a="1"/>
  <c r="G50" i="116" s="1"/>
  <c r="G70" i="116" a="1"/>
  <c r="G70" i="116" s="1"/>
  <c r="I121" i="116" a="1"/>
  <c r="I121" i="116" s="1"/>
  <c r="J31" i="116" a="1"/>
  <c r="J31" i="116" s="1"/>
  <c r="J50" i="116" a="1"/>
  <c r="J50" i="116" s="1"/>
  <c r="J65" i="116" a="1"/>
  <c r="J65" i="116" s="1"/>
  <c r="G84" i="116" a="1"/>
  <c r="G84" i="116" s="1"/>
  <c r="F129" i="116"/>
  <c r="I129" i="116" s="1" a="1"/>
  <c r="I129" i="116" s="1"/>
  <c r="J26" i="116" a="1"/>
  <c r="J26" i="116" s="1"/>
  <c r="M32" i="116" a="1"/>
  <c r="M32" i="116" s="1"/>
  <c r="M30" i="116" a="1"/>
  <c r="M30" i="116" s="1"/>
  <c r="M28" i="116" a="1"/>
  <c r="M28" i="116" s="1"/>
  <c r="J29" i="116" a="1"/>
  <c r="J29" i="116" s="1"/>
  <c r="J46" i="116" a="1"/>
  <c r="J46" i="116" s="1"/>
  <c r="J70" i="116" a="1"/>
  <c r="J70" i="116" s="1"/>
  <c r="J24" i="116" a="1"/>
  <c r="J24" i="116" s="1"/>
  <c r="M31" i="116" a="1"/>
  <c r="M31" i="116" s="1"/>
  <c r="G43" i="116" a="1"/>
  <c r="G43" i="116" s="1"/>
  <c r="J61" i="116" a="1"/>
  <c r="J61" i="116" s="1"/>
  <c r="G66" i="116" a="1"/>
  <c r="G66" i="116" s="1"/>
  <c r="G80" i="116" a="1"/>
  <c r="G80" i="116" s="1"/>
  <c r="F90" i="116"/>
  <c r="I150" i="116" a="1"/>
  <c r="I150" i="116" s="1"/>
  <c r="G153" i="116" a="1"/>
  <c r="G153" i="116" s="1"/>
  <c r="J642" i="116" a="1"/>
  <c r="J642" i="116" s="1"/>
  <c r="J66" i="116" a="1"/>
  <c r="J66" i="116" s="1"/>
  <c r="F73" i="116"/>
  <c r="F657" i="116"/>
  <c r="F656" i="116"/>
  <c r="F653" i="116"/>
  <c r="F635" i="116"/>
  <c r="F654" i="116"/>
  <c r="F636" i="116"/>
  <c r="F155" i="116"/>
  <c r="F132" i="116"/>
  <c r="F143" i="116"/>
  <c r="F131" i="116"/>
  <c r="F499" i="116"/>
  <c r="F488" i="116"/>
  <c r="F332" i="116"/>
  <c r="F516" i="116"/>
  <c r="F393" i="116"/>
  <c r="F363" i="116"/>
  <c r="F264" i="116"/>
  <c r="F498" i="116"/>
  <c r="F487" i="116"/>
  <c r="F475" i="116"/>
  <c r="F457" i="116"/>
  <c r="F426" i="116"/>
  <c r="F331" i="116"/>
  <c r="F570" i="116"/>
  <c r="F299" i="116"/>
  <c r="F533" i="116"/>
  <c r="F362" i="116"/>
  <c r="F425" i="116"/>
  <c r="F267" i="116"/>
  <c r="F266" i="116"/>
  <c r="F474" i="116"/>
  <c r="F298" i="116"/>
  <c r="F548" i="116"/>
  <c r="F456" i="116"/>
  <c r="J43" i="116" a="1"/>
  <c r="J43" i="116" s="1"/>
  <c r="F53" i="116"/>
  <c r="G62" i="116" a="1"/>
  <c r="G62" i="116" s="1"/>
  <c r="F93" i="116"/>
  <c r="I153" i="116" a="1"/>
  <c r="I153" i="116" s="1"/>
  <c r="G178" i="116" a="1"/>
  <c r="G178" i="116" s="1"/>
  <c r="I327" i="116" a="1"/>
  <c r="I327" i="116" s="1"/>
  <c r="J323" i="116" a="1"/>
  <c r="J323" i="116" s="1"/>
  <c r="J329" i="116" a="1"/>
  <c r="J329" i="116" s="1"/>
  <c r="I326" i="116" a="1"/>
  <c r="I326" i="116" s="1"/>
  <c r="J322" i="116" a="1"/>
  <c r="J322" i="116" s="1"/>
  <c r="J328" i="116" a="1"/>
  <c r="J328" i="116" s="1"/>
  <c r="I325" i="116" a="1"/>
  <c r="I325" i="116" s="1"/>
  <c r="J324" i="116" a="1"/>
  <c r="J324" i="116" s="1"/>
  <c r="I324" i="116" a="1"/>
  <c r="I324" i="116" s="1"/>
  <c r="I323" i="116" a="1"/>
  <c r="I323" i="116" s="1"/>
  <c r="I329" i="116" a="1"/>
  <c r="I329" i="116" s="1"/>
  <c r="J321" i="116" a="1"/>
  <c r="J321" i="116" s="1"/>
  <c r="I321" i="116" a="1"/>
  <c r="I321" i="116" s="1"/>
  <c r="J326" i="116" a="1"/>
  <c r="J326" i="116" s="1"/>
  <c r="J325" i="116" a="1"/>
  <c r="J325" i="116" s="1"/>
  <c r="M27" i="116" a="1"/>
  <c r="M27" i="116" s="1"/>
  <c r="G67" i="116" a="1"/>
  <c r="G67" i="116" s="1"/>
  <c r="J85" i="116" a="1"/>
  <c r="J85" i="116" s="1"/>
  <c r="F394" i="116"/>
  <c r="J385" i="116" a="1"/>
  <c r="J385" i="116" s="1"/>
  <c r="H389" i="116" a="1"/>
  <c r="H389" i="116" s="1"/>
  <c r="J391" i="116" a="1"/>
  <c r="J391" i="116" s="1"/>
  <c r="J384" i="116" a="1"/>
  <c r="J384" i="116" s="1"/>
  <c r="H382" i="116" a="1"/>
  <c r="H382" i="116" s="1"/>
  <c r="J645" i="116" a="1"/>
  <c r="J645" i="116" s="1"/>
  <c r="J651" i="116" a="1"/>
  <c r="J651" i="116" s="1"/>
  <c r="J644" i="116" a="1"/>
  <c r="J644" i="116" s="1"/>
  <c r="J650" i="116" a="1"/>
  <c r="J650" i="116" s="1"/>
  <c r="J643" i="116" a="1"/>
  <c r="J643" i="116" s="1"/>
  <c r="J258" i="116" a="1"/>
  <c r="J258" i="116" s="1"/>
  <c r="J261" i="116" a="1"/>
  <c r="J261" i="116" s="1"/>
  <c r="J254" i="116" a="1"/>
  <c r="J254" i="116" s="1"/>
  <c r="J260" i="116" a="1"/>
  <c r="J260" i="116" s="1"/>
  <c r="J253" i="116" a="1"/>
  <c r="J253" i="116" s="1"/>
  <c r="J256" i="116" a="1"/>
  <c r="J256" i="116" s="1"/>
  <c r="J257" i="116" a="1"/>
  <c r="J257" i="116" s="1"/>
  <c r="J387" i="116" a="1"/>
  <c r="J387" i="116" s="1"/>
  <c r="J386" i="116" a="1"/>
  <c r="J386" i="116" s="1"/>
  <c r="E570" i="116" a="1"/>
  <c r="E570" i="116" s="1"/>
  <c r="J471" i="116" a="1"/>
  <c r="J471" i="116" s="1"/>
  <c r="H466" i="116" a="1"/>
  <c r="H466" i="116" s="1"/>
  <c r="H468" i="116" a="1"/>
  <c r="H468" i="116" s="1"/>
  <c r="H467" i="116" a="1"/>
  <c r="H467" i="116" s="1"/>
  <c r="J646" i="116" a="1"/>
  <c r="J646" i="116" s="1"/>
  <c r="L357" i="116"/>
  <c r="H388" i="116" a="1"/>
  <c r="H388" i="116" s="1"/>
  <c r="J416" i="116" a="1"/>
  <c r="J416" i="116" s="1"/>
  <c r="J420" i="116" a="1"/>
  <c r="J420" i="116" s="1"/>
  <c r="J419" i="116" a="1"/>
  <c r="J419" i="116" s="1"/>
  <c r="J418" i="116" a="1"/>
  <c r="J418" i="116" s="1"/>
  <c r="J414" i="116" a="1"/>
  <c r="J414" i="116" s="1"/>
  <c r="J466" i="116" a="1"/>
  <c r="J466" i="116" s="1"/>
  <c r="J467" i="116" a="1"/>
  <c r="J467" i="116" s="1"/>
  <c r="K508" i="116" a="1"/>
  <c r="K508" i="116" s="1"/>
  <c r="K513" i="116" a="1"/>
  <c r="K513" i="116" s="1"/>
  <c r="K506" i="116" a="1"/>
  <c r="K506" i="116" s="1"/>
  <c r="K512" i="116" a="1"/>
  <c r="K512" i="116" s="1"/>
  <c r="K511" i="116" a="1"/>
  <c r="K511" i="116" s="1"/>
  <c r="J648" i="116" a="1"/>
  <c r="J648" i="116" s="1"/>
  <c r="J463" i="116" a="1"/>
  <c r="J463" i="116" s="1"/>
  <c r="K505" i="116" a="1"/>
  <c r="K505" i="116" s="1"/>
  <c r="G138" i="116" a="1"/>
  <c r="G138" i="116" s="1"/>
  <c r="G148" i="116" a="1"/>
  <c r="G148" i="116" s="1"/>
  <c r="G179" i="116" a="1"/>
  <c r="G179" i="116" s="1"/>
  <c r="J423" i="116" a="1"/>
  <c r="J423" i="116" s="1"/>
  <c r="J468" i="116" a="1"/>
  <c r="J468" i="116" s="1"/>
  <c r="L352" i="116"/>
  <c r="L356" i="116"/>
  <c r="L355" i="116"/>
  <c r="L351" i="116"/>
  <c r="L354" i="116"/>
  <c r="L359" i="116"/>
  <c r="H448" i="116" a="1"/>
  <c r="H448" i="116" s="1"/>
  <c r="H449" i="116" a="1"/>
  <c r="H449" i="116" s="1"/>
  <c r="H464" i="116" a="1"/>
  <c r="H464" i="116" s="1"/>
  <c r="K507" i="116" a="1"/>
  <c r="K507" i="116" s="1"/>
  <c r="L360" i="116"/>
  <c r="H445" i="116" a="1"/>
  <c r="H445" i="116" s="1"/>
  <c r="J464" i="116" a="1"/>
  <c r="J464" i="116" s="1"/>
  <c r="G495" i="116" a="1"/>
  <c r="G495" i="116" s="1"/>
  <c r="K509" i="116" a="1"/>
  <c r="K509" i="116" s="1"/>
  <c r="J448" i="116" a="1"/>
  <c r="J448" i="116" s="1"/>
  <c r="J449" i="116" a="1"/>
  <c r="J449" i="116" s="1"/>
  <c r="G484" i="116" a="1"/>
  <c r="G484" i="116" s="1"/>
  <c r="I495" i="116" a="1"/>
  <c r="I495" i="116" s="1"/>
  <c r="E499" i="116" s="1"/>
  <c r="E548" i="116" a="1"/>
  <c r="E548" i="116" s="1"/>
  <c r="N588" i="116"/>
  <c r="K359" i="116" a="1"/>
  <c r="K359" i="116" s="1"/>
  <c r="K351" i="116" a="1"/>
  <c r="K351" i="116" s="1"/>
  <c r="K422" i="116"/>
  <c r="J626" i="116" a="1"/>
  <c r="J626" i="116" s="1"/>
  <c r="J633" i="116" a="1"/>
  <c r="J633" i="116" s="1"/>
  <c r="K360" i="116" a="1"/>
  <c r="K360" i="116" s="1"/>
  <c r="K418" i="116"/>
  <c r="J627" i="116" a="1"/>
  <c r="J627" i="116" s="1"/>
  <c r="K352" i="116" a="1"/>
  <c r="K352" i="116" s="1"/>
  <c r="H387" i="116" a="1"/>
  <c r="H387" i="116" s="1"/>
  <c r="J629" i="116" a="1"/>
  <c r="J629" i="116" s="1"/>
  <c r="K415" i="116"/>
  <c r="J624" i="116" a="1"/>
  <c r="J624" i="116" s="1"/>
  <c r="J647" i="116" a="1"/>
  <c r="J647" i="116" s="1"/>
  <c r="I15" i="86"/>
  <c r="I34" i="109" a="1"/>
  <c r="I34" i="109" s="1"/>
  <c r="H129" i="109" s="1"/>
  <c r="I80" i="109" a="1"/>
  <c r="I80" i="109" s="1"/>
  <c r="H178" i="109" s="1"/>
  <c r="I178" i="109" s="1"/>
  <c r="I50" i="109" a="1"/>
  <c r="I50" i="109" s="1"/>
  <c r="H145" i="109" s="1"/>
  <c r="I73" i="109" a="1"/>
  <c r="I73" i="109" s="1"/>
  <c r="H171" i="109" s="1"/>
  <c r="I65" i="109" a="1"/>
  <c r="I65" i="109" s="1"/>
  <c r="H163" i="109" s="1"/>
  <c r="I163" i="109" s="1"/>
  <c r="E99" i="109"/>
  <c r="E7" i="109"/>
  <c r="I41" i="109" a="1"/>
  <c r="I41" i="109" s="1"/>
  <c r="H136" i="109" s="1"/>
  <c r="I136" i="109" s="1"/>
  <c r="I89" i="109" a="1"/>
  <c r="I89" i="109" s="1"/>
  <c r="H187" i="109" s="1"/>
  <c r="I26" i="109" a="1"/>
  <c r="I26" i="109" s="1"/>
  <c r="H121" i="109" s="1"/>
  <c r="I121" i="109" s="1"/>
  <c r="F192" i="109"/>
  <c r="F151" i="109"/>
  <c r="I88" i="109" a="1"/>
  <c r="I88" i="109" s="1"/>
  <c r="H186" i="109" s="1"/>
  <c r="I28" i="109" a="1"/>
  <c r="I28" i="109" s="1"/>
  <c r="H123" i="109" s="1"/>
  <c r="I123" i="109" s="1"/>
  <c r="K123" i="109" s="1" a="1"/>
  <c r="K123" i="109" s="1"/>
  <c r="I36" i="109" a="1"/>
  <c r="I36" i="109" s="1"/>
  <c r="H131" i="109" s="1"/>
  <c r="I44" i="109" a="1"/>
  <c r="I44" i="109" s="1"/>
  <c r="H139" i="109" s="1"/>
  <c r="I52" i="109" a="1"/>
  <c r="I52" i="109" s="1"/>
  <c r="H147" i="109" s="1"/>
  <c r="I60" i="109" a="1"/>
  <c r="I60" i="109" s="1"/>
  <c r="H158" i="109" s="1"/>
  <c r="I158" i="109" s="1"/>
  <c r="I67" i="109" a="1"/>
  <c r="I67" i="109" s="1"/>
  <c r="H165" i="109" s="1"/>
  <c r="I165" i="109" s="1"/>
  <c r="I75" i="109" a="1"/>
  <c r="I75" i="109" s="1"/>
  <c r="H173" i="109" s="1"/>
  <c r="I173" i="109" s="1"/>
  <c r="I83" i="109" a="1"/>
  <c r="I83" i="109" s="1"/>
  <c r="H181" i="109" s="1"/>
  <c r="I91" i="109" a="1"/>
  <c r="I91" i="109" s="1"/>
  <c r="H189" i="109" s="1"/>
  <c r="I59" i="109" a="1"/>
  <c r="I59" i="109" s="1"/>
  <c r="H157" i="109" s="1"/>
  <c r="I22" i="109" a="1"/>
  <c r="I22" i="109" s="1"/>
  <c r="H117" i="109" s="1"/>
  <c r="I24" i="109" a="1"/>
  <c r="I24" i="109" s="1"/>
  <c r="H119" i="109" s="1"/>
  <c r="I31" i="109" a="1"/>
  <c r="I31" i="109" s="1"/>
  <c r="H126" i="109" s="1"/>
  <c r="I39" i="109" a="1"/>
  <c r="I39" i="109" s="1"/>
  <c r="H134" i="109" s="1"/>
  <c r="I47" i="109" a="1"/>
  <c r="I47" i="109" s="1"/>
  <c r="H142" i="109" s="1"/>
  <c r="I61" i="109" a="1"/>
  <c r="I61" i="109" s="1"/>
  <c r="H159" i="109" s="1"/>
  <c r="I68" i="109" a="1"/>
  <c r="I68" i="109" s="1"/>
  <c r="H166" i="109" s="1"/>
  <c r="I76" i="109" a="1"/>
  <c r="I76" i="109" s="1"/>
  <c r="H174" i="109" s="1"/>
  <c r="I84" i="109" a="1"/>
  <c r="I84" i="109" s="1"/>
  <c r="H182" i="109" s="1"/>
  <c r="I51" i="109" a="1"/>
  <c r="I51" i="109" s="1"/>
  <c r="H146" i="109" s="1"/>
  <c r="I66" i="109" a="1"/>
  <c r="I66" i="109" s="1"/>
  <c r="H164" i="109" s="1"/>
  <c r="I90" i="109" a="1"/>
  <c r="I90" i="109" s="1"/>
  <c r="H188" i="109" s="1"/>
  <c r="I48" i="109" a="1"/>
  <c r="I48" i="109" s="1"/>
  <c r="H143" i="109" s="1"/>
  <c r="I64" i="109" a="1"/>
  <c r="I64" i="109" s="1"/>
  <c r="H162" i="109" s="1"/>
  <c r="I72" i="109" a="1"/>
  <c r="I72" i="109" s="1"/>
  <c r="H170" i="109" s="1"/>
  <c r="I79" i="109" a="1"/>
  <c r="I79" i="109" s="1"/>
  <c r="H177" i="109" s="1"/>
  <c r="I57" i="106"/>
  <c r="F106" i="105" a="1"/>
  <c r="F106" i="105" s="1"/>
  <c r="E138" i="105" s="1"/>
  <c r="F112" i="105" a="1"/>
  <c r="F112" i="105" s="1"/>
  <c r="E144" i="105" s="1"/>
  <c r="H29" i="104" a="1"/>
  <c r="H29" i="104" s="1"/>
  <c r="F107" i="105" a="1"/>
  <c r="F107" i="105" s="1"/>
  <c r="E139" i="105" s="1"/>
  <c r="E49" i="106"/>
  <c r="E7" i="106"/>
  <c r="F108" i="105" a="1"/>
  <c r="F108" i="105" s="1"/>
  <c r="E140" i="105" s="1"/>
  <c r="F109" i="105" a="1"/>
  <c r="F109" i="105" s="1"/>
  <c r="E141" i="105" s="1"/>
  <c r="F110" i="105" a="1"/>
  <c r="F110" i="105" s="1"/>
  <c r="E142" i="105" s="1"/>
  <c r="H27" i="104" a="1"/>
  <c r="H27" i="104" s="1"/>
  <c r="F111" i="105" a="1"/>
  <c r="F111" i="105" s="1"/>
  <c r="E143" i="105" s="1"/>
  <c r="E43" i="105"/>
  <c r="E118" i="105"/>
  <c r="E7" i="105"/>
  <c r="E90" i="105"/>
  <c r="F105" i="105" a="1"/>
  <c r="F105" i="105" s="1"/>
  <c r="E137" i="105" s="1"/>
  <c r="G59" i="105"/>
  <c r="E7" i="104"/>
  <c r="H25" i="104" a="1"/>
  <c r="H25" i="104" s="1"/>
  <c r="H26" i="104" a="1"/>
  <c r="H26" i="104" s="1"/>
  <c r="H28" i="104" a="1"/>
  <c r="H28" i="104" s="1"/>
  <c r="E38" i="103"/>
  <c r="E7" i="103"/>
  <c r="E7" i="102"/>
  <c r="E43" i="102"/>
  <c r="F78" i="102"/>
  <c r="F58" i="102"/>
  <c r="E42" i="101"/>
  <c r="N85" i="101"/>
  <c r="E7" i="101"/>
  <c r="F60" i="101"/>
  <c r="Q24" i="101"/>
  <c r="Q26" i="101"/>
  <c r="Q28" i="101"/>
  <c r="Q30" i="101"/>
  <c r="O110" i="101"/>
  <c r="Q23" i="101"/>
  <c r="N105" i="101"/>
  <c r="Q25" i="101"/>
  <c r="N106" i="101"/>
  <c r="D40" i="100"/>
  <c r="X13" i="100"/>
  <c r="X17" i="100"/>
  <c r="X21" i="100"/>
  <c r="Q35" i="97" a="1"/>
  <c r="Q35" i="97" s="1"/>
  <c r="Q40" i="97" a="1"/>
  <c r="Q40" i="97" s="1"/>
  <c r="J55" i="100"/>
  <c r="J56" i="100"/>
  <c r="X20" i="100"/>
  <c r="X16" i="100"/>
  <c r="X15" i="100"/>
  <c r="X19" i="100"/>
  <c r="X18" i="100"/>
  <c r="I13" i="100"/>
  <c r="E19" i="102" s="1" a="1"/>
  <c r="E19" i="102" s="1"/>
  <c r="I15" i="100"/>
  <c r="E22" i="102" s="1" a="1"/>
  <c r="E22" i="102" s="1"/>
  <c r="I17" i="100"/>
  <c r="I19" i="100"/>
  <c r="I54" i="100"/>
  <c r="I20" i="100"/>
  <c r="I21" i="100"/>
  <c r="Q28" i="97" a="1"/>
  <c r="Q28" i="97" s="1"/>
  <c r="E7" i="97"/>
  <c r="L8" i="97"/>
  <c r="O38" i="97" a="1"/>
  <c r="O38" i="97" s="1"/>
  <c r="N38" i="97" a="1"/>
  <c r="N38" i="97" s="1"/>
  <c r="Q38" i="97" a="1"/>
  <c r="Q38" i="97" s="1"/>
  <c r="Q27" i="97" a="1"/>
  <c r="Q27" i="97" s="1"/>
  <c r="P28" i="97" a="1"/>
  <c r="P28" i="97" s="1"/>
  <c r="O28" i="97" a="1"/>
  <c r="O28" i="97" s="1"/>
  <c r="N28" i="97" a="1"/>
  <c r="N28" i="97" s="1"/>
  <c r="F58" i="97"/>
  <c r="F49" i="97"/>
  <c r="F57" i="97"/>
  <c r="F46" i="97"/>
  <c r="F56" i="97"/>
  <c r="F45" i="97"/>
  <c r="F55" i="97"/>
  <c r="F44" i="97"/>
  <c r="F52" i="97"/>
  <c r="F43" i="97"/>
  <c r="F51" i="97"/>
  <c r="F50" i="97"/>
  <c r="N34" i="97" a="1"/>
  <c r="N34" i="97" s="1"/>
  <c r="P34" i="97" a="1"/>
  <c r="P34" i="97" s="1"/>
  <c r="O34" i="97" a="1"/>
  <c r="O34" i="97" s="1"/>
  <c r="Q34" i="97" a="1"/>
  <c r="Q34" i="97" s="1"/>
  <c r="N27" i="97" a="1"/>
  <c r="N27" i="97" s="1"/>
  <c r="P27" i="97" a="1"/>
  <c r="P27" i="97" s="1"/>
  <c r="O27" i="97" a="1"/>
  <c r="O27" i="97" s="1"/>
  <c r="P35" i="97" a="1"/>
  <c r="P35" i="97" s="1"/>
  <c r="O35" i="97" a="1"/>
  <c r="O35" i="97" s="1"/>
  <c r="N35" i="97" a="1"/>
  <c r="N35" i="97" s="1"/>
  <c r="P40" i="97" a="1"/>
  <c r="P40" i="97" s="1"/>
  <c r="O40" i="97" a="1"/>
  <c r="O40" i="97" s="1"/>
  <c r="N40" i="97" a="1"/>
  <c r="N40" i="97" s="1"/>
  <c r="O31" i="97" a="1"/>
  <c r="O31" i="97" s="1"/>
  <c r="N31" i="97" a="1"/>
  <c r="N31" i="97" s="1"/>
  <c r="Q31" i="97" a="1"/>
  <c r="Q31" i="97" s="1"/>
  <c r="Q33" i="97" a="1"/>
  <c r="Q33" i="97" s="1"/>
  <c r="P31" i="97" a="1"/>
  <c r="P31" i="97" s="1"/>
  <c r="P38" i="97" a="1"/>
  <c r="P38" i="97" s="1"/>
  <c r="D39" i="97"/>
  <c r="Q37" i="97" a="1"/>
  <c r="Q37" i="97" s="1"/>
  <c r="Q25" i="97" a="1"/>
  <c r="Q25" i="97" s="1"/>
  <c r="O26" i="97" a="1"/>
  <c r="O26" i="97" s="1"/>
  <c r="P33" i="97" a="1"/>
  <c r="P33" i="97" s="1"/>
  <c r="E7" i="96"/>
  <c r="L7" i="96"/>
  <c r="F70" i="96"/>
  <c r="F61" i="96"/>
  <c r="F51" i="96"/>
  <c r="F69" i="96"/>
  <c r="F50" i="96"/>
  <c r="F58" i="96"/>
  <c r="F68" i="96"/>
  <c r="F49" i="96"/>
  <c r="F57" i="96"/>
  <c r="F67" i="96"/>
  <c r="F56" i="96"/>
  <c r="F46" i="96"/>
  <c r="F64" i="96"/>
  <c r="F55" i="96"/>
  <c r="F45" i="96"/>
  <c r="F63" i="96"/>
  <c r="F44" i="96"/>
  <c r="F62" i="96"/>
  <c r="F52" i="96"/>
  <c r="F43" i="96"/>
  <c r="D30" i="96"/>
  <c r="Q35" i="96" a="1"/>
  <c r="Q35" i="96" s="1"/>
  <c r="D54" i="96"/>
  <c r="D29" i="96"/>
  <c r="I48" i="92"/>
  <c r="Q39" i="96" a="1"/>
  <c r="Q39" i="96" s="1"/>
  <c r="Q34" i="96" a="1"/>
  <c r="Q34" i="96" s="1"/>
  <c r="D32" i="96"/>
  <c r="O33" i="96" a="1"/>
  <c r="O33" i="96" s="1"/>
  <c r="E50" i="96" s="1"/>
  <c r="D27" i="96"/>
  <c r="P28" i="96" a="1"/>
  <c r="P28" i="96" s="1"/>
  <c r="D36" i="96"/>
  <c r="P37" i="96" a="1"/>
  <c r="P37" i="96" s="1"/>
  <c r="D31" i="96"/>
  <c r="D26" i="96"/>
  <c r="I17" i="95"/>
  <c r="I20" i="95"/>
  <c r="I18" i="95"/>
  <c r="E18" i="93" a="1"/>
  <c r="E18" i="93" s="1"/>
  <c r="E39" i="93" a="1"/>
  <c r="E39" i="93" s="1"/>
  <c r="I38" i="92"/>
  <c r="I39" i="92"/>
  <c r="I46" i="92"/>
  <c r="I47" i="92"/>
  <c r="P30" i="90"/>
  <c r="S28" i="90"/>
  <c r="E7" i="90"/>
  <c r="P47" i="90"/>
  <c r="F47" i="90"/>
  <c r="I23" i="90"/>
  <c r="F30" i="90"/>
  <c r="F45" i="89"/>
  <c r="I28" i="90"/>
  <c r="E7" i="89"/>
  <c r="O26" i="89"/>
  <c r="F26" i="89"/>
  <c r="I24" i="89"/>
  <c r="R24" i="89"/>
  <c r="R19" i="89"/>
  <c r="I19" i="89"/>
  <c r="E7" i="88"/>
  <c r="S20" i="88"/>
  <c r="I20" i="88"/>
  <c r="P27" i="88"/>
  <c r="I25" i="88"/>
  <c r="F27" i="88"/>
  <c r="F54" i="87"/>
  <c r="E127" i="87"/>
  <c r="E7" i="87"/>
  <c r="P205" i="87"/>
  <c r="T105" i="87"/>
  <c r="F205" i="87"/>
  <c r="J189" i="87"/>
  <c r="P121" i="87"/>
  <c r="T189" i="87"/>
  <c r="J105" i="87"/>
  <c r="F121" i="87"/>
  <c r="G170" i="87"/>
  <c r="G133" i="87"/>
  <c r="N35" i="83" a="1"/>
  <c r="N35" i="83" s="1"/>
  <c r="O115" i="83" s="1" a="1"/>
  <c r="O115" i="83" s="1"/>
  <c r="D30" i="84" a="1"/>
  <c r="D30" i="84" s="1"/>
  <c r="D53" i="84" s="1" a="1"/>
  <c r="D53" i="84" s="1"/>
  <c r="D82" i="84" s="1" a="1"/>
  <c r="D82" i="84" s="1"/>
  <c r="E110" i="84" s="1" a="1"/>
  <c r="E110" i="84" s="1"/>
  <c r="F24" i="85" s="1"/>
  <c r="F59" i="85" s="1" a="1"/>
  <c r="F59" i="85" s="1"/>
  <c r="J142" i="87"/>
  <c r="T142" i="87"/>
  <c r="P158" i="87"/>
  <c r="F158" i="87"/>
  <c r="D35" i="83" a="1"/>
  <c r="D35" i="83" s="1"/>
  <c r="E115" i="83" s="1" a="1"/>
  <c r="E115" i="83" s="1"/>
  <c r="J67" i="87"/>
  <c r="G13" i="87"/>
  <c r="T67" i="87"/>
  <c r="G86" i="87"/>
  <c r="E42" i="86"/>
  <c r="E7" i="86"/>
  <c r="T27" i="86"/>
  <c r="J27" i="86"/>
  <c r="J55" i="86"/>
  <c r="P59" i="86"/>
  <c r="F59" i="86"/>
  <c r="T55" i="86"/>
  <c r="I15" i="84"/>
  <c r="J34" i="86"/>
  <c r="F45" i="85"/>
  <c r="E30" i="84" a="1"/>
  <c r="E30" i="84" s="1"/>
  <c r="E53" i="84" s="1" a="1"/>
  <c r="E53" i="84" s="1"/>
  <c r="E82" i="84" s="1" a="1"/>
  <c r="E82" i="84" s="1"/>
  <c r="G30" i="84" a="1"/>
  <c r="G30" i="84" s="1"/>
  <c r="G53" i="84" s="1" a="1"/>
  <c r="G53" i="84" s="1"/>
  <c r="G82" i="84" s="1" a="1"/>
  <c r="G82" i="84" s="1"/>
  <c r="F138" i="84"/>
  <c r="P35" i="83" a="1"/>
  <c r="P35" i="83" s="1"/>
  <c r="Q115" i="83" s="1" a="1"/>
  <c r="Q115" i="83" s="1"/>
  <c r="N30" i="84" a="1"/>
  <c r="N30" i="84" s="1"/>
  <c r="N53" i="84" s="1" a="1"/>
  <c r="N53" i="84" s="1"/>
  <c r="N82" i="84" s="1" a="1"/>
  <c r="N82" i="84" s="1"/>
  <c r="O111" i="84" s="1" a="1"/>
  <c r="O111" i="84" s="1"/>
  <c r="T57" i="85"/>
  <c r="F30" i="84" a="1"/>
  <c r="F30" i="84" s="1"/>
  <c r="F53" i="84" s="1" a="1"/>
  <c r="F53" i="84" s="1"/>
  <c r="F82" i="84" s="1" a="1"/>
  <c r="F82" i="84" s="1"/>
  <c r="P30" i="84" a="1"/>
  <c r="P30" i="84" s="1"/>
  <c r="P53" i="84" s="1" a="1"/>
  <c r="P53" i="84" s="1"/>
  <c r="P82" i="84" s="1" a="1"/>
  <c r="P82" i="84" s="1"/>
  <c r="Q110" i="84" s="1" a="1"/>
  <c r="Q110" i="84" s="1"/>
  <c r="E7" i="85"/>
  <c r="J189" i="84"/>
  <c r="T189" i="84"/>
  <c r="T22" i="85"/>
  <c r="J22" i="85"/>
  <c r="P96" i="85"/>
  <c r="F96" i="85"/>
  <c r="O30" i="84" a="1"/>
  <c r="O30" i="84" s="1"/>
  <c r="O53" i="84" s="1" a="1"/>
  <c r="O53" i="84" s="1"/>
  <c r="O82" i="84" s="1" a="1"/>
  <c r="O82" i="84" s="1"/>
  <c r="H77" i="84"/>
  <c r="H48" i="84"/>
  <c r="Q30" i="84" a="1"/>
  <c r="Q30" i="84" s="1"/>
  <c r="Q53" i="84" s="1" a="1"/>
  <c r="Q53" i="84" s="1"/>
  <c r="Q82" i="84" s="1" a="1"/>
  <c r="Q82" i="84" s="1"/>
  <c r="I100" i="84"/>
  <c r="J57" i="85"/>
  <c r="F77" i="85"/>
  <c r="E36" i="84"/>
  <c r="E59" i="84"/>
  <c r="E7" i="84"/>
  <c r="E88" i="84"/>
  <c r="E117" i="84"/>
  <c r="E209" i="84"/>
  <c r="E158" i="84"/>
  <c r="H82" i="84"/>
  <c r="R82" i="84"/>
  <c r="I108" i="84"/>
  <c r="S108" i="84"/>
  <c r="G185" i="83"/>
  <c r="H192" i="83" s="1"/>
  <c r="H197" i="83"/>
  <c r="R30" i="84"/>
  <c r="H30" i="84"/>
  <c r="S150" i="84"/>
  <c r="I150" i="84"/>
  <c r="R25" i="84"/>
  <c r="G13" i="84"/>
  <c r="R53" i="84"/>
  <c r="H53" i="84"/>
  <c r="P245" i="84"/>
  <c r="F245" i="84"/>
  <c r="J225" i="84"/>
  <c r="T225" i="84"/>
  <c r="O35" i="83" a="1"/>
  <c r="O35" i="83" s="1"/>
  <c r="P115" i="83" s="1" a="1"/>
  <c r="P115" i="83" s="1"/>
  <c r="F130" i="84"/>
  <c r="J170" i="84"/>
  <c r="G35" i="83" a="1"/>
  <c r="G35" i="83" s="1"/>
  <c r="H115" i="83" s="1" a="1"/>
  <c r="H115" i="83" s="1"/>
  <c r="I60" i="83"/>
  <c r="E179" i="83"/>
  <c r="E44" i="83"/>
  <c r="E124" i="83"/>
  <c r="E7" i="83"/>
  <c r="E95" i="83"/>
  <c r="H35" i="83"/>
  <c r="R35" i="83"/>
  <c r="H30" i="83"/>
  <c r="G13" i="83"/>
  <c r="H25" i="83"/>
  <c r="F35" i="83" a="1"/>
  <c r="F35" i="83" s="1"/>
  <c r="G116" i="83" s="1" a="1"/>
  <c r="G116" i="83" s="1"/>
  <c r="F108" i="83"/>
  <c r="T159" i="83"/>
  <c r="J159" i="83"/>
  <c r="E35" i="83" a="1"/>
  <c r="E35" i="83" s="1"/>
  <c r="R25" i="83"/>
  <c r="S86" i="83"/>
  <c r="I86" i="83"/>
  <c r="Q35" i="83" a="1"/>
  <c r="Q35" i="83" s="1"/>
  <c r="I115" i="83"/>
  <c r="S115" i="83"/>
  <c r="J140" i="83"/>
  <c r="G50" i="83"/>
  <c r="P73" i="83"/>
  <c r="J202" i="83"/>
  <c r="F222" i="83"/>
  <c r="H68" i="83"/>
  <c r="P222" i="83"/>
  <c r="G56" i="80"/>
  <c r="G57" i="80" s="1"/>
  <c r="F56" i="80"/>
  <c r="F57" i="80" s="1"/>
  <c r="F46" i="80"/>
  <c r="F47" i="80" s="1"/>
  <c r="F79" i="72"/>
  <c r="F78" i="72"/>
  <c r="F77" i="72"/>
  <c r="E79" i="72"/>
  <c r="E78" i="72"/>
  <c r="E77" i="72"/>
  <c r="G58" i="80"/>
  <c r="F60" i="80"/>
  <c r="F58" i="80"/>
  <c r="F59" i="80" s="1"/>
  <c r="F50" i="80"/>
  <c r="F48" i="80"/>
  <c r="Q152" i="84" l="1" a="1"/>
  <c r="Q152" i="84" s="1"/>
  <c r="R24" i="85"/>
  <c r="R59" i="85" s="1" a="1"/>
  <c r="R59" i="85" s="1"/>
  <c r="P228" i="84" a="1"/>
  <c r="P228" i="84" s="1"/>
  <c r="O20" i="88"/>
  <c r="O25" i="88" s="1" a="1"/>
  <c r="O25" i="88" s="1"/>
  <c r="O23" i="90"/>
  <c r="P25" i="85"/>
  <c r="P60" i="85" s="1" a="1"/>
  <c r="P60" i="85" s="1"/>
  <c r="N19" i="89"/>
  <c r="N24" i="89" s="1" a="1"/>
  <c r="N24" i="89" s="1"/>
  <c r="E29" i="101" a="1"/>
  <c r="E29" i="101" s="1"/>
  <c r="G29" i="101" s="1" a="1"/>
  <c r="G29" i="101" s="1"/>
  <c r="E21" i="101" a="1"/>
  <c r="E21" i="101" s="1"/>
  <c r="G21" i="101" s="1" a="1"/>
  <c r="G21" i="101" s="1"/>
  <c r="E24" i="101" a="1"/>
  <c r="E24" i="101" s="1"/>
  <c r="G24" i="101" s="1" a="1"/>
  <c r="G24" i="101" s="1"/>
  <c r="E22" i="101" a="1"/>
  <c r="E22" i="101" s="1"/>
  <c r="G22" i="101" s="1" a="1"/>
  <c r="G22" i="101" s="1"/>
  <c r="E31" i="102" a="1"/>
  <c r="E31" i="102" s="1"/>
  <c r="E32" i="102" a="1"/>
  <c r="E32" i="102" s="1"/>
  <c r="E24" i="102" a="1"/>
  <c r="E24" i="102" s="1"/>
  <c r="E28" i="102" a="1"/>
  <c r="E28" i="102" s="1"/>
  <c r="P21" i="101"/>
  <c r="Q21" i="101" s="1"/>
  <c r="Q29" i="101"/>
  <c r="Q22" i="101"/>
  <c r="E26" i="101" a="1"/>
  <c r="E26" i="101" s="1"/>
  <c r="G26" i="101" s="1" a="1"/>
  <c r="G26" i="101" s="1"/>
  <c r="Q27" i="101"/>
  <c r="E21" i="102" a="1"/>
  <c r="E21" i="102" s="1"/>
  <c r="G21" i="102" s="1" a="1"/>
  <c r="G21" i="102" s="1"/>
  <c r="E60" i="102" s="1" a="1"/>
  <c r="E60" i="102" s="1"/>
  <c r="E20" i="101" a="1"/>
  <c r="E20" i="101" s="1"/>
  <c r="G20" i="101" s="1" a="1"/>
  <c r="G20" i="101" s="1"/>
  <c r="E31" i="101" a="1"/>
  <c r="E31" i="101" s="1"/>
  <c r="G31" i="101" s="1" a="1"/>
  <c r="G31" i="101" s="1"/>
  <c r="E37" i="101" a="1"/>
  <c r="E37" i="101" s="1"/>
  <c r="G37" i="101" s="1" a="1"/>
  <c r="G37" i="101" s="1"/>
  <c r="E33" i="102" a="1"/>
  <c r="E33" i="102" s="1"/>
  <c r="E33" i="101" a="1"/>
  <c r="E33" i="101" s="1"/>
  <c r="G33" i="101" s="1" a="1"/>
  <c r="G33" i="101" s="1"/>
  <c r="E30" i="101" a="1"/>
  <c r="E30" i="101" s="1"/>
  <c r="G30" i="101" s="1" a="1"/>
  <c r="G30" i="101" s="1"/>
  <c r="E26" i="102" a="1"/>
  <c r="E26" i="102" s="1"/>
  <c r="P11" i="101"/>
  <c r="Q20" i="101"/>
  <c r="Q19" i="101"/>
  <c r="Q12" i="101"/>
  <c r="Q15" i="101"/>
  <c r="Q18" i="101"/>
  <c r="Q17" i="101"/>
  <c r="Q16" i="101"/>
  <c r="E23" i="101" a="1"/>
  <c r="E23" i="101" s="1"/>
  <c r="G23" i="101" s="1" a="1"/>
  <c r="G23" i="101" s="1"/>
  <c r="E30" i="102" a="1"/>
  <c r="E30" i="102" s="1"/>
  <c r="E37" i="102" a="1"/>
  <c r="E37" i="102" s="1"/>
  <c r="E25" i="101" a="1"/>
  <c r="E25" i="101" s="1"/>
  <c r="G25" i="101" s="1" a="1"/>
  <c r="G25" i="101" s="1"/>
  <c r="E23" i="102" a="1"/>
  <c r="E23" i="102" s="1"/>
  <c r="G23" i="102" s="1" a="1"/>
  <c r="G23" i="102" s="1"/>
  <c r="E62" i="102" s="1" a="1"/>
  <c r="E62" i="102" s="1"/>
  <c r="E32" i="101" a="1"/>
  <c r="E32" i="101" s="1"/>
  <c r="G32" i="101" s="1" a="1"/>
  <c r="G32" i="101" s="1"/>
  <c r="G20" i="103"/>
  <c r="I20" i="103" s="1" a="1"/>
  <c r="I20" i="103" s="1"/>
  <c r="I22" i="103" a="1"/>
  <c r="I22" i="103" s="1"/>
  <c r="E27" i="101" a="1"/>
  <c r="E27" i="101" s="1"/>
  <c r="G27" i="101" s="1" a="1"/>
  <c r="G27" i="101" s="1"/>
  <c r="E35" i="101" a="1"/>
  <c r="E35" i="101" s="1"/>
  <c r="G35" i="101" s="1" a="1"/>
  <c r="G35" i="101" s="1"/>
  <c r="E19" i="101" a="1"/>
  <c r="E19" i="101" s="1"/>
  <c r="G19" i="101" s="1" a="1"/>
  <c r="G19" i="101" s="1"/>
  <c r="Q14" i="101"/>
  <c r="Q13" i="101"/>
  <c r="I21" i="103" a="1"/>
  <c r="I21" i="103" s="1"/>
  <c r="E34" i="102" a="1"/>
  <c r="E34" i="102" s="1"/>
  <c r="E28" i="101" a="1"/>
  <c r="E28" i="101" s="1"/>
  <c r="G28" i="101" s="1" a="1"/>
  <c r="G28" i="101" s="1"/>
  <c r="E36" i="101" a="1"/>
  <c r="E36" i="101" s="1"/>
  <c r="G36" i="101" s="1" a="1"/>
  <c r="G36" i="101" s="1"/>
  <c r="E34" i="101" a="1"/>
  <c r="E34" i="101" s="1"/>
  <c r="G34" i="101" s="1" a="1"/>
  <c r="G34" i="101" s="1"/>
  <c r="E36" i="102" a="1"/>
  <c r="E36" i="102" s="1"/>
  <c r="G36" i="102" s="1" a="1"/>
  <c r="G36" i="102" s="1"/>
  <c r="E75" i="102" s="1" a="1"/>
  <c r="E75" i="102" s="1"/>
  <c r="E27" i="102" a="1"/>
  <c r="E27" i="102" s="1"/>
  <c r="E25" i="102" a="1"/>
  <c r="E25" i="102" s="1"/>
  <c r="E35" i="102" a="1"/>
  <c r="E35" i="102" s="1"/>
  <c r="E29" i="102" a="1"/>
  <c r="E29" i="102" s="1"/>
  <c r="G29" i="102" s="1" a="1"/>
  <c r="G29" i="102" s="1"/>
  <c r="E68" i="102" s="1" a="1"/>
  <c r="E68" i="102" s="1"/>
  <c r="E20" i="102" a="1"/>
  <c r="E20" i="102" s="1"/>
  <c r="G20" i="102" s="1" a="1"/>
  <c r="G20" i="102" s="1"/>
  <c r="E59" i="102" s="1" a="1"/>
  <c r="E59" i="102" s="1"/>
  <c r="E236" i="116" a="1"/>
  <c r="E236" i="116" s="1"/>
  <c r="J236" i="116" s="1" a="1"/>
  <c r="J236" i="116" s="1"/>
  <c r="AA237" i="116" a="1"/>
  <c r="AA237" i="116" s="1"/>
  <c r="S242" i="116" a="1"/>
  <c r="S242" i="116" s="1"/>
  <c r="AM244" i="116" a="1"/>
  <c r="AM244" i="116" s="1"/>
  <c r="AE242" i="116" a="1"/>
  <c r="AE242" i="116" s="1"/>
  <c r="AM239" i="116" a="1"/>
  <c r="AM239" i="116" s="1"/>
  <c r="W236" i="116" a="1"/>
  <c r="W236" i="116" s="1"/>
  <c r="AI240" i="116" a="1"/>
  <c r="AI240" i="116" s="1"/>
  <c r="AM237" i="116" a="1"/>
  <c r="AM237" i="116" s="1"/>
  <c r="AI244" i="116" a="1"/>
  <c r="AI244" i="116" s="1"/>
  <c r="AI239" i="116" a="1"/>
  <c r="AI239" i="116" s="1"/>
  <c r="AI243" i="116" a="1"/>
  <c r="AI243" i="116" s="1"/>
  <c r="AI237" i="116" a="1"/>
  <c r="AI237" i="116" s="1"/>
  <c r="AI238" i="116" a="1"/>
  <c r="AI238" i="116" s="1"/>
  <c r="AI245" i="116" a="1"/>
  <c r="AI245" i="116" s="1"/>
  <c r="AI241" i="116" a="1"/>
  <c r="AI241" i="116" s="1"/>
  <c r="AI242" i="116" a="1"/>
  <c r="AI242" i="116" s="1"/>
  <c r="AG236" i="116"/>
  <c r="AI236" i="116" s="1" a="1"/>
  <c r="AI236" i="116" s="1"/>
  <c r="W238" i="116" a="1"/>
  <c r="W238" i="116" s="1"/>
  <c r="W244" i="116" a="1"/>
  <c r="W244" i="116" s="1"/>
  <c r="W242" i="116" a="1"/>
  <c r="W242" i="116" s="1"/>
  <c r="AM240" i="116" a="1"/>
  <c r="AM240" i="116" s="1"/>
  <c r="AM242" i="116" a="1"/>
  <c r="AM242" i="116" s="1"/>
  <c r="AM243" i="116" a="1"/>
  <c r="AM243" i="116" s="1"/>
  <c r="AM238" i="116" a="1"/>
  <c r="AM238" i="116" s="1"/>
  <c r="AE245" i="116" a="1"/>
  <c r="AE245" i="116" s="1"/>
  <c r="AE238" i="116" a="1"/>
  <c r="AE238" i="116" s="1"/>
  <c r="AC236" i="116"/>
  <c r="AE236" i="116" s="1" a="1"/>
  <c r="AE236" i="116" s="1"/>
  <c r="AA238" i="116" a="1"/>
  <c r="AA238" i="116" s="1"/>
  <c r="AA245" i="116" a="1"/>
  <c r="AA245" i="116" s="1"/>
  <c r="AA244" i="116" a="1"/>
  <c r="AA244" i="116" s="1"/>
  <c r="Y236" i="116"/>
  <c r="AA236" i="116" s="1" a="1"/>
  <c r="AA236" i="116" s="1"/>
  <c r="W241" i="116" a="1"/>
  <c r="W241" i="116" s="1"/>
  <c r="W239" i="116" a="1"/>
  <c r="W239" i="116" s="1"/>
  <c r="W237" i="116" a="1"/>
  <c r="W237" i="116" s="1"/>
  <c r="W240" i="116" a="1"/>
  <c r="W240" i="116" s="1"/>
  <c r="S240" i="116" a="1"/>
  <c r="S240" i="116" s="1"/>
  <c r="S238" i="116" a="1"/>
  <c r="S238" i="116" s="1"/>
  <c r="S245" i="116" a="1"/>
  <c r="S245" i="116" s="1"/>
  <c r="S243" i="116" a="1"/>
  <c r="S243" i="116" s="1"/>
  <c r="S241" i="116" a="1"/>
  <c r="S241" i="116" s="1"/>
  <c r="Q236" i="116"/>
  <c r="S236" i="116" s="1" a="1"/>
  <c r="S236" i="116" s="1"/>
  <c r="AK236" i="116"/>
  <c r="AM236" i="116" s="1" a="1"/>
  <c r="AM236" i="116" s="1"/>
  <c r="AM245" i="116" a="1"/>
  <c r="AM245" i="116" s="1"/>
  <c r="AM241" i="116" a="1"/>
  <c r="AM241" i="116" s="1"/>
  <c r="AE239" i="116" a="1"/>
  <c r="AE239" i="116" s="1"/>
  <c r="AE244" i="116" a="1"/>
  <c r="AE244" i="116" s="1"/>
  <c r="AE240" i="116" a="1"/>
  <c r="AE240" i="116" s="1"/>
  <c r="AE241" i="116" a="1"/>
  <c r="AE241" i="116" s="1"/>
  <c r="AE237" i="116" a="1"/>
  <c r="AE237" i="116" s="1"/>
  <c r="AE243" i="116" a="1"/>
  <c r="AE243" i="116" s="1"/>
  <c r="AA242" i="116" a="1"/>
  <c r="AA242" i="116" s="1"/>
  <c r="AA239" i="116" a="1"/>
  <c r="AA239" i="116" s="1"/>
  <c r="AA241" i="116" a="1"/>
  <c r="AA241" i="116" s="1"/>
  <c r="AA243" i="116" a="1"/>
  <c r="AA243" i="116" s="1"/>
  <c r="AA240" i="116" a="1"/>
  <c r="AA240" i="116" s="1"/>
  <c r="W245" i="116" a="1"/>
  <c r="W245" i="116" s="1"/>
  <c r="W243" i="116" a="1"/>
  <c r="W243" i="116" s="1"/>
  <c r="S239" i="116" a="1"/>
  <c r="S239" i="116" s="1"/>
  <c r="S237" i="116" a="1"/>
  <c r="S237" i="116" s="1"/>
  <c r="S244" i="116" a="1"/>
  <c r="S244" i="116" s="1"/>
  <c r="H385" i="116" a="1"/>
  <c r="H385" i="116" s="1"/>
  <c r="J327" i="116" a="1"/>
  <c r="J327" i="116" s="1"/>
  <c r="F259" i="116" a="1"/>
  <c r="F259" i="116" s="1"/>
  <c r="G259" i="116" s="1" a="1"/>
  <c r="G259" i="116" s="1"/>
  <c r="F256" i="116" a="1"/>
  <c r="F256" i="116" s="1"/>
  <c r="G256" i="116" s="1" a="1"/>
  <c r="G256" i="116" s="1"/>
  <c r="H259" i="116" a="1"/>
  <c r="H259" i="116" s="1"/>
  <c r="H255" i="116" a="1"/>
  <c r="H255" i="116" s="1"/>
  <c r="F254" i="116" a="1"/>
  <c r="F254" i="116" s="1"/>
  <c r="G254" i="116" s="1" a="1"/>
  <c r="G254" i="116" s="1"/>
  <c r="F258" i="116" a="1"/>
  <c r="F258" i="116" s="1"/>
  <c r="G258" i="116" s="1" a="1"/>
  <c r="G258" i="116" s="1"/>
  <c r="K259" i="116" a="1"/>
  <c r="K259" i="116" s="1"/>
  <c r="K261" i="116" a="1"/>
  <c r="K261" i="116" s="1"/>
  <c r="E181" i="116"/>
  <c r="F123" i="116"/>
  <c r="I123" i="116" s="1" a="1"/>
  <c r="I123" i="116" s="1"/>
  <c r="M29" i="116" a="1"/>
  <c r="M29" i="116" s="1"/>
  <c r="N33" i="97" a="1"/>
  <c r="N33" i="97" s="1"/>
  <c r="O33" i="97" a="1"/>
  <c r="O33" i="97" s="1"/>
  <c r="Q30" i="97" a="1"/>
  <c r="Q30" i="97" s="1"/>
  <c r="N30" i="97" a="1"/>
  <c r="N30" i="97" s="1"/>
  <c r="O30" i="97" a="1"/>
  <c r="O30" i="97" s="1"/>
  <c r="P26" i="97" a="1"/>
  <c r="P26" i="97" s="1"/>
  <c r="Q26" i="97" a="1"/>
  <c r="Q26" i="97" s="1"/>
  <c r="N26" i="97" a="1"/>
  <c r="N26" i="97" s="1"/>
  <c r="N39" i="96" a="1"/>
  <c r="N39" i="96" s="1"/>
  <c r="Q33" i="96" a="1"/>
  <c r="Q33" i="96" s="1"/>
  <c r="E52" i="96" s="1"/>
  <c r="N33" i="96" a="1"/>
  <c r="N33" i="96" s="1"/>
  <c r="E49" i="96" s="1"/>
  <c r="Q38" i="96" a="1"/>
  <c r="Q38" i="96" s="1"/>
  <c r="F261" i="116" a="1"/>
  <c r="F261" i="116" s="1"/>
  <c r="G261" i="116" s="1" a="1"/>
  <c r="G261" i="116" s="1"/>
  <c r="H391" i="116" a="1"/>
  <c r="H391" i="116" s="1"/>
  <c r="K254" i="116" a="1"/>
  <c r="K254" i="116" s="1"/>
  <c r="I33" i="109" a="1"/>
  <c r="I33" i="109" s="1"/>
  <c r="H128" i="109" s="1"/>
  <c r="E155" i="116"/>
  <c r="E498" i="116"/>
  <c r="F122" i="116"/>
  <c r="G122" i="116" s="1" a="1"/>
  <c r="G122" i="116" s="1"/>
  <c r="J389" i="116" a="1"/>
  <c r="J389" i="116" s="1"/>
  <c r="F125" i="116"/>
  <c r="I125" i="116" s="1" a="1"/>
  <c r="I125" i="116" s="1"/>
  <c r="F257" i="116" a="1"/>
  <c r="F257" i="116" s="1"/>
  <c r="G257" i="116" s="1" a="1"/>
  <c r="G257" i="116" s="1"/>
  <c r="K257" i="116" a="1"/>
  <c r="K257" i="116" s="1"/>
  <c r="H254" i="116" a="1"/>
  <c r="H254" i="116" s="1"/>
  <c r="M26" i="116" a="1"/>
  <c r="M26" i="116" s="1"/>
  <c r="F126" i="116"/>
  <c r="G126" i="116" s="1" a="1"/>
  <c r="G126" i="116" s="1"/>
  <c r="E487" i="116"/>
  <c r="E54" i="116"/>
  <c r="J28" i="116" a="1"/>
  <c r="J28" i="116" s="1"/>
  <c r="K256" i="116" a="1"/>
  <c r="K256" i="116" s="1"/>
  <c r="E143" i="116"/>
  <c r="E142" i="116"/>
  <c r="J30" i="116" a="1"/>
  <c r="J30" i="116" s="1"/>
  <c r="E363" i="116"/>
  <c r="F128" i="116"/>
  <c r="G128" i="116" s="1" a="1"/>
  <c r="G128" i="116" s="1"/>
  <c r="E156" i="116"/>
  <c r="G293" i="116" a="1"/>
  <c r="G293" i="116" s="1"/>
  <c r="I293" i="116" a="1"/>
  <c r="I293" i="116" s="1"/>
  <c r="K255" i="116" a="1"/>
  <c r="K255" i="116" s="1"/>
  <c r="H383" i="116" a="1"/>
  <c r="H383" i="116" s="1"/>
  <c r="J383" i="116" a="1"/>
  <c r="J383" i="116" s="1"/>
  <c r="I320" i="116" a="1"/>
  <c r="I320" i="116" s="1"/>
  <c r="E331" i="116" s="1"/>
  <c r="J320" i="116" a="1"/>
  <c r="J320" i="116" s="1"/>
  <c r="F120" i="116"/>
  <c r="G120" i="116" s="1" a="1"/>
  <c r="G120" i="116" s="1"/>
  <c r="H463" i="116" a="1"/>
  <c r="H463" i="116" s="1"/>
  <c r="J452" i="116" a="1"/>
  <c r="J452" i="116" s="1"/>
  <c r="H452" i="116" a="1"/>
  <c r="H452" i="116" s="1"/>
  <c r="G295" i="116" a="1"/>
  <c r="G295" i="116" s="1"/>
  <c r="I295" i="116" a="1"/>
  <c r="I295" i="116" s="1"/>
  <c r="K253" i="116" a="1"/>
  <c r="K253" i="116" s="1"/>
  <c r="F253" i="116" a="1"/>
  <c r="F253" i="116" s="1"/>
  <c r="G253" i="116" s="1" a="1"/>
  <c r="G253" i="116" s="1"/>
  <c r="J390" i="116" a="1"/>
  <c r="J390" i="116" s="1"/>
  <c r="H390" i="116" a="1"/>
  <c r="H390" i="116" s="1"/>
  <c r="J27" i="116" a="1"/>
  <c r="J27" i="116" s="1"/>
  <c r="H258" i="116" a="1"/>
  <c r="H258" i="116" s="1"/>
  <c r="H454" i="116" a="1"/>
  <c r="H454" i="116" s="1"/>
  <c r="J454" i="116" a="1"/>
  <c r="J454" i="116" s="1"/>
  <c r="I286" i="116" a="1"/>
  <c r="I286" i="116" s="1"/>
  <c r="G286" i="116" a="1"/>
  <c r="G286" i="116" s="1"/>
  <c r="F260" i="116" a="1"/>
  <c r="F260" i="116" s="1"/>
  <c r="G260" i="116" s="1" a="1"/>
  <c r="G260" i="116" s="1"/>
  <c r="K260" i="116" a="1"/>
  <c r="K260" i="116" s="1"/>
  <c r="I127" i="116" a="1"/>
  <c r="I127" i="116" s="1"/>
  <c r="J451" i="116" a="1"/>
  <c r="J451" i="116" s="1"/>
  <c r="H451" i="116" a="1"/>
  <c r="H451" i="116" s="1"/>
  <c r="I288" i="116" a="1"/>
  <c r="I288" i="116" s="1"/>
  <c r="G288" i="116" a="1"/>
  <c r="G288" i="116" s="1"/>
  <c r="M23" i="116" a="1"/>
  <c r="M23" i="116" s="1"/>
  <c r="E35" i="116" s="1"/>
  <c r="J23" i="116" a="1"/>
  <c r="J23" i="116" s="1"/>
  <c r="F124" i="116"/>
  <c r="J388" i="116" a="1"/>
  <c r="J388" i="116" s="1"/>
  <c r="I290" i="116" a="1"/>
  <c r="I290" i="116" s="1"/>
  <c r="G290" i="116" a="1"/>
  <c r="G290" i="116" s="1"/>
  <c r="H261" i="116" a="1"/>
  <c r="H261" i="116" s="1"/>
  <c r="I120" i="116" a="1"/>
  <c r="I120" i="116" s="1"/>
  <c r="H386" i="116" a="1"/>
  <c r="H386" i="116" s="1"/>
  <c r="G292" i="116" a="1"/>
  <c r="G292" i="116" s="1"/>
  <c r="I292" i="116" a="1"/>
  <c r="I292" i="116" s="1"/>
  <c r="G129" i="116" a="1"/>
  <c r="G129" i="116" s="1"/>
  <c r="J472" i="116" a="1"/>
  <c r="J472" i="116" s="1"/>
  <c r="H472" i="116" a="1"/>
  <c r="H472" i="116" s="1"/>
  <c r="I296" i="116" a="1"/>
  <c r="I296" i="116" s="1"/>
  <c r="G296" i="116" a="1"/>
  <c r="G296" i="116" s="1"/>
  <c r="E53" i="116"/>
  <c r="G294" i="116" a="1"/>
  <c r="G294" i="116" s="1"/>
  <c r="I294" i="116" a="1"/>
  <c r="I294" i="116" s="1"/>
  <c r="E636" i="116"/>
  <c r="H260" i="116" a="1"/>
  <c r="H260" i="116" s="1"/>
  <c r="J470" i="116" a="1"/>
  <c r="J470" i="116" s="1"/>
  <c r="H470" i="116" a="1"/>
  <c r="H470" i="116" s="1"/>
  <c r="J32" i="116" a="1"/>
  <c r="J32" i="116" s="1"/>
  <c r="H384" i="116" a="1"/>
  <c r="H384" i="116" s="1"/>
  <c r="E426" i="116"/>
  <c r="F121" i="116"/>
  <c r="G121" i="116" s="1" a="1"/>
  <c r="G121" i="116" s="1"/>
  <c r="J79" i="116" a="1"/>
  <c r="J79" i="116" s="1"/>
  <c r="E91" i="116" s="1"/>
  <c r="G79" i="116" a="1"/>
  <c r="G79" i="116" s="1"/>
  <c r="E90" i="116" s="1"/>
  <c r="E654" i="116"/>
  <c r="E72" i="116"/>
  <c r="H253" i="116" a="1"/>
  <c r="H253" i="116" s="1"/>
  <c r="G287" i="116" a="1"/>
  <c r="G287" i="116" s="1"/>
  <c r="I287" i="116" a="1"/>
  <c r="I287" i="116" s="1"/>
  <c r="E517" i="116"/>
  <c r="J469" i="116" a="1"/>
  <c r="J469" i="116" s="1"/>
  <c r="H469" i="116" a="1"/>
  <c r="H469" i="116" s="1"/>
  <c r="K258" i="116" a="1"/>
  <c r="K258" i="116" s="1"/>
  <c r="K252" i="116" a="1"/>
  <c r="K252" i="116" s="1"/>
  <c r="H257" i="116" a="1"/>
  <c r="H257" i="116" s="1"/>
  <c r="G289" i="116" a="1"/>
  <c r="G289" i="116" s="1"/>
  <c r="I289" i="116" a="1"/>
  <c r="I289" i="116" s="1"/>
  <c r="H256" i="116" a="1"/>
  <c r="H256" i="116" s="1"/>
  <c r="E73" i="116"/>
  <c r="G291" i="116" a="1"/>
  <c r="G291" i="116" s="1"/>
  <c r="I291" i="116" a="1"/>
  <c r="I291" i="116" s="1"/>
  <c r="F255" i="116" a="1"/>
  <c r="F255" i="116" s="1"/>
  <c r="G255" i="116" s="1" a="1"/>
  <c r="G255" i="116" s="1"/>
  <c r="K158" i="109" a="1"/>
  <c r="K158" i="109" s="1"/>
  <c r="I25" i="109" a="1"/>
  <c r="I25" i="109" s="1"/>
  <c r="H120" i="109" s="1"/>
  <c r="I120" i="109" s="1"/>
  <c r="K120" i="109" s="1" a="1"/>
  <c r="K120" i="109" s="1"/>
  <c r="I92" i="109" a="1"/>
  <c r="I92" i="109" s="1"/>
  <c r="H190" i="109" s="1"/>
  <c r="I185" i="109" s="1"/>
  <c r="K185" i="109" s="1" a="1"/>
  <c r="K185" i="109" s="1"/>
  <c r="F71" i="106" a="1"/>
  <c r="F71" i="106" s="1"/>
  <c r="K173" i="109" a="1"/>
  <c r="K173" i="109" s="1"/>
  <c r="I40" i="109" a="1"/>
  <c r="I40" i="109" s="1"/>
  <c r="H135" i="109" s="1"/>
  <c r="I135" i="109" s="1"/>
  <c r="K135" i="109" s="1" a="1"/>
  <c r="K135" i="109" s="1"/>
  <c r="I42" i="109" a="1"/>
  <c r="I42" i="109" s="1"/>
  <c r="H137" i="109" s="1"/>
  <c r="I137" i="109" s="1"/>
  <c r="K137" i="109" s="1" a="1"/>
  <c r="K137" i="109" s="1"/>
  <c r="I62" i="109" a="1"/>
  <c r="I62" i="109" s="1"/>
  <c r="H160" i="109" s="1"/>
  <c r="I160" i="109" s="1"/>
  <c r="K160" i="109" s="1" a="1"/>
  <c r="K160" i="109" s="1"/>
  <c r="K121" i="109" a="1"/>
  <c r="K121" i="109" s="1"/>
  <c r="I162" i="109"/>
  <c r="K162" i="109" s="1" a="1"/>
  <c r="K162" i="109" s="1"/>
  <c r="I71" i="109" a="1"/>
  <c r="I71" i="109" s="1"/>
  <c r="H169" i="109" s="1"/>
  <c r="I166" i="109"/>
  <c r="K166" i="109" s="1" a="1"/>
  <c r="K166" i="109" s="1"/>
  <c r="I54" i="109" a="1"/>
  <c r="I54" i="109" s="1"/>
  <c r="H149" i="109" s="1"/>
  <c r="I45" i="109" a="1"/>
  <c r="I45" i="109" s="1"/>
  <c r="H140" i="109" s="1"/>
  <c r="I63" i="109" a="1"/>
  <c r="I63" i="109" s="1"/>
  <c r="H161" i="109" s="1"/>
  <c r="I161" i="109" s="1"/>
  <c r="K161" i="109" s="1" a="1"/>
  <c r="K161" i="109" s="1"/>
  <c r="I159" i="109"/>
  <c r="K159" i="109" s="1" a="1"/>
  <c r="K159" i="109" s="1"/>
  <c r="F72" i="106" a="1"/>
  <c r="F72" i="106" s="1"/>
  <c r="I38" i="109" a="1"/>
  <c r="I38" i="109" s="1"/>
  <c r="H133" i="109" s="1"/>
  <c r="I133" i="109" s="1"/>
  <c r="K133" i="109" s="1" a="1"/>
  <c r="K133" i="109" s="1"/>
  <c r="K136" i="109" a="1"/>
  <c r="K136" i="109" s="1"/>
  <c r="I82" i="109" a="1"/>
  <c r="I82" i="109" s="1"/>
  <c r="H180" i="109" s="1"/>
  <c r="F75" i="106" a="1"/>
  <c r="F75" i="106" s="1"/>
  <c r="K165" i="109" a="1"/>
  <c r="K165" i="109" s="1"/>
  <c r="I29" i="109" a="1"/>
  <c r="I29" i="109" s="1"/>
  <c r="H124" i="109" s="1"/>
  <c r="I124" i="109" s="1"/>
  <c r="K124" i="109" s="1" a="1"/>
  <c r="K124" i="109" s="1"/>
  <c r="I30" i="109" a="1"/>
  <c r="I30" i="109" s="1"/>
  <c r="H125" i="109" s="1"/>
  <c r="I125" i="109" s="1"/>
  <c r="K125" i="109" s="1" a="1"/>
  <c r="K125" i="109" s="1"/>
  <c r="I74" i="109" a="1"/>
  <c r="I74" i="109" s="1"/>
  <c r="H172" i="109" s="1"/>
  <c r="I117" i="109"/>
  <c r="K117" i="109" s="1" a="1"/>
  <c r="K117" i="109" s="1"/>
  <c r="I23" i="109" a="1"/>
  <c r="I23" i="109" s="1"/>
  <c r="H118" i="109" s="1"/>
  <c r="I118" i="109" s="1"/>
  <c r="K118" i="109" s="1" a="1"/>
  <c r="K118" i="109" s="1"/>
  <c r="K178" i="109" a="1"/>
  <c r="K178" i="109" s="1"/>
  <c r="I157" i="109"/>
  <c r="K157" i="109" s="1" a="1"/>
  <c r="K157" i="109" s="1"/>
  <c r="I21" i="109" a="1"/>
  <c r="I21" i="109" s="1"/>
  <c r="H116" i="109" s="1"/>
  <c r="I85" i="109" a="1"/>
  <c r="I85" i="109" s="1"/>
  <c r="H183" i="109" s="1"/>
  <c r="I177" i="109"/>
  <c r="K177" i="109" s="1" a="1"/>
  <c r="K177" i="109" s="1"/>
  <c r="I134" i="109"/>
  <c r="K134" i="109" s="1" a="1"/>
  <c r="K134" i="109" s="1"/>
  <c r="I77" i="109" a="1"/>
  <c r="I77" i="109" s="1"/>
  <c r="H175" i="109" s="1"/>
  <c r="I175" i="109" s="1"/>
  <c r="K175" i="109" s="1" a="1"/>
  <c r="K175" i="109" s="1"/>
  <c r="G30" i="102" a="1"/>
  <c r="G30" i="102" s="1"/>
  <c r="E69" i="102" s="1" a="1"/>
  <c r="E69" i="102" s="1"/>
  <c r="I164" i="109"/>
  <c r="K164" i="109" s="1" a="1"/>
  <c r="K164" i="109" s="1"/>
  <c r="I86" i="109" a="1"/>
  <c r="I86" i="109" s="1"/>
  <c r="H184" i="109" s="1"/>
  <c r="I174" i="109"/>
  <c r="K174" i="109" s="1" a="1"/>
  <c r="K174" i="109" s="1"/>
  <c r="I69" i="109" a="1"/>
  <c r="I69" i="109" s="1"/>
  <c r="H167" i="109" s="1"/>
  <c r="I167" i="109" s="1"/>
  <c r="K167" i="109" s="1" a="1"/>
  <c r="K167" i="109" s="1"/>
  <c r="I53" i="109" a="1"/>
  <c r="I53" i="109" s="1"/>
  <c r="H148" i="109" s="1"/>
  <c r="I78" i="109" a="1"/>
  <c r="I78" i="109" s="1"/>
  <c r="H176" i="109" s="1"/>
  <c r="I176" i="109" s="1"/>
  <c r="K176" i="109" s="1" a="1"/>
  <c r="K176" i="109" s="1"/>
  <c r="I126" i="109"/>
  <c r="K126" i="109" s="1" a="1"/>
  <c r="K126" i="109" s="1"/>
  <c r="I35" i="109" a="1"/>
  <c r="I35" i="109" s="1"/>
  <c r="H130" i="109" s="1"/>
  <c r="I119" i="109"/>
  <c r="K119" i="109" s="1" a="1"/>
  <c r="K119" i="109" s="1"/>
  <c r="K163" i="109" a="1"/>
  <c r="K163" i="109" s="1"/>
  <c r="I46" i="109" a="1"/>
  <c r="I46" i="109" s="1"/>
  <c r="H141" i="109" s="1"/>
  <c r="I27" i="109" a="1"/>
  <c r="I27" i="109" s="1"/>
  <c r="H122" i="109" s="1"/>
  <c r="I122" i="109" s="1"/>
  <c r="K122" i="109" s="1" a="1"/>
  <c r="K122" i="109" s="1"/>
  <c r="I37" i="109" a="1"/>
  <c r="I37" i="109" s="1"/>
  <c r="H132" i="109" s="1"/>
  <c r="I132" i="109" s="1"/>
  <c r="K132" i="109" s="1" a="1"/>
  <c r="K132" i="109" s="1"/>
  <c r="F73" i="106" a="1"/>
  <c r="F73" i="106" s="1"/>
  <c r="F68" i="106" a="1"/>
  <c r="F68" i="106" s="1"/>
  <c r="F70" i="106" a="1"/>
  <c r="F70" i="106" s="1"/>
  <c r="F74" i="106" a="1"/>
  <c r="F74" i="106" s="1"/>
  <c r="F69" i="106" a="1"/>
  <c r="F69" i="106" s="1"/>
  <c r="G27" i="102" a="1"/>
  <c r="G27" i="102" s="1"/>
  <c r="E66" i="102" s="1" a="1"/>
  <c r="E66" i="102" s="1"/>
  <c r="G33" i="102" a="1"/>
  <c r="G33" i="102" s="1"/>
  <c r="E72" i="102" s="1" a="1"/>
  <c r="E72" i="102" s="1"/>
  <c r="O116" i="83" a="1"/>
  <c r="O116" i="83" s="1"/>
  <c r="G26" i="102" a="1"/>
  <c r="G26" i="102" s="1"/>
  <c r="E65" i="102" s="1" a="1"/>
  <c r="E65" i="102" s="1"/>
  <c r="E31" i="104"/>
  <c r="G32" i="102" a="1"/>
  <c r="G32" i="102" s="1"/>
  <c r="E71" i="102" s="1" a="1"/>
  <c r="E71" i="102" s="1"/>
  <c r="G25" i="102" a="1"/>
  <c r="G25" i="102" s="1"/>
  <c r="E64" i="102" s="1" a="1"/>
  <c r="E64" i="102" s="1"/>
  <c r="G28" i="102" a="1"/>
  <c r="G28" i="102" s="1"/>
  <c r="E67" i="102" s="1" a="1"/>
  <c r="E67" i="102" s="1"/>
  <c r="G24" i="102" a="1"/>
  <c r="G24" i="102" s="1"/>
  <c r="E63" i="102" s="1" a="1"/>
  <c r="E63" i="102" s="1"/>
  <c r="G34" i="102" a="1"/>
  <c r="G34" i="102" s="1"/>
  <c r="E73" i="102" s="1" a="1"/>
  <c r="E73" i="102" s="1"/>
  <c r="G22" i="102" a="1"/>
  <c r="G22" i="102" s="1"/>
  <c r="E61" i="102" s="1" a="1"/>
  <c r="E61" i="102" s="1"/>
  <c r="G37" i="102" a="1"/>
  <c r="G37" i="102" s="1"/>
  <c r="E76" i="102" s="1" a="1"/>
  <c r="E76" i="102" s="1"/>
  <c r="G35" i="102" a="1"/>
  <c r="G35" i="102" s="1"/>
  <c r="E74" i="102" s="1" a="1"/>
  <c r="E74" i="102" s="1"/>
  <c r="G31" i="102" a="1"/>
  <c r="G31" i="102" s="1"/>
  <c r="E70" i="102" s="1" a="1"/>
  <c r="E70" i="102" s="1"/>
  <c r="N108" i="101"/>
  <c r="Q39" i="97" a="1"/>
  <c r="Q39" i="97" s="1"/>
  <c r="Q29" i="96" a="1"/>
  <c r="Q29" i="96" s="1"/>
  <c r="O29" i="97" a="1"/>
  <c r="O29" i="97" s="1"/>
  <c r="N29" i="97" a="1"/>
  <c r="N29" i="97" s="1"/>
  <c r="P29" i="97" a="1"/>
  <c r="P29" i="97" s="1"/>
  <c r="P25" i="97" a="1"/>
  <c r="P25" i="97" s="1"/>
  <c r="O25" i="97" a="1"/>
  <c r="O25" i="97" s="1"/>
  <c r="N25" i="97" a="1"/>
  <c r="N25" i="97" s="1"/>
  <c r="P30" i="97" a="1"/>
  <c r="P30" i="97" s="1"/>
  <c r="O36" i="97" a="1"/>
  <c r="O36" i="97" s="1"/>
  <c r="N36" i="97" a="1"/>
  <c r="N36" i="97" s="1"/>
  <c r="P36" i="97" a="1"/>
  <c r="P36" i="97" s="1"/>
  <c r="N37" i="97" a="1"/>
  <c r="N37" i="97" s="1"/>
  <c r="O37" i="97" a="1"/>
  <c r="O37" i="97" s="1"/>
  <c r="P37" i="97" a="1"/>
  <c r="P37" i="97" s="1"/>
  <c r="Q36" i="97" a="1"/>
  <c r="Q36" i="97" s="1"/>
  <c r="Q29" i="97" a="1"/>
  <c r="Q29" i="97" s="1"/>
  <c r="P32" i="97" a="1"/>
  <c r="P32" i="97" s="1"/>
  <c r="O32" i="97" a="1"/>
  <c r="O32" i="97" s="1"/>
  <c r="N32" i="97" a="1"/>
  <c r="N32" i="97" s="1"/>
  <c r="P39" i="97" a="1"/>
  <c r="P39" i="97" s="1"/>
  <c r="O39" i="97" a="1"/>
  <c r="O39" i="97" s="1"/>
  <c r="N39" i="97" a="1"/>
  <c r="N39" i="97" s="1"/>
  <c r="Q32" i="97" a="1"/>
  <c r="Q32" i="97" s="1"/>
  <c r="Q31" i="96" a="1"/>
  <c r="Q31" i="96" s="1"/>
  <c r="O32" i="96" a="1"/>
  <c r="O32" i="96" s="1"/>
  <c r="N32" i="96" a="1"/>
  <c r="N32" i="96" s="1"/>
  <c r="P32" i="96" a="1"/>
  <c r="P32" i="96" s="1"/>
  <c r="N36" i="96" a="1"/>
  <c r="N36" i="96" s="1"/>
  <c r="Q36" i="96" a="1"/>
  <c r="Q36" i="96" s="1"/>
  <c r="E58" i="96" s="1"/>
  <c r="P36" i="96" a="1"/>
  <c r="P36" i="96" s="1"/>
  <c r="O36" i="96" a="1"/>
  <c r="O36" i="96" s="1"/>
  <c r="O39" i="96" a="1"/>
  <c r="O39" i="96" s="1"/>
  <c r="Q37" i="96" a="1"/>
  <c r="Q37" i="96" s="1"/>
  <c r="P39" i="96" a="1"/>
  <c r="P39" i="96" s="1"/>
  <c r="N35" i="96" a="1"/>
  <c r="N35" i="96" s="1"/>
  <c r="N37" i="96" a="1"/>
  <c r="N37" i="96" s="1"/>
  <c r="Q26" i="96" a="1"/>
  <c r="Q26" i="96" s="1"/>
  <c r="P26" i="96" a="1"/>
  <c r="P26" i="96" s="1"/>
  <c r="O26" i="96" a="1"/>
  <c r="O26" i="96" s="1"/>
  <c r="N26" i="96" a="1"/>
  <c r="N26" i="96" s="1"/>
  <c r="P30" i="96" a="1"/>
  <c r="P30" i="96" s="1"/>
  <c r="O30" i="96" a="1"/>
  <c r="O30" i="96" s="1"/>
  <c r="N30" i="96" a="1"/>
  <c r="N30" i="96" s="1"/>
  <c r="O35" i="96" a="1"/>
  <c r="O35" i="96" s="1"/>
  <c r="O37" i="96" a="1"/>
  <c r="O37" i="96" s="1"/>
  <c r="Q25" i="96" a="1"/>
  <c r="Q25" i="96" s="1"/>
  <c r="P25" i="96" a="1"/>
  <c r="P25" i="96" s="1"/>
  <c r="O25" i="96" a="1"/>
  <c r="O25" i="96" s="1"/>
  <c r="N25" i="96" a="1"/>
  <c r="N25" i="96" s="1"/>
  <c r="Q30" i="96" a="1"/>
  <c r="Q30" i="96" s="1"/>
  <c r="P35" i="96" a="1"/>
  <c r="P35" i="96" s="1"/>
  <c r="N38" i="96" a="1"/>
  <c r="N38" i="96" s="1"/>
  <c r="Q28" i="96" a="1"/>
  <c r="Q28" i="96" s="1"/>
  <c r="O38" i="96" a="1"/>
  <c r="O38" i="96" s="1"/>
  <c r="Q32" i="96" a="1"/>
  <c r="Q32" i="96" s="1"/>
  <c r="P33" i="96" a="1"/>
  <c r="P33" i="96" s="1"/>
  <c r="E51" i="96" s="1"/>
  <c r="N28" i="96" a="1"/>
  <c r="N28" i="96" s="1"/>
  <c r="N34" i="96" a="1"/>
  <c r="N34" i="96" s="1"/>
  <c r="P38" i="96" a="1"/>
  <c r="P38" i="96" s="1"/>
  <c r="O28" i="96" a="1"/>
  <c r="O28" i="96" s="1"/>
  <c r="O34" i="96" a="1"/>
  <c r="O34" i="96" s="1"/>
  <c r="P34" i="96" a="1"/>
  <c r="P34" i="96" s="1"/>
  <c r="N27" i="96" a="1"/>
  <c r="N27" i="96" s="1"/>
  <c r="Q27" i="96" a="1"/>
  <c r="Q27" i="96" s="1"/>
  <c r="P27" i="96" a="1"/>
  <c r="P27" i="96" s="1"/>
  <c r="O27" i="96" a="1"/>
  <c r="O27" i="96" s="1"/>
  <c r="P31" i="96" a="1"/>
  <c r="P31" i="96" s="1"/>
  <c r="O31" i="96" a="1"/>
  <c r="O31" i="96" s="1"/>
  <c r="N31" i="96" a="1"/>
  <c r="N31" i="96" s="1"/>
  <c r="P29" i="96" a="1"/>
  <c r="P29" i="96" s="1"/>
  <c r="O29" i="96" a="1"/>
  <c r="O29" i="96" s="1"/>
  <c r="N29" i="96" a="1"/>
  <c r="N29" i="96" s="1"/>
  <c r="E41" i="92"/>
  <c r="E50" i="92"/>
  <c r="O117" i="83" a="1"/>
  <c r="O117" i="83" s="1"/>
  <c r="O87" i="83" a="1"/>
  <c r="O87" i="83" s="1"/>
  <c r="P203" i="83" s="1" a="1"/>
  <c r="P203" i="83" s="1"/>
  <c r="O28" i="90" a="1"/>
  <c r="O28" i="90" s="1"/>
  <c r="Q117" i="83" a="1"/>
  <c r="Q117" i="83" s="1"/>
  <c r="O110" i="84" a="1"/>
  <c r="O110" i="84" s="1"/>
  <c r="E108" i="84" a="1"/>
  <c r="E108" i="84" s="1"/>
  <c r="O108" i="84" a="1"/>
  <c r="O108" i="84" s="1"/>
  <c r="Q88" i="83" a="1"/>
  <c r="Q88" i="83" s="1"/>
  <c r="R204" i="83" s="1" a="1"/>
  <c r="R204" i="83" s="1"/>
  <c r="Q116" i="83" a="1"/>
  <c r="Q116" i="83" s="1"/>
  <c r="E89" i="83" a="1"/>
  <c r="E89" i="83" s="1"/>
  <c r="F205" i="83" s="1" a="1"/>
  <c r="F205" i="83" s="1"/>
  <c r="E117" i="83" a="1"/>
  <c r="E117" i="83" s="1"/>
  <c r="F170" i="83" s="1" a="1"/>
  <c r="F170" i="83" s="1"/>
  <c r="F217" i="83" s="1" a="1"/>
  <c r="F217" i="83" s="1"/>
  <c r="E111" i="84" a="1"/>
  <c r="E111" i="84" s="1"/>
  <c r="O88" i="83" a="1"/>
  <c r="O88" i="83" s="1"/>
  <c r="P204" i="83" s="1" a="1"/>
  <c r="P204" i="83" s="1"/>
  <c r="T22" i="87"/>
  <c r="J22" i="87"/>
  <c r="H57" i="85" a="1"/>
  <c r="H57" i="85" s="1"/>
  <c r="P88" i="83" a="1"/>
  <c r="P88" i="83" s="1"/>
  <c r="Q204" i="83" s="1" a="1"/>
  <c r="Q204" i="83" s="1"/>
  <c r="E116" i="83" a="1"/>
  <c r="E116" i="83" s="1"/>
  <c r="F164" i="83" s="1" a="1"/>
  <c r="F164" i="83" s="1"/>
  <c r="F211" i="83" s="1" a="1"/>
  <c r="F211" i="83" s="1"/>
  <c r="E88" i="83" a="1"/>
  <c r="E88" i="83" s="1"/>
  <c r="F204" i="83" s="1" a="1"/>
  <c r="F204" i="83" s="1"/>
  <c r="F86" i="83" a="1"/>
  <c r="F86" i="83" s="1"/>
  <c r="G202" i="83" s="1" a="1"/>
  <c r="G202" i="83" s="1"/>
  <c r="P87" i="83" a="1"/>
  <c r="P87" i="83" s="1"/>
  <c r="Q203" i="83" s="1" a="1"/>
  <c r="Q203" i="83" s="1"/>
  <c r="Q87" i="83" a="1"/>
  <c r="Q87" i="83" s="1"/>
  <c r="R203" i="83" s="1" a="1"/>
  <c r="R203" i="83" s="1"/>
  <c r="P116" i="83" a="1"/>
  <c r="P116" i="83" s="1"/>
  <c r="P117" i="83" a="1"/>
  <c r="P117" i="83" s="1"/>
  <c r="O109" i="84" a="1"/>
  <c r="O109" i="84" s="1"/>
  <c r="R87" i="83" a="1"/>
  <c r="R87" i="83" s="1"/>
  <c r="S203" i="83" s="1" a="1"/>
  <c r="S203" i="83" s="1"/>
  <c r="H88" i="83" a="1"/>
  <c r="H88" i="83" s="1"/>
  <c r="I204" i="83" s="1" a="1"/>
  <c r="I204" i="83" s="1"/>
  <c r="F227" i="84" a="1"/>
  <c r="F227" i="84" s="1"/>
  <c r="E152" i="84" a="1"/>
  <c r="E152" i="84" s="1"/>
  <c r="F201" i="84" s="1" a="1"/>
  <c r="F201" i="84" s="1"/>
  <c r="H87" i="83" a="1"/>
  <c r="H87" i="83" s="1"/>
  <c r="I203" i="83" s="1" a="1"/>
  <c r="I203" i="83" s="1"/>
  <c r="E109" i="84" a="1"/>
  <c r="E109" i="84" s="1"/>
  <c r="F23" i="85" s="1"/>
  <c r="F58" i="85" s="1" a="1"/>
  <c r="F58" i="85" s="1"/>
  <c r="Q109" i="84" a="1"/>
  <c r="Q109" i="84" s="1"/>
  <c r="R23" i="85" s="1"/>
  <c r="R58" i="85" s="1" a="1"/>
  <c r="R58" i="85" s="1"/>
  <c r="H117" i="83" a="1"/>
  <c r="H117" i="83" s="1"/>
  <c r="I173" i="83" s="1" a="1"/>
  <c r="I173" i="83" s="1"/>
  <c r="I220" i="83" s="1" a="1"/>
  <c r="I220" i="83" s="1"/>
  <c r="H116" i="83" a="1"/>
  <c r="H116" i="83" s="1"/>
  <c r="I165" i="83" s="1" a="1"/>
  <c r="I165" i="83" s="1"/>
  <c r="I212" i="83" s="1" a="1"/>
  <c r="I212" i="83" s="1"/>
  <c r="Q111" i="84" a="1"/>
  <c r="Q111" i="84" s="1"/>
  <c r="H86" i="83" a="1"/>
  <c r="H86" i="83" s="1"/>
  <c r="I202" i="83" s="1" a="1"/>
  <c r="I202" i="83" s="1"/>
  <c r="Q108" i="84" a="1"/>
  <c r="Q108" i="84" s="1"/>
  <c r="R199" i="84" a="1"/>
  <c r="R199" i="84" s="1"/>
  <c r="R202" i="84" a="1"/>
  <c r="R202" i="84" s="1"/>
  <c r="R201" i="84" a="1"/>
  <c r="R201" i="84" s="1"/>
  <c r="R200" i="84" a="1"/>
  <c r="R200" i="84" s="1"/>
  <c r="R203" i="84" a="1"/>
  <c r="R203" i="84" s="1"/>
  <c r="I162" i="83" a="1"/>
  <c r="I162" i="83" s="1"/>
  <c r="I209" i="83" s="1" a="1"/>
  <c r="I209" i="83" s="1"/>
  <c r="I161" i="83" a="1"/>
  <c r="I161" i="83" s="1"/>
  <c r="I208" i="83" s="1" a="1"/>
  <c r="I208" i="83" s="1"/>
  <c r="I160" i="83" a="1"/>
  <c r="I160" i="83" s="1"/>
  <c r="I207" i="83" s="1" a="1"/>
  <c r="I207" i="83" s="1"/>
  <c r="I163" i="83" a="1"/>
  <c r="I163" i="83" s="1"/>
  <c r="I210" i="83" s="1" a="1"/>
  <c r="I210" i="83" s="1"/>
  <c r="H111" i="84" a="1"/>
  <c r="H111" i="84" s="1"/>
  <c r="H108" i="84" a="1"/>
  <c r="H108" i="84" s="1"/>
  <c r="I22" i="85" s="1"/>
  <c r="I57" i="85" s="1" a="1"/>
  <c r="I57" i="85" s="1"/>
  <c r="H110" i="84" a="1"/>
  <c r="H110" i="84" s="1"/>
  <c r="I24" i="85" s="1"/>
  <c r="I59" i="85" s="1" a="1"/>
  <c r="I59" i="85" s="1"/>
  <c r="H109" i="84" a="1"/>
  <c r="H109" i="84" s="1"/>
  <c r="I23" i="85" s="1"/>
  <c r="I58" i="85" s="1" a="1"/>
  <c r="I58" i="85" s="1"/>
  <c r="H89" i="83" a="1"/>
  <c r="H89" i="83" s="1"/>
  <c r="I205" i="83" s="1" a="1"/>
  <c r="I205" i="83" s="1"/>
  <c r="R108" i="84" a="1"/>
  <c r="R108" i="84" s="1"/>
  <c r="S22" i="85" s="1"/>
  <c r="S57" i="85" s="1" a="1"/>
  <c r="S57" i="85" s="1"/>
  <c r="R111" i="84" a="1"/>
  <c r="R111" i="84" s="1"/>
  <c r="R110" i="84" a="1"/>
  <c r="R110" i="84" s="1"/>
  <c r="S24" i="85" s="1"/>
  <c r="S59" i="85" s="1" a="1"/>
  <c r="S59" i="85" s="1"/>
  <c r="R109" i="84" a="1"/>
  <c r="R109" i="84" s="1"/>
  <c r="S23" i="85" s="1"/>
  <c r="S58" i="85" s="1" a="1"/>
  <c r="S58" i="85" s="1"/>
  <c r="F159" i="83" a="1"/>
  <c r="F159" i="83" s="1"/>
  <c r="F206" i="83" s="1" a="1"/>
  <c r="F206" i="83" s="1"/>
  <c r="R20" i="84"/>
  <c r="H20" i="84"/>
  <c r="F109" i="84" a="1"/>
  <c r="F109" i="84" s="1"/>
  <c r="G23" i="85" s="1"/>
  <c r="G58" i="85" s="1" a="1"/>
  <c r="G58" i="85" s="1"/>
  <c r="F111" i="84" a="1"/>
  <c r="F111" i="84" s="1"/>
  <c r="F108" i="84" a="1"/>
  <c r="F108" i="84" s="1"/>
  <c r="G22" i="85" s="1"/>
  <c r="G57" i="85" s="1" a="1"/>
  <c r="G57" i="85" s="1"/>
  <c r="F110" i="84" a="1"/>
  <c r="F110" i="84" s="1"/>
  <c r="G24" i="85" s="1"/>
  <c r="G59" i="85" s="1" a="1"/>
  <c r="G59" i="85" s="1"/>
  <c r="R227" i="84" a="1"/>
  <c r="R227" i="84" s="1"/>
  <c r="G109" i="84" a="1"/>
  <c r="G109" i="84" s="1"/>
  <c r="H23" i="85" s="1"/>
  <c r="H58" i="85" s="1" a="1"/>
  <c r="H58" i="85" s="1"/>
  <c r="G111" i="84" a="1"/>
  <c r="G111" i="84" s="1"/>
  <c r="G108" i="84" a="1"/>
  <c r="G108" i="84" s="1"/>
  <c r="H22" i="85" s="1"/>
  <c r="G110" i="84" a="1"/>
  <c r="G110" i="84" s="1"/>
  <c r="H24" i="85" s="1"/>
  <c r="H59" i="85" s="1" a="1"/>
  <c r="H59" i="85" s="1"/>
  <c r="H166" i="83" a="1"/>
  <c r="H166" i="83" s="1"/>
  <c r="H213" i="83" s="1" a="1"/>
  <c r="H213" i="83" s="1"/>
  <c r="G115" i="83" a="1"/>
  <c r="G115" i="83" s="1"/>
  <c r="P108" i="84" a="1"/>
  <c r="P108" i="84" s="1"/>
  <c r="Q22" i="85" s="1"/>
  <c r="Q57" i="85" s="1" a="1"/>
  <c r="Q57" i="85" s="1"/>
  <c r="P110" i="84" a="1"/>
  <c r="P110" i="84" s="1"/>
  <c r="Q24" i="85" s="1"/>
  <c r="Q59" i="85" s="1" a="1"/>
  <c r="Q59" i="85" s="1"/>
  <c r="P111" i="84" a="1"/>
  <c r="P111" i="84" s="1"/>
  <c r="P109" i="84" a="1"/>
  <c r="P109" i="84" s="1"/>
  <c r="Q23" i="85" s="1"/>
  <c r="Q58" i="85" s="1" a="1"/>
  <c r="Q58" i="85" s="1"/>
  <c r="R88" i="83" a="1"/>
  <c r="R88" i="83" s="1"/>
  <c r="S204" i="83" s="1" a="1"/>
  <c r="S204" i="83" s="1"/>
  <c r="R116" i="83" a="1"/>
  <c r="R116" i="83" s="1"/>
  <c r="F161" i="83" a="1"/>
  <c r="F161" i="83" s="1"/>
  <c r="F208" i="83" s="1" a="1"/>
  <c r="F208" i="83" s="1"/>
  <c r="I159" i="83" a="1"/>
  <c r="I159" i="83" s="1"/>
  <c r="I206" i="83" s="1" a="1"/>
  <c r="I206" i="83" s="1"/>
  <c r="F160" i="83" a="1"/>
  <c r="F160" i="83" s="1"/>
  <c r="F207" i="83" s="1" a="1"/>
  <c r="F207" i="83" s="1"/>
  <c r="R117" i="83" a="1"/>
  <c r="R117" i="83" s="1"/>
  <c r="F87" i="83" a="1"/>
  <c r="F87" i="83" s="1"/>
  <c r="G203" i="83" s="1" a="1"/>
  <c r="G203" i="83" s="1"/>
  <c r="R20" i="83"/>
  <c r="H20" i="83"/>
  <c r="G89" i="83" a="1"/>
  <c r="G89" i="83" s="1"/>
  <c r="H205" i="83" s="1" a="1"/>
  <c r="H205" i="83" s="1"/>
  <c r="F163" i="83" a="1"/>
  <c r="F163" i="83" s="1"/>
  <c r="F210" i="83" s="1" a="1"/>
  <c r="F210" i="83" s="1"/>
  <c r="H167" i="83" a="1"/>
  <c r="H167" i="83" s="1"/>
  <c r="H214" i="83" s="1" a="1"/>
  <c r="H214" i="83" s="1"/>
  <c r="F115" i="83" a="1"/>
  <c r="F115" i="83" s="1"/>
  <c r="E86" i="83" a="1"/>
  <c r="E86" i="83" s="1"/>
  <c r="F202" i="83" s="1" a="1"/>
  <c r="F202" i="83" s="1"/>
  <c r="E87" i="83" a="1"/>
  <c r="E87" i="83" s="1"/>
  <c r="F203" i="83" s="1" a="1"/>
  <c r="F203" i="83" s="1"/>
  <c r="F117" i="83" a="1"/>
  <c r="F117" i="83" s="1"/>
  <c r="F88" i="83" a="1"/>
  <c r="F88" i="83" s="1"/>
  <c r="G204" i="83" s="1" a="1"/>
  <c r="G204" i="83" s="1"/>
  <c r="G87" i="83" a="1"/>
  <c r="G87" i="83" s="1"/>
  <c r="H203" i="83" s="1" a="1"/>
  <c r="H203" i="83" s="1"/>
  <c r="G117" i="83" a="1"/>
  <c r="G117" i="83" s="1"/>
  <c r="H164" i="83" a="1"/>
  <c r="H164" i="83" s="1"/>
  <c r="H211" i="83" s="1" a="1"/>
  <c r="H211" i="83" s="1"/>
  <c r="F89" i="83" a="1"/>
  <c r="F89" i="83" s="1"/>
  <c r="G205" i="83" s="1" a="1"/>
  <c r="G205" i="83" s="1"/>
  <c r="F162" i="83" a="1"/>
  <c r="F162" i="83" s="1"/>
  <c r="F209" i="83" s="1" a="1"/>
  <c r="F209" i="83" s="1"/>
  <c r="H165" i="83" a="1"/>
  <c r="H165" i="83" s="1"/>
  <c r="H212" i="83" s="1" a="1"/>
  <c r="H212" i="83" s="1"/>
  <c r="H168" i="83" a="1"/>
  <c r="H168" i="83" s="1"/>
  <c r="H215" i="83" s="1" a="1"/>
  <c r="H215" i="83" s="1"/>
  <c r="R115" i="83" a="1"/>
  <c r="R115" i="83" s="1"/>
  <c r="G86" i="83" a="1"/>
  <c r="G86" i="83" s="1"/>
  <c r="H202" i="83" s="1" a="1"/>
  <c r="H202" i="83" s="1"/>
  <c r="G88" i="83" a="1"/>
  <c r="G88" i="83" s="1"/>
  <c r="H204" i="83" s="1" a="1"/>
  <c r="H204" i="83" s="1"/>
  <c r="F116" i="83" a="1"/>
  <c r="F116" i="83" s="1"/>
  <c r="F36" i="13" a="1"/>
  <c r="F36" i="13" s="1"/>
  <c r="I36" i="13" s="1"/>
  <c r="E36" i="13" a="1"/>
  <c r="E36" i="13" s="1"/>
  <c r="P226" i="84" l="1" a="1"/>
  <c r="P226" i="84" s="1"/>
  <c r="P23" i="85"/>
  <c r="P58" i="85" s="1" a="1"/>
  <c r="P58" i="85" s="1"/>
  <c r="R228" i="84" a="1"/>
  <c r="R228" i="84" s="1"/>
  <c r="Q20" i="88"/>
  <c r="Q25" i="88" s="1" a="1"/>
  <c r="Q25" i="88" s="1"/>
  <c r="R25" i="85"/>
  <c r="R60" i="85" s="1" a="1"/>
  <c r="R60" i="85" s="1"/>
  <c r="P19" i="89"/>
  <c r="P24" i="89" s="1" a="1"/>
  <c r="P24" i="89" s="1"/>
  <c r="Q23" i="90"/>
  <c r="Q28" i="90" s="1" a="1"/>
  <c r="Q28" i="90" s="1"/>
  <c r="S228" i="84" a="1"/>
  <c r="S228" i="84" s="1"/>
  <c r="S25" i="85"/>
  <c r="S60" i="85" s="1" a="1"/>
  <c r="S60" i="85" s="1"/>
  <c r="Q19" i="89"/>
  <c r="Q24" i="89" s="1" a="1"/>
  <c r="Q24" i="89" s="1"/>
  <c r="R23" i="90"/>
  <c r="R28" i="90" s="1" a="1"/>
  <c r="R28" i="90" s="1"/>
  <c r="R20" i="88"/>
  <c r="R25" i="88" s="1" a="1"/>
  <c r="R25" i="88" s="1"/>
  <c r="R240" i="84" a="1"/>
  <c r="R240" i="84" s="1"/>
  <c r="R33" i="87"/>
  <c r="R37" i="85"/>
  <c r="R72" i="85" s="1" a="1"/>
  <c r="R72" i="85" s="1"/>
  <c r="R36" i="87"/>
  <c r="R40" i="85"/>
  <c r="R241" i="84" a="1"/>
  <c r="R241" i="84" s="1"/>
  <c r="R34" i="87"/>
  <c r="R38" i="85"/>
  <c r="R73" i="85" s="1" a="1"/>
  <c r="R73" i="85" s="1"/>
  <c r="R242" i="84" a="1"/>
  <c r="R242" i="84" s="1"/>
  <c r="R39" i="85"/>
  <c r="R74" i="85" s="1" a="1"/>
  <c r="R74" i="85" s="1"/>
  <c r="R35" i="87"/>
  <c r="P225" i="84" a="1"/>
  <c r="P225" i="84" s="1"/>
  <c r="P22" i="85"/>
  <c r="P57" i="85" s="1" a="1"/>
  <c r="P57" i="85" s="1"/>
  <c r="Q228" i="84" a="1"/>
  <c r="Q228" i="84" s="1"/>
  <c r="P23" i="90"/>
  <c r="P28" i="90" s="1" a="1"/>
  <c r="P28" i="90" s="1"/>
  <c r="P20" i="88"/>
  <c r="P25" i="88" s="1" a="1"/>
  <c r="P25" i="88" s="1"/>
  <c r="Q25" i="85"/>
  <c r="Q60" i="85" s="1" a="1"/>
  <c r="Q60" i="85" s="1"/>
  <c r="O19" i="89"/>
  <c r="O24" i="89" s="1" a="1"/>
  <c r="O24" i="89" s="1"/>
  <c r="R239" i="84" a="1"/>
  <c r="R239" i="84" s="1"/>
  <c r="R32" i="87"/>
  <c r="R29" i="86"/>
  <c r="R36" i="86" s="1" a="1"/>
  <c r="R36" i="86" s="1"/>
  <c r="R57" i="86" s="1" a="1"/>
  <c r="R57" i="86" s="1"/>
  <c r="R36" i="85"/>
  <c r="R71" i="85" s="1" a="1"/>
  <c r="R71" i="85" s="1"/>
  <c r="R225" i="84" a="1"/>
  <c r="R225" i="84" s="1"/>
  <c r="R22" i="85"/>
  <c r="R57" i="85" s="1" a="1"/>
  <c r="R57" i="85" s="1"/>
  <c r="O152" i="84" a="1"/>
  <c r="O152" i="84" s="1"/>
  <c r="P200" i="84" s="1" a="1"/>
  <c r="P200" i="84" s="1"/>
  <c r="P24" i="85"/>
  <c r="P59" i="85" s="1" a="1"/>
  <c r="P59" i="85" s="1"/>
  <c r="I228" i="84" a="1"/>
  <c r="I228" i="84" s="1"/>
  <c r="H20" i="88"/>
  <c r="H25" i="88" s="1" a="1"/>
  <c r="H25" i="88" s="1"/>
  <c r="H19" i="89"/>
  <c r="H24" i="89" s="1" a="1"/>
  <c r="H24" i="89" s="1"/>
  <c r="I25" i="85"/>
  <c r="I60" i="85" s="1" a="1"/>
  <c r="I60" i="85" s="1"/>
  <c r="H23" i="90"/>
  <c r="H28" i="90" s="1" a="1"/>
  <c r="H28" i="90" s="1"/>
  <c r="H228" i="84" a="1"/>
  <c r="H228" i="84" s="1"/>
  <c r="G20" i="88"/>
  <c r="G25" i="88" s="1" a="1"/>
  <c r="G25" i="88" s="1"/>
  <c r="G19" i="89"/>
  <c r="G24" i="89" s="1" a="1"/>
  <c r="G24" i="89" s="1"/>
  <c r="H25" i="85"/>
  <c r="H60" i="85" s="1" a="1"/>
  <c r="H60" i="85" s="1"/>
  <c r="G23" i="90"/>
  <c r="G28" i="90" s="1" a="1"/>
  <c r="G28" i="90" s="1"/>
  <c r="G228" i="84" a="1"/>
  <c r="G228" i="84" s="1"/>
  <c r="F20" i="88"/>
  <c r="F25" i="88" s="1" a="1"/>
  <c r="F25" i="88" s="1"/>
  <c r="F19" i="89"/>
  <c r="F24" i="89" s="1" a="1"/>
  <c r="F24" i="89" s="1"/>
  <c r="G25" i="85"/>
  <c r="G60" i="85" s="1" a="1"/>
  <c r="G60" i="85" s="1"/>
  <c r="F23" i="90"/>
  <c r="F28" i="90" s="1" a="1"/>
  <c r="F28" i="90" s="1"/>
  <c r="E30" i="90" s="1"/>
  <c r="J43" i="90" s="1"/>
  <c r="E47" i="90" s="1" a="1"/>
  <c r="E47" i="90" s="1"/>
  <c r="E150" i="84" a="1"/>
  <c r="E150" i="84" s="1"/>
  <c r="F192" i="84" s="1" a="1"/>
  <c r="F192" i="84" s="1"/>
  <c r="F22" i="85"/>
  <c r="F57" i="85" s="1" a="1"/>
  <c r="F57" i="85" s="1"/>
  <c r="F241" i="84" a="1"/>
  <c r="F241" i="84" s="1"/>
  <c r="F34" i="87"/>
  <c r="F38" i="85"/>
  <c r="F73" i="85" s="1" a="1"/>
  <c r="F73" i="85" s="1"/>
  <c r="F228" i="84" a="1"/>
  <c r="F228" i="84" s="1"/>
  <c r="E23" i="90"/>
  <c r="E28" i="90" s="1" a="1"/>
  <c r="E28" i="90" s="1"/>
  <c r="E20" i="88"/>
  <c r="E25" i="88" s="1" a="1"/>
  <c r="E25" i="88" s="1"/>
  <c r="E19" i="89"/>
  <c r="E24" i="89" s="1" a="1"/>
  <c r="E24" i="89" s="1"/>
  <c r="F25" i="85"/>
  <c r="F60" i="85" s="1" a="1"/>
  <c r="F60" i="85" s="1"/>
  <c r="R77" i="87"/>
  <c r="J240" i="116" a="1"/>
  <c r="J240" i="116" s="1"/>
  <c r="E35" i="105"/>
  <c r="H35" i="105" s="1" a="1"/>
  <c r="H35" i="105" s="1"/>
  <c r="E75" i="105" s="1"/>
  <c r="E39" i="106"/>
  <c r="F39" i="106" s="1" a="1"/>
  <c r="F39" i="106" s="1"/>
  <c r="J245" i="116" a="1"/>
  <c r="J245" i="116" s="1"/>
  <c r="E31" i="106"/>
  <c r="F31" i="106" s="1" a="1"/>
  <c r="F31" i="106" s="1"/>
  <c r="E27" i="105"/>
  <c r="H27" i="105" s="1" a="1"/>
  <c r="H27" i="105" s="1"/>
  <c r="E67" i="105" s="1"/>
  <c r="J243" i="116" a="1"/>
  <c r="J243" i="116" s="1"/>
  <c r="E67" i="106"/>
  <c r="F67" i="106" s="1" a="1"/>
  <c r="F67" i="106" s="1"/>
  <c r="E104" i="105"/>
  <c r="F104" i="105" s="1" a="1"/>
  <c r="F104" i="105" s="1"/>
  <c r="E136" i="105" s="1"/>
  <c r="E332" i="116"/>
  <c r="J242" i="116" a="1"/>
  <c r="J242" i="116" s="1"/>
  <c r="E102" i="105"/>
  <c r="F102" i="105" s="1" a="1"/>
  <c r="F102" i="105" s="1"/>
  <c r="E134" i="105" s="1"/>
  <c r="E65" i="106"/>
  <c r="F65" i="106" s="1" a="1"/>
  <c r="F65" i="106" s="1"/>
  <c r="N34" i="101"/>
  <c r="Q11" i="101"/>
  <c r="N33" i="101" s="1"/>
  <c r="J241" i="116" a="1"/>
  <c r="J241" i="116" s="1"/>
  <c r="E36" i="106"/>
  <c r="F36" i="106" s="1" a="1"/>
  <c r="F36" i="106" s="1"/>
  <c r="E32" i="105"/>
  <c r="H32" i="105" s="1" a="1"/>
  <c r="H32" i="105" s="1"/>
  <c r="E72" i="105" s="1"/>
  <c r="E26" i="105"/>
  <c r="H26" i="105" s="1" a="1"/>
  <c r="H26" i="105" s="1"/>
  <c r="E66" i="105" s="1"/>
  <c r="E30" i="106"/>
  <c r="F30" i="106" s="1" a="1"/>
  <c r="F30" i="106" s="1"/>
  <c r="J239" i="116" a="1"/>
  <c r="J239" i="116" s="1"/>
  <c r="E34" i="106"/>
  <c r="F34" i="106" s="1" a="1"/>
  <c r="F34" i="106" s="1"/>
  <c r="E30" i="105"/>
  <c r="H30" i="105" s="1" a="1"/>
  <c r="H30" i="105" s="1"/>
  <c r="E70" i="105" s="1"/>
  <c r="E38" i="106"/>
  <c r="F38" i="106" s="1" a="1"/>
  <c r="F38" i="106" s="1"/>
  <c r="E34" i="105"/>
  <c r="H34" i="105" s="1" a="1"/>
  <c r="H34" i="105" s="1"/>
  <c r="E74" i="105" s="1"/>
  <c r="E25" i="105"/>
  <c r="H25" i="105" s="1" a="1"/>
  <c r="H25" i="105" s="1"/>
  <c r="E65" i="105" s="1"/>
  <c r="E29" i="106"/>
  <c r="F29" i="106" s="1" a="1"/>
  <c r="F29" i="106" s="1"/>
  <c r="E37" i="106"/>
  <c r="F37" i="106" s="1" a="1"/>
  <c r="F37" i="106" s="1"/>
  <c r="E33" i="105"/>
  <c r="H33" i="105" s="1" a="1"/>
  <c r="H33" i="105" s="1"/>
  <c r="E73" i="105" s="1"/>
  <c r="E36" i="105"/>
  <c r="H36" i="105" s="1" a="1"/>
  <c r="H36" i="105" s="1"/>
  <c r="E76" i="105" s="1"/>
  <c r="E40" i="106"/>
  <c r="F40" i="106" s="1" a="1"/>
  <c r="F40" i="106" s="1"/>
  <c r="E22" i="105"/>
  <c r="H22" i="105" s="1" a="1"/>
  <c r="H22" i="105" s="1"/>
  <c r="E62" i="105" s="1"/>
  <c r="E26" i="106"/>
  <c r="F26" i="106" s="1" a="1"/>
  <c r="F26" i="106" s="1"/>
  <c r="E32" i="106"/>
  <c r="F32" i="106" s="1" a="1"/>
  <c r="F32" i="106" s="1"/>
  <c r="E28" i="105"/>
  <c r="H28" i="105" s="1" a="1"/>
  <c r="H28" i="105" s="1"/>
  <c r="E68" i="105" s="1"/>
  <c r="E37" i="105"/>
  <c r="H37" i="105" s="1" a="1"/>
  <c r="H37" i="105" s="1"/>
  <c r="E77" i="105" s="1"/>
  <c r="E41" i="106"/>
  <c r="F41" i="106" s="1" a="1"/>
  <c r="F41" i="106" s="1"/>
  <c r="E24" i="105"/>
  <c r="H24" i="105" s="1" a="1"/>
  <c r="H24" i="105" s="1"/>
  <c r="E64" i="105" s="1"/>
  <c r="E28" i="106"/>
  <c r="F28" i="106" s="1" a="1"/>
  <c r="F28" i="106" s="1"/>
  <c r="J238" i="116" a="1"/>
  <c r="J238" i="116" s="1"/>
  <c r="E23" i="105"/>
  <c r="H23" i="105" s="1" a="1"/>
  <c r="H23" i="105" s="1"/>
  <c r="E63" i="105" s="1"/>
  <c r="E27" i="106"/>
  <c r="F27" i="106" s="1" a="1"/>
  <c r="F27" i="106" s="1"/>
  <c r="E35" i="106"/>
  <c r="F35" i="106" s="1" a="1"/>
  <c r="F35" i="106" s="1"/>
  <c r="E31" i="105"/>
  <c r="H31" i="105" s="1" a="1"/>
  <c r="H31" i="105" s="1"/>
  <c r="E71" i="105" s="1"/>
  <c r="E21" i="105"/>
  <c r="H21" i="105" s="1" a="1"/>
  <c r="H21" i="105" s="1"/>
  <c r="E61" i="105" s="1"/>
  <c r="E25" i="106"/>
  <c r="F25" i="106" s="1" a="1"/>
  <c r="F25" i="106" s="1"/>
  <c r="E23" i="106"/>
  <c r="F23" i="106" s="1" a="1"/>
  <c r="F23" i="106" s="1"/>
  <c r="E19" i="105"/>
  <c r="H19" i="105" s="1" a="1"/>
  <c r="H19" i="105" s="1"/>
  <c r="E59" i="105" s="1"/>
  <c r="J237" i="116" a="1"/>
  <c r="J237" i="116" s="1"/>
  <c r="E264" i="116" s="1"/>
  <c r="J244" i="116" a="1"/>
  <c r="J244" i="116" s="1"/>
  <c r="E32" i="103"/>
  <c r="K44" i="103" s="1"/>
  <c r="E50" i="103" s="1" a="1"/>
  <c r="E50" i="103" s="1"/>
  <c r="G52" i="103" s="1"/>
  <c r="E55" i="103" s="1" a="1"/>
  <c r="E55" i="103" s="1"/>
  <c r="E103" i="105"/>
  <c r="F103" i="105" s="1" a="1"/>
  <c r="F103" i="105" s="1"/>
  <c r="E135" i="105" s="1"/>
  <c r="E66" i="106"/>
  <c r="F66" i="106" s="1" a="1"/>
  <c r="F66" i="106" s="1"/>
  <c r="E20" i="105"/>
  <c r="H20" i="105" s="1" a="1"/>
  <c r="H20" i="105" s="1"/>
  <c r="E60" i="105" s="1"/>
  <c r="E24" i="106"/>
  <c r="F24" i="106" s="1" a="1"/>
  <c r="F24" i="106" s="1"/>
  <c r="E33" i="106"/>
  <c r="F33" i="106" s="1" a="1"/>
  <c r="F33" i="106" s="1"/>
  <c r="E29" i="105"/>
  <c r="H29" i="105" s="1" a="1"/>
  <c r="H29" i="105" s="1"/>
  <c r="E69" i="105" s="1"/>
  <c r="K242" i="116" a="1"/>
  <c r="K242" i="116" s="1"/>
  <c r="H242" i="116" a="1"/>
  <c r="H242" i="116" s="1"/>
  <c r="H239" i="116" a="1"/>
  <c r="H239" i="116" s="1"/>
  <c r="F242" i="116" a="1"/>
  <c r="F242" i="116" s="1"/>
  <c r="G242" i="116" s="1" a="1"/>
  <c r="G242" i="116" s="1"/>
  <c r="H236" i="116" a="1"/>
  <c r="H236" i="116" s="1"/>
  <c r="H241" i="116" a="1"/>
  <c r="H241" i="116" s="1"/>
  <c r="F239" i="116" a="1"/>
  <c r="F239" i="116" s="1"/>
  <c r="G239" i="116" s="1" a="1"/>
  <c r="G239" i="116" s="1"/>
  <c r="F244" i="116" a="1"/>
  <c r="F244" i="116" s="1"/>
  <c r="G244" i="116" s="1" a="1"/>
  <c r="G244" i="116" s="1"/>
  <c r="F236" i="116" a="1"/>
  <c r="F236" i="116" s="1"/>
  <c r="G236" i="116" s="1" a="1"/>
  <c r="G236" i="116" s="1"/>
  <c r="K241" i="116" a="1"/>
  <c r="K241" i="116" s="1"/>
  <c r="H244" i="116" a="1"/>
  <c r="H244" i="116" s="1"/>
  <c r="H238" i="116" a="1"/>
  <c r="H238" i="116" s="1"/>
  <c r="K245" i="116" a="1"/>
  <c r="K245" i="116" s="1"/>
  <c r="H243" i="116" a="1"/>
  <c r="H243" i="116" s="1"/>
  <c r="F237" i="116" a="1"/>
  <c r="F237" i="116" s="1"/>
  <c r="G237" i="116" s="1" a="1"/>
  <c r="G237" i="116" s="1"/>
  <c r="K236" i="116" a="1"/>
  <c r="K236" i="116" s="1"/>
  <c r="F238" i="116" a="1"/>
  <c r="F238" i="116" s="1"/>
  <c r="G238" i="116" s="1" a="1"/>
  <c r="G238" i="116" s="1"/>
  <c r="K237" i="116" a="1"/>
  <c r="K237" i="116" s="1"/>
  <c r="K238" i="116" a="1"/>
  <c r="K238" i="116" s="1"/>
  <c r="F243" i="116" a="1"/>
  <c r="F243" i="116" s="1"/>
  <c r="G243" i="116" s="1" a="1"/>
  <c r="G243" i="116" s="1"/>
  <c r="K243" i="116" a="1"/>
  <c r="K243" i="116" s="1"/>
  <c r="H245" i="116" a="1"/>
  <c r="H245" i="116" s="1"/>
  <c r="F241" i="116" a="1"/>
  <c r="F241" i="116" s="1"/>
  <c r="G241" i="116" s="1" a="1"/>
  <c r="G241" i="116" s="1"/>
  <c r="K244" i="116" a="1"/>
  <c r="K244" i="116" s="1"/>
  <c r="F245" i="116" a="1"/>
  <c r="F245" i="116" s="1"/>
  <c r="G245" i="116" s="1" a="1"/>
  <c r="G245" i="116" s="1"/>
  <c r="F240" i="116" a="1"/>
  <c r="F240" i="116" s="1"/>
  <c r="G240" i="116" s="1" a="1"/>
  <c r="G240" i="116" s="1"/>
  <c r="K239" i="116" a="1"/>
  <c r="K239" i="116" s="1"/>
  <c r="K240" i="116" a="1"/>
  <c r="K240" i="116" s="1"/>
  <c r="H240" i="116" a="1"/>
  <c r="H240" i="116" s="1"/>
  <c r="H237" i="116" a="1"/>
  <c r="H237" i="116" s="1"/>
  <c r="E657" i="116"/>
  <c r="G123" i="116" a="1"/>
  <c r="G123" i="116" s="1"/>
  <c r="I126" i="116" a="1"/>
  <c r="I126" i="116" s="1"/>
  <c r="I128" i="116" a="1"/>
  <c r="I128" i="116" s="1"/>
  <c r="E94" i="116"/>
  <c r="I127" i="109"/>
  <c r="K127" i="109" s="1" a="1"/>
  <c r="K127" i="109" s="1"/>
  <c r="E46" i="97"/>
  <c r="E64" i="96"/>
  <c r="G125" i="116" a="1"/>
  <c r="G125" i="116" s="1"/>
  <c r="E475" i="116"/>
  <c r="E457" i="116"/>
  <c r="E394" i="116"/>
  <c r="E456" i="116"/>
  <c r="E393" i="116"/>
  <c r="G285" i="116" a="1"/>
  <c r="G285" i="116" s="1"/>
  <c r="E298" i="116" s="1"/>
  <c r="I285" i="116" a="1"/>
  <c r="I285" i="116" s="1"/>
  <c r="E299" i="116" s="1"/>
  <c r="E474" i="116"/>
  <c r="G124" i="116" a="1"/>
  <c r="G124" i="116" s="1"/>
  <c r="I124" i="116" a="1"/>
  <c r="I124" i="116" s="1"/>
  <c r="E34" i="116"/>
  <c r="E93" i="116" s="1"/>
  <c r="F252" i="116" a="1"/>
  <c r="F252" i="116" s="1"/>
  <c r="G252" i="116" s="1" a="1"/>
  <c r="G252" i="116" s="1"/>
  <c r="H252" i="116" a="1"/>
  <c r="H252" i="116" s="1"/>
  <c r="I144" i="109"/>
  <c r="K144" i="109" s="1" a="1"/>
  <c r="K144" i="109" s="1"/>
  <c r="F191" i="84" a="1"/>
  <c r="F191" i="84" s="1"/>
  <c r="I168" i="109"/>
  <c r="K168" i="109" s="1" a="1"/>
  <c r="K168" i="109" s="1"/>
  <c r="I138" i="109"/>
  <c r="K138" i="109" s="1" a="1"/>
  <c r="K138" i="109" s="1"/>
  <c r="I179" i="109"/>
  <c r="K179" i="109" s="1" a="1"/>
  <c r="K179" i="109" s="1"/>
  <c r="F225" i="84" a="1"/>
  <c r="F225" i="84" s="1"/>
  <c r="I116" i="109"/>
  <c r="K116" i="109" s="1" a="1"/>
  <c r="K116" i="109" s="1"/>
  <c r="G19" i="102" a="1"/>
  <c r="G19" i="102" s="1"/>
  <c r="E58" i="102" s="1" a="1"/>
  <c r="E58" i="102" s="1"/>
  <c r="E78" i="102" s="1"/>
  <c r="N35" i="101"/>
  <c r="S92" i="101"/>
  <c r="E52" i="97"/>
  <c r="E43" i="97"/>
  <c r="F189" i="84" a="1"/>
  <c r="F189" i="84" s="1"/>
  <c r="E44" i="97"/>
  <c r="E63" i="96"/>
  <c r="E51" i="97"/>
  <c r="E46" i="96"/>
  <c r="E70" i="96" s="1"/>
  <c r="I530" i="116" s="1"/>
  <c r="E49" i="97"/>
  <c r="E50" i="97"/>
  <c r="E45" i="97"/>
  <c r="E61" i="96"/>
  <c r="E57" i="96"/>
  <c r="E44" i="96"/>
  <c r="E43" i="96"/>
  <c r="E56" i="96"/>
  <c r="E45" i="96"/>
  <c r="E62" i="96"/>
  <c r="E55" i="96"/>
  <c r="O150" i="84" a="1"/>
  <c r="O150" i="84" s="1"/>
  <c r="P190" i="84" s="1" a="1"/>
  <c r="P190" i="84" s="1"/>
  <c r="P201" i="84" a="1"/>
  <c r="P201" i="84" s="1"/>
  <c r="P199" i="84" a="1"/>
  <c r="P199" i="84" s="1"/>
  <c r="P227" i="84" a="1"/>
  <c r="P227" i="84" s="1"/>
  <c r="I167" i="83" a="1"/>
  <c r="I167" i="83" s="1"/>
  <c r="I214" i="83" s="1" a="1"/>
  <c r="I214" i="83" s="1"/>
  <c r="F169" i="83" a="1"/>
  <c r="F169" i="83" s="1"/>
  <c r="F216" i="83" s="1" a="1"/>
  <c r="F216" i="83" s="1"/>
  <c r="F167" i="83" a="1"/>
  <c r="F167" i="83" s="1"/>
  <c r="F214" i="83" s="1" a="1"/>
  <c r="F214" i="83" s="1"/>
  <c r="Q150" i="84" a="1"/>
  <c r="Q150" i="84" s="1"/>
  <c r="R189" i="84" s="1" a="1"/>
  <c r="R189" i="84" s="1"/>
  <c r="F171" i="83" a="1"/>
  <c r="F171" i="83" s="1"/>
  <c r="F218" i="83" s="1" a="1"/>
  <c r="F218" i="83" s="1"/>
  <c r="F173" i="83" a="1"/>
  <c r="F173" i="83" s="1"/>
  <c r="F220" i="83" s="1" a="1"/>
  <c r="F220" i="83" s="1"/>
  <c r="F172" i="83" a="1"/>
  <c r="F172" i="83" s="1"/>
  <c r="F219" i="83" s="1" a="1"/>
  <c r="F219" i="83" s="1"/>
  <c r="F168" i="83" a="1"/>
  <c r="F168" i="83" s="1"/>
  <c r="F215" i="83" s="1" a="1"/>
  <c r="F215" i="83" s="1"/>
  <c r="F203" i="84" a="1"/>
  <c r="F203" i="84" s="1"/>
  <c r="F202" i="84" a="1"/>
  <c r="F202" i="84" s="1"/>
  <c r="I171" i="83" a="1"/>
  <c r="I171" i="83" s="1"/>
  <c r="I218" i="83" s="1" a="1"/>
  <c r="I218" i="83" s="1"/>
  <c r="F165" i="83" a="1"/>
  <c r="F165" i="83" s="1"/>
  <c r="F212" i="83" s="1" a="1"/>
  <c r="F212" i="83" s="1"/>
  <c r="F166" i="83" a="1"/>
  <c r="F166" i="83" s="1"/>
  <c r="F213" i="83" s="1" a="1"/>
  <c r="F213" i="83" s="1"/>
  <c r="I170" i="83" a="1"/>
  <c r="I170" i="83" s="1"/>
  <c r="I217" i="83" s="1" a="1"/>
  <c r="I217" i="83" s="1"/>
  <c r="I169" i="83" a="1"/>
  <c r="I169" i="83" s="1"/>
  <c r="I216" i="83" s="1" a="1"/>
  <c r="I216" i="83" s="1"/>
  <c r="F199" i="84" a="1"/>
  <c r="F199" i="84" s="1"/>
  <c r="I164" i="83" a="1"/>
  <c r="I164" i="83" s="1"/>
  <c r="I211" i="83" s="1" a="1"/>
  <c r="I211" i="83" s="1"/>
  <c r="O151" i="84" a="1"/>
  <c r="O151" i="84" s="1"/>
  <c r="P196" i="84" s="1" a="1"/>
  <c r="P196" i="84" s="1"/>
  <c r="F200" i="84" a="1"/>
  <c r="F200" i="84" s="1"/>
  <c r="I172" i="83" a="1"/>
  <c r="I172" i="83" s="1"/>
  <c r="I219" i="83" s="1" a="1"/>
  <c r="I219" i="83" s="1"/>
  <c r="I168" i="83" a="1"/>
  <c r="I168" i="83" s="1"/>
  <c r="I215" i="83" s="1" a="1"/>
  <c r="I215" i="83" s="1"/>
  <c r="I166" i="83" a="1"/>
  <c r="I166" i="83" s="1"/>
  <c r="I213" i="83" s="1" a="1"/>
  <c r="I213" i="83" s="1"/>
  <c r="E151" i="84" a="1"/>
  <c r="E151" i="84" s="1"/>
  <c r="F226" i="84" a="1"/>
  <c r="F226" i="84" s="1"/>
  <c r="Q151" i="84" a="1"/>
  <c r="Q151" i="84" s="1"/>
  <c r="R226" i="84" a="1"/>
  <c r="R226" i="84" s="1"/>
  <c r="G226" i="84" a="1"/>
  <c r="G226" i="84" s="1"/>
  <c r="F151" i="84" a="1"/>
  <c r="F151" i="84" s="1"/>
  <c r="H225" i="84" a="1"/>
  <c r="H225" i="84" s="1"/>
  <c r="G150" i="84" a="1"/>
  <c r="G150" i="84" s="1"/>
  <c r="H227" i="84" a="1"/>
  <c r="H227" i="84" s="1"/>
  <c r="G152" i="84" a="1"/>
  <c r="G152" i="84" s="1"/>
  <c r="H163" i="83" a="1"/>
  <c r="H163" i="83" s="1"/>
  <c r="H210" i="83" s="1" a="1"/>
  <c r="H210" i="83" s="1"/>
  <c r="H161" i="83" a="1"/>
  <c r="H161" i="83" s="1"/>
  <c r="H208" i="83" s="1" a="1"/>
  <c r="H208" i="83" s="1"/>
  <c r="H159" i="83" a="1"/>
  <c r="H159" i="83" s="1"/>
  <c r="H206" i="83" s="1" a="1"/>
  <c r="H206" i="83" s="1"/>
  <c r="G151" i="84" a="1"/>
  <c r="G151" i="84" s="1"/>
  <c r="H226" i="84" a="1"/>
  <c r="H226" i="84" s="1"/>
  <c r="I226" i="84" a="1"/>
  <c r="I226" i="84" s="1"/>
  <c r="H151" i="84" a="1"/>
  <c r="H151" i="84" s="1"/>
  <c r="H162" i="83" a="1"/>
  <c r="H162" i="83" s="1"/>
  <c r="H209" i="83" s="1" a="1"/>
  <c r="H209" i="83" s="1"/>
  <c r="I227" i="84" a="1"/>
  <c r="I227" i="84" s="1"/>
  <c r="H152" i="84" a="1"/>
  <c r="H152" i="84" s="1"/>
  <c r="P151" i="84" a="1"/>
  <c r="P151" i="84" s="1"/>
  <c r="Q226" i="84" a="1"/>
  <c r="Q226" i="84" s="1"/>
  <c r="S226" i="84" a="1"/>
  <c r="S226" i="84" s="1"/>
  <c r="R151" i="84" a="1"/>
  <c r="R151" i="84" s="1"/>
  <c r="H150" i="84" a="1"/>
  <c r="H150" i="84" s="1"/>
  <c r="I225" i="84" a="1"/>
  <c r="I225" i="84" s="1"/>
  <c r="H160" i="83" a="1"/>
  <c r="H160" i="83" s="1"/>
  <c r="H207" i="83" s="1" a="1"/>
  <c r="H207" i="83" s="1"/>
  <c r="R152" i="84" a="1"/>
  <c r="R152" i="84" s="1"/>
  <c r="S227" i="84" a="1"/>
  <c r="S227" i="84" s="1"/>
  <c r="P152" i="84" a="1"/>
  <c r="P152" i="84" s="1"/>
  <c r="Q227" i="84" a="1"/>
  <c r="Q227" i="84" s="1"/>
  <c r="F152" i="84" a="1"/>
  <c r="F152" i="84" s="1"/>
  <c r="G227" i="84" a="1"/>
  <c r="G227" i="84" s="1"/>
  <c r="P150" i="84" a="1"/>
  <c r="P150" i="84" s="1"/>
  <c r="Q225" i="84" a="1"/>
  <c r="Q225" i="84" s="1"/>
  <c r="F150" i="84" a="1"/>
  <c r="F150" i="84" s="1"/>
  <c r="G225" i="84" a="1"/>
  <c r="G225" i="84" s="1"/>
  <c r="R150" i="84" a="1"/>
  <c r="R150" i="84" s="1"/>
  <c r="S225" i="84" a="1"/>
  <c r="S225" i="84" s="1"/>
  <c r="G168" i="83" a="1"/>
  <c r="G168" i="83" s="1"/>
  <c r="G215" i="83" s="1" a="1"/>
  <c r="G215" i="83" s="1"/>
  <c r="G164" i="83" a="1"/>
  <c r="G164" i="83" s="1"/>
  <c r="G211" i="83" s="1" a="1"/>
  <c r="G211" i="83" s="1"/>
  <c r="G167" i="83" a="1"/>
  <c r="G167" i="83" s="1"/>
  <c r="G214" i="83" s="1" a="1"/>
  <c r="G214" i="83" s="1"/>
  <c r="G165" i="83" a="1"/>
  <c r="G165" i="83" s="1"/>
  <c r="G212" i="83" s="1" a="1"/>
  <c r="G212" i="83" s="1"/>
  <c r="G166" i="83" a="1"/>
  <c r="G166" i="83" s="1"/>
  <c r="G213" i="83" s="1" a="1"/>
  <c r="G213" i="83" s="1"/>
  <c r="G159" i="83" a="1"/>
  <c r="G159" i="83" s="1"/>
  <c r="G206" i="83" s="1" a="1"/>
  <c r="G206" i="83" s="1"/>
  <c r="G162" i="83" a="1"/>
  <c r="G162" i="83" s="1"/>
  <c r="G209" i="83" s="1" a="1"/>
  <c r="G209" i="83" s="1"/>
  <c r="G163" i="83" a="1"/>
  <c r="G163" i="83" s="1"/>
  <c r="G210" i="83" s="1" a="1"/>
  <c r="G210" i="83" s="1"/>
  <c r="G161" i="83" a="1"/>
  <c r="G161" i="83" s="1"/>
  <c r="G208" i="83" s="1" a="1"/>
  <c r="G208" i="83" s="1"/>
  <c r="G160" i="83" a="1"/>
  <c r="G160" i="83" s="1"/>
  <c r="G207" i="83" s="1" a="1"/>
  <c r="G207" i="83" s="1"/>
  <c r="H169" i="83" a="1"/>
  <c r="H169" i="83" s="1"/>
  <c r="H216" i="83" s="1" a="1"/>
  <c r="H216" i="83" s="1"/>
  <c r="H170" i="83" a="1"/>
  <c r="H170" i="83" s="1"/>
  <c r="H217" i="83" s="1" a="1"/>
  <c r="H217" i="83" s="1"/>
  <c r="H172" i="83" a="1"/>
  <c r="H172" i="83" s="1"/>
  <c r="H219" i="83" s="1" a="1"/>
  <c r="H219" i="83" s="1"/>
  <c r="H173" i="83" a="1"/>
  <c r="H173" i="83" s="1"/>
  <c r="H220" i="83" s="1" a="1"/>
  <c r="H220" i="83" s="1"/>
  <c r="H171" i="83" a="1"/>
  <c r="H171" i="83" s="1"/>
  <c r="H218" i="83" s="1" a="1"/>
  <c r="H218" i="83" s="1"/>
  <c r="G173" i="83" a="1"/>
  <c r="G173" i="83" s="1"/>
  <c r="G220" i="83" s="1" a="1"/>
  <c r="G220" i="83" s="1"/>
  <c r="G170" i="83" a="1"/>
  <c r="G170" i="83" s="1"/>
  <c r="G217" i="83" s="1" a="1"/>
  <c r="G217" i="83" s="1"/>
  <c r="G172" i="83" a="1"/>
  <c r="G172" i="83" s="1"/>
  <c r="G219" i="83" s="1" a="1"/>
  <c r="G219" i="83" s="1"/>
  <c r="G169" i="83" a="1"/>
  <c r="G169" i="83" s="1"/>
  <c r="G216" i="83" s="1" a="1"/>
  <c r="G216" i="83" s="1"/>
  <c r="G171" i="83" a="1"/>
  <c r="G171" i="83" s="1"/>
  <c r="G218" i="83" s="1" a="1"/>
  <c r="G218" i="83" s="1"/>
  <c r="J58" i="78"/>
  <c r="J38" i="78"/>
  <c r="J37" i="78"/>
  <c r="J32" i="78"/>
  <c r="D11" i="78"/>
  <c r="D10" i="78"/>
  <c r="D14" i="78"/>
  <c r="I16" i="81"/>
  <c r="I15" i="81"/>
  <c r="I14" i="81"/>
  <c r="I13" i="81"/>
  <c r="I12" i="81"/>
  <c r="I11" i="81"/>
  <c r="I10" i="81"/>
  <c r="I9" i="81"/>
  <c r="I8" i="81"/>
  <c r="I7" i="81"/>
  <c r="E22" i="72" s="1"/>
  <c r="F193" i="84" l="1" a="1"/>
  <c r="F193" i="84" s="1"/>
  <c r="F30" i="85" s="1"/>
  <c r="P202" i="84" a="1"/>
  <c r="P202" i="84" s="1"/>
  <c r="P203" i="84" a="1"/>
  <c r="P203" i="84" s="1"/>
  <c r="P36" i="87" s="1"/>
  <c r="O30" i="90"/>
  <c r="T43" i="90" s="1"/>
  <c r="O47" i="90" s="1" a="1"/>
  <c r="O47" i="90" s="1"/>
  <c r="F190" i="84" a="1"/>
  <c r="F190" i="84" s="1"/>
  <c r="F23" i="87" s="1"/>
  <c r="N26" i="89"/>
  <c r="R38" i="89" s="1"/>
  <c r="O27" i="88"/>
  <c r="R200" i="87" a="1"/>
  <c r="R200" i="87" s="1"/>
  <c r="R153" i="87" a="1"/>
  <c r="R153" i="87" s="1"/>
  <c r="R116" i="87" a="1"/>
  <c r="R116" i="87" s="1"/>
  <c r="R229" i="84" a="1"/>
  <c r="R229" i="84" s="1"/>
  <c r="R22" i="87"/>
  <c r="R27" i="86"/>
  <c r="R34" i="86" s="1" a="1"/>
  <c r="R34" i="86" s="1"/>
  <c r="R26" i="85"/>
  <c r="R61" i="85" s="1" a="1"/>
  <c r="R61" i="85" s="1"/>
  <c r="P230" i="84" a="1"/>
  <c r="P230" i="84" s="1"/>
  <c r="P23" i="87"/>
  <c r="P27" i="85"/>
  <c r="P62" i="85" s="1" a="1"/>
  <c r="P62" i="85" s="1"/>
  <c r="P239" i="84" a="1"/>
  <c r="P239" i="84" s="1"/>
  <c r="P36" i="85"/>
  <c r="P71" i="85" s="1" a="1"/>
  <c r="P71" i="85" s="1"/>
  <c r="P32" i="87"/>
  <c r="P29" i="86"/>
  <c r="P36" i="86" s="1" a="1"/>
  <c r="P36" i="86" s="1"/>
  <c r="P241" i="84" a="1"/>
  <c r="P241" i="84" s="1"/>
  <c r="P34" i="87"/>
  <c r="P38" i="85"/>
  <c r="P73" i="85" s="1" a="1"/>
  <c r="P73" i="85" s="1"/>
  <c r="P240" i="84" a="1"/>
  <c r="P240" i="84" s="1"/>
  <c r="P33" i="87"/>
  <c r="P37" i="85"/>
  <c r="P72" i="85" s="1" a="1"/>
  <c r="P72" i="85" s="1"/>
  <c r="R155" i="87" a="1"/>
  <c r="R155" i="87" s="1"/>
  <c r="R118" i="87" a="1"/>
  <c r="R118" i="87" s="1"/>
  <c r="R202" i="87" a="1"/>
  <c r="R202" i="87" s="1"/>
  <c r="P236" i="84" a="1"/>
  <c r="P236" i="84" s="1"/>
  <c r="P29" i="87"/>
  <c r="P33" i="85"/>
  <c r="P68" i="85" s="1" a="1"/>
  <c r="P68" i="85" s="1"/>
  <c r="P242" i="84" a="1"/>
  <c r="P242" i="84" s="1"/>
  <c r="P39" i="85"/>
  <c r="P74" i="85" s="1" a="1"/>
  <c r="P74" i="85" s="1"/>
  <c r="P35" i="87"/>
  <c r="R201" i="87" a="1"/>
  <c r="R201" i="87" s="1"/>
  <c r="R117" i="87" a="1"/>
  <c r="R117" i="87" s="1"/>
  <c r="R154" i="87" a="1"/>
  <c r="R154" i="87" s="1"/>
  <c r="R203" i="87" a="1"/>
  <c r="R203" i="87" s="1"/>
  <c r="R119" i="87" a="1"/>
  <c r="R119" i="87" s="1"/>
  <c r="R156" i="87" a="1"/>
  <c r="R156" i="87" s="1"/>
  <c r="F40" i="85"/>
  <c r="F36" i="87"/>
  <c r="F230" i="84" a="1"/>
  <c r="F230" i="84" s="1"/>
  <c r="F240" i="84" a="1"/>
  <c r="F240" i="84" s="1"/>
  <c r="F37" i="85"/>
  <c r="F72" i="85" s="1" a="1"/>
  <c r="F72" i="85" s="1"/>
  <c r="F33" i="87"/>
  <c r="E26" i="89"/>
  <c r="I38" i="89" s="1"/>
  <c r="F231" i="84" a="1"/>
  <c r="F231" i="84" s="1"/>
  <c r="F28" i="85"/>
  <c r="F63" i="85" s="1" a="1"/>
  <c r="F63" i="85" s="1"/>
  <c r="F24" i="87"/>
  <c r="F242" i="84" a="1"/>
  <c r="F242" i="84" s="1"/>
  <c r="F39" i="85"/>
  <c r="F74" i="85" s="1" a="1"/>
  <c r="F74" i="85" s="1"/>
  <c r="F35" i="87"/>
  <c r="E27" i="88"/>
  <c r="F201" i="87" a="1"/>
  <c r="F201" i="87" s="1"/>
  <c r="F154" i="87" a="1"/>
  <c r="F154" i="87" s="1"/>
  <c r="F117" i="87" a="1"/>
  <c r="F117" i="87" s="1"/>
  <c r="F239" i="84" a="1"/>
  <c r="F239" i="84" s="1"/>
  <c r="F36" i="85"/>
  <c r="F71" i="85" s="1" a="1"/>
  <c r="F71" i="85" s="1"/>
  <c r="F32" i="87"/>
  <c r="F29" i="86"/>
  <c r="F36" i="86" s="1" a="1"/>
  <c r="F36" i="86" s="1"/>
  <c r="F229" i="84" a="1"/>
  <c r="F229" i="84" s="1"/>
  <c r="F26" i="85"/>
  <c r="F61" i="85" s="1" a="1"/>
  <c r="F61" i="85" s="1"/>
  <c r="F27" i="86"/>
  <c r="F34" i="86" s="1" a="1"/>
  <c r="F34" i="86" s="1"/>
  <c r="F22" i="87"/>
  <c r="F232" i="84" a="1"/>
  <c r="F232" i="84" s="1"/>
  <c r="F29" i="85"/>
  <c r="F64" i="85" s="1" a="1"/>
  <c r="F64" i="85" s="1"/>
  <c r="F25" i="87"/>
  <c r="E77" i="106"/>
  <c r="J90" i="106" s="1"/>
  <c r="R115" i="87" a="1"/>
  <c r="R115" i="87" s="1"/>
  <c r="R199" i="87" a="1"/>
  <c r="R199" i="87" s="1"/>
  <c r="R152" i="87" a="1"/>
  <c r="R152" i="87" s="1"/>
  <c r="E43" i="106"/>
  <c r="J89" i="106" s="1"/>
  <c r="E267" i="116"/>
  <c r="E263" i="116"/>
  <c r="E266" i="116"/>
  <c r="E132" i="116"/>
  <c r="E160" i="116" s="1"/>
  <c r="E131" i="116"/>
  <c r="E159" i="116" s="1"/>
  <c r="E37" i="13" s="1" a="1"/>
  <c r="E37" i="13" s="1"/>
  <c r="E58" i="97"/>
  <c r="I531" i="116" s="1"/>
  <c r="E533" i="116" s="1" a="1"/>
  <c r="E533" i="116" s="1"/>
  <c r="E15" i="13"/>
  <c r="G49" i="90"/>
  <c r="E52" i="90" s="1" a="1"/>
  <c r="E52" i="90" s="1"/>
  <c r="Q49" i="90"/>
  <c r="O52" i="90" s="1" a="1"/>
  <c r="O52" i="90" s="1"/>
  <c r="F15" i="13"/>
  <c r="F40" i="13" a="1"/>
  <c r="F40" i="13" s="1"/>
  <c r="I40" i="13" s="1"/>
  <c r="E40" i="13" a="1"/>
  <c r="E40" i="13" s="1"/>
  <c r="H40" i="13" s="1"/>
  <c r="E94" i="106" a="1"/>
  <c r="E94" i="106" s="1"/>
  <c r="G96" i="106" s="1"/>
  <c r="E99" i="106" s="1" a="1"/>
  <c r="E99" i="106" s="1"/>
  <c r="E192" i="109"/>
  <c r="E151" i="109"/>
  <c r="E22" i="13" s="1" a="1"/>
  <c r="E22" i="13" s="1"/>
  <c r="F22" i="13" s="1"/>
  <c r="I22" i="13" s="1"/>
  <c r="E56" i="97"/>
  <c r="E20" i="13" s="1" a="1"/>
  <c r="E20" i="13" s="1"/>
  <c r="F20" i="13" s="1"/>
  <c r="I19" i="13" s="1"/>
  <c r="R46" i="101"/>
  <c r="N49" i="101" s="1" a="1"/>
  <c r="N49" i="101" s="1"/>
  <c r="O105" i="101" s="1"/>
  <c r="S93" i="101" s="1"/>
  <c r="N110" i="101" s="1" a="1"/>
  <c r="N110" i="101" s="1"/>
  <c r="P112" i="101" s="1"/>
  <c r="N115" i="101" s="1" a="1"/>
  <c r="N115" i="101" s="1"/>
  <c r="R76" i="101"/>
  <c r="N79" i="101" s="1" a="1"/>
  <c r="N79" i="101" s="1"/>
  <c r="O107" i="101" s="1"/>
  <c r="R60" i="101"/>
  <c r="N63" i="101" s="1" a="1"/>
  <c r="N63" i="101" s="1"/>
  <c r="O106" i="101" s="1"/>
  <c r="E55" i="97"/>
  <c r="E19" i="13" s="1" a="1"/>
  <c r="E19" i="13" s="1"/>
  <c r="F19" i="13" s="1"/>
  <c r="P193" i="84" a="1"/>
  <c r="P193" i="84" s="1"/>
  <c r="E57" i="97"/>
  <c r="E21" i="13" s="1" a="1"/>
  <c r="E21" i="13" s="1"/>
  <c r="F21" i="13" s="1"/>
  <c r="E69" i="96"/>
  <c r="E18" i="13" s="1" a="1"/>
  <c r="E18" i="13" s="1"/>
  <c r="F18" i="13" s="1"/>
  <c r="P189" i="84" a="1"/>
  <c r="P189" i="84" s="1"/>
  <c r="P191" i="84" a="1"/>
  <c r="P191" i="84" s="1"/>
  <c r="P192" i="84" a="1"/>
  <c r="P192" i="84" s="1"/>
  <c r="E67" i="96"/>
  <c r="E16" i="13" s="1" a="1"/>
  <c r="E16" i="13" s="1"/>
  <c r="F16" i="13" s="1"/>
  <c r="E68" i="96"/>
  <c r="E17" i="13" s="1" a="1"/>
  <c r="E17" i="13" s="1"/>
  <c r="R190" i="84" a="1"/>
  <c r="R190" i="84" s="1"/>
  <c r="R191" i="84" a="1"/>
  <c r="R191" i="84" s="1"/>
  <c r="R192" i="84" a="1"/>
  <c r="R192" i="84" s="1"/>
  <c r="R193" i="84" a="1"/>
  <c r="R193" i="84" s="1"/>
  <c r="P198" i="84" a="1"/>
  <c r="P198" i="84" s="1"/>
  <c r="P197" i="84" a="1"/>
  <c r="P197" i="84" s="1"/>
  <c r="P194" i="84" a="1"/>
  <c r="P194" i="84" s="1"/>
  <c r="P195" i="84" a="1"/>
  <c r="P195" i="84" s="1"/>
  <c r="R197" i="84" a="1"/>
  <c r="R197" i="84" s="1"/>
  <c r="R196" i="84" a="1"/>
  <c r="R196" i="84" s="1"/>
  <c r="R194" i="84" a="1"/>
  <c r="R194" i="84" s="1"/>
  <c r="R195" i="84" a="1"/>
  <c r="R195" i="84" s="1"/>
  <c r="R198" i="84" a="1"/>
  <c r="R198" i="84" s="1"/>
  <c r="F194" i="84" a="1"/>
  <c r="F194" i="84" s="1"/>
  <c r="F197" i="84" a="1"/>
  <c r="F197" i="84" s="1"/>
  <c r="F196" i="84" a="1"/>
  <c r="F196" i="84" s="1"/>
  <c r="F198" i="84" a="1"/>
  <c r="F198" i="84" s="1"/>
  <c r="F195" i="84" a="1"/>
  <c r="F195" i="84" s="1"/>
  <c r="Q203" i="84" a="1"/>
  <c r="Q203" i="84" s="1"/>
  <c r="Q199" i="84" a="1"/>
  <c r="Q199" i="84" s="1"/>
  <c r="Q202" i="84" a="1"/>
  <c r="Q202" i="84" s="1"/>
  <c r="Q201" i="84" a="1"/>
  <c r="Q201" i="84" s="1"/>
  <c r="Q200" i="84" a="1"/>
  <c r="Q200" i="84" s="1"/>
  <c r="I194" i="84" a="1"/>
  <c r="I194" i="84" s="1"/>
  <c r="I197" i="84" a="1"/>
  <c r="I197" i="84" s="1"/>
  <c r="I196" i="84" a="1"/>
  <c r="I196" i="84" s="1"/>
  <c r="I195" i="84" a="1"/>
  <c r="I195" i="84" s="1"/>
  <c r="I198" i="84" a="1"/>
  <c r="I198" i="84" s="1"/>
  <c r="E222" i="83"/>
  <c r="S202" i="84" a="1"/>
  <c r="S202" i="84" s="1"/>
  <c r="S201" i="84" a="1"/>
  <c r="S201" i="84" s="1"/>
  <c r="S200" i="84" a="1"/>
  <c r="S200" i="84" s="1"/>
  <c r="S203" i="84" a="1"/>
  <c r="S203" i="84" s="1"/>
  <c r="S199" i="84" a="1"/>
  <c r="S199" i="84" s="1"/>
  <c r="H189" i="84" a="1"/>
  <c r="H189" i="84" s="1"/>
  <c r="H191" i="84" a="1"/>
  <c r="H191" i="84" s="1"/>
  <c r="H190" i="84" a="1"/>
  <c r="H190" i="84" s="1"/>
  <c r="H193" i="84" a="1"/>
  <c r="H193" i="84" s="1"/>
  <c r="H192" i="84" a="1"/>
  <c r="H192" i="84" s="1"/>
  <c r="H198" i="84" a="1"/>
  <c r="H198" i="84" s="1"/>
  <c r="H194" i="84" a="1"/>
  <c r="H194" i="84" s="1"/>
  <c r="H197" i="84" a="1"/>
  <c r="H197" i="84" s="1"/>
  <c r="H196" i="84" a="1"/>
  <c r="H196" i="84" s="1"/>
  <c r="H195" i="84" a="1"/>
  <c r="H195" i="84" s="1"/>
  <c r="Q190" i="84" a="1"/>
  <c r="Q190" i="84" s="1"/>
  <c r="Q193" i="84" a="1"/>
  <c r="Q193" i="84" s="1"/>
  <c r="Q189" i="84" a="1"/>
  <c r="Q189" i="84" s="1"/>
  <c r="Q192" i="84" a="1"/>
  <c r="Q192" i="84" s="1"/>
  <c r="Q191" i="84" a="1"/>
  <c r="Q191" i="84" s="1"/>
  <c r="Q196" i="84" a="1"/>
  <c r="Q196" i="84" s="1"/>
  <c r="Q195" i="84" a="1"/>
  <c r="Q195" i="84" s="1"/>
  <c r="Q198" i="84" a="1"/>
  <c r="Q198" i="84" s="1"/>
  <c r="Q194" i="84" a="1"/>
  <c r="Q194" i="84" s="1"/>
  <c r="Q197" i="84" a="1"/>
  <c r="Q197" i="84" s="1"/>
  <c r="I200" i="84" a="1"/>
  <c r="I200" i="84" s="1"/>
  <c r="I203" i="84" a="1"/>
  <c r="I203" i="84" s="1"/>
  <c r="I199" i="84" a="1"/>
  <c r="I199" i="84" s="1"/>
  <c r="I202" i="84" a="1"/>
  <c r="I202" i="84" s="1"/>
  <c r="I201" i="84" a="1"/>
  <c r="I201" i="84" s="1"/>
  <c r="G201" i="84" a="1"/>
  <c r="G201" i="84" s="1"/>
  <c r="G200" i="84" a="1"/>
  <c r="G200" i="84" s="1"/>
  <c r="G203" i="84" a="1"/>
  <c r="G203" i="84" s="1"/>
  <c r="G199" i="84" a="1"/>
  <c r="G199" i="84" s="1"/>
  <c r="G202" i="84" a="1"/>
  <c r="G202" i="84" s="1"/>
  <c r="S189" i="84" a="1"/>
  <c r="S189" i="84" s="1"/>
  <c r="S192" i="84" a="1"/>
  <c r="S192" i="84" s="1"/>
  <c r="S191" i="84" a="1"/>
  <c r="S191" i="84" s="1"/>
  <c r="S190" i="84" a="1"/>
  <c r="S190" i="84" s="1"/>
  <c r="S193" i="84" a="1"/>
  <c r="S193" i="84" s="1"/>
  <c r="I191" i="84" a="1"/>
  <c r="I191" i="84" s="1"/>
  <c r="I190" i="84" a="1"/>
  <c r="I190" i="84" s="1"/>
  <c r="I193" i="84" a="1"/>
  <c r="I193" i="84" s="1"/>
  <c r="I192" i="84" a="1"/>
  <c r="I192" i="84" s="1"/>
  <c r="I189" i="84" a="1"/>
  <c r="I189" i="84" s="1"/>
  <c r="S195" i="84" a="1"/>
  <c r="S195" i="84" s="1"/>
  <c r="S198" i="84" a="1"/>
  <c r="S198" i="84" s="1"/>
  <c r="S194" i="84" a="1"/>
  <c r="S194" i="84" s="1"/>
  <c r="S197" i="84" a="1"/>
  <c r="S197" i="84" s="1"/>
  <c r="S196" i="84" a="1"/>
  <c r="S196" i="84" s="1"/>
  <c r="H201" i="84" a="1"/>
  <c r="H201" i="84" s="1"/>
  <c r="H200" i="84" a="1"/>
  <c r="H200" i="84" s="1"/>
  <c r="H203" i="84" a="1"/>
  <c r="H203" i="84" s="1"/>
  <c r="H199" i="84" a="1"/>
  <c r="H199" i="84" s="1"/>
  <c r="H202" i="84" a="1"/>
  <c r="H202" i="84" s="1"/>
  <c r="G195" i="84" a="1"/>
  <c r="G195" i="84" s="1"/>
  <c r="G198" i="84" a="1"/>
  <c r="G198" i="84" s="1"/>
  <c r="G194" i="84" a="1"/>
  <c r="G194" i="84" s="1"/>
  <c r="G197" i="84" a="1"/>
  <c r="G197" i="84" s="1"/>
  <c r="G196" i="84" a="1"/>
  <c r="G196" i="84" s="1"/>
  <c r="G192" i="84" a="1"/>
  <c r="G192" i="84" s="1"/>
  <c r="G189" i="84" a="1"/>
  <c r="G189" i="84" s="1"/>
  <c r="G191" i="84" a="1"/>
  <c r="G191" i="84" s="1"/>
  <c r="G190" i="84" a="1"/>
  <c r="G190" i="84" s="1"/>
  <c r="G193" i="84" a="1"/>
  <c r="G193" i="84" s="1"/>
  <c r="F54" i="80"/>
  <c r="F55" i="80" s="1"/>
  <c r="F44" i="80"/>
  <c r="G59" i="80"/>
  <c r="G54" i="80"/>
  <c r="G55" i="80" s="1"/>
  <c r="F27" i="85" l="1"/>
  <c r="F62" i="85" s="1" a="1"/>
  <c r="F62" i="85" s="1"/>
  <c r="F26" i="87"/>
  <c r="P40" i="85"/>
  <c r="P237" i="84" a="1"/>
  <c r="P237" i="84" s="1"/>
  <c r="P30" i="87"/>
  <c r="P34" i="85"/>
  <c r="P69" i="85" s="1" a="1"/>
  <c r="P69" i="85" s="1"/>
  <c r="S230" i="84" a="1"/>
  <c r="S230" i="84" s="1"/>
  <c r="S23" i="87"/>
  <c r="S27" i="85"/>
  <c r="S62" i="85" s="1" a="1"/>
  <c r="S62" i="85" s="1"/>
  <c r="S236" i="84" a="1"/>
  <c r="S236" i="84" s="1"/>
  <c r="S29" i="87"/>
  <c r="S33" i="85"/>
  <c r="S68" i="85" s="1" a="1"/>
  <c r="S68" i="85" s="1"/>
  <c r="S232" i="84" a="1"/>
  <c r="S232" i="84" s="1"/>
  <c r="S25" i="87"/>
  <c r="S29" i="85"/>
  <c r="S64" i="85" s="1" a="1"/>
  <c r="S64" i="85" s="1"/>
  <c r="Q31" i="87"/>
  <c r="Q35" i="85"/>
  <c r="P229" i="84" a="1"/>
  <c r="P229" i="84" s="1"/>
  <c r="P22" i="87"/>
  <c r="P27" i="86"/>
  <c r="P34" i="86" s="1" a="1"/>
  <c r="P34" i="86" s="1"/>
  <c r="P26" i="85"/>
  <c r="P61" i="85" s="1" a="1"/>
  <c r="P61" i="85" s="1"/>
  <c r="S237" i="84" a="1"/>
  <c r="S237" i="84" s="1"/>
  <c r="S30" i="87"/>
  <c r="S34" i="85"/>
  <c r="S69" i="85" s="1" a="1"/>
  <c r="S69" i="85" s="1"/>
  <c r="Q235" i="84" a="1"/>
  <c r="Q235" i="84" s="1"/>
  <c r="Q32" i="85"/>
  <c r="Q67" i="85" s="1" a="1"/>
  <c r="Q67" i="85" s="1"/>
  <c r="Q28" i="87"/>
  <c r="Q240" i="84" a="1"/>
  <c r="Q240" i="84" s="1"/>
  <c r="Q33" i="87"/>
  <c r="Q37" i="85"/>
  <c r="Q72" i="85" s="1" a="1"/>
  <c r="Q72" i="85" s="1"/>
  <c r="R236" i="84" a="1"/>
  <c r="R236" i="84" s="1"/>
  <c r="R29" i="87"/>
  <c r="R33" i="85"/>
  <c r="R68" i="85" s="1" a="1"/>
  <c r="R68" i="85" s="1"/>
  <c r="P149" i="87" a="1"/>
  <c r="P149" i="87" s="1"/>
  <c r="P196" i="87" a="1"/>
  <c r="P196" i="87" s="1"/>
  <c r="P112" i="87" a="1"/>
  <c r="P112" i="87" s="1"/>
  <c r="S229" i="84" a="1"/>
  <c r="S229" i="84" s="1"/>
  <c r="S22" i="87"/>
  <c r="S27" i="86"/>
  <c r="S34" i="86" s="1" a="1"/>
  <c r="S34" i="86" s="1"/>
  <c r="S26" i="85"/>
  <c r="S61" i="85" s="1" a="1"/>
  <c r="S61" i="85" s="1"/>
  <c r="R237" i="84" a="1"/>
  <c r="R237" i="84" s="1"/>
  <c r="R30" i="87"/>
  <c r="R34" i="85"/>
  <c r="R69" i="85" s="1" a="1"/>
  <c r="R69" i="85" s="1"/>
  <c r="S234" i="84" a="1"/>
  <c r="S234" i="84" s="1"/>
  <c r="S27" i="87"/>
  <c r="S28" i="86"/>
  <c r="S35" i="86" s="1" a="1"/>
  <c r="S35" i="86" s="1"/>
  <c r="S31" i="85"/>
  <c r="S66" i="85" s="1" a="1"/>
  <c r="S66" i="85" s="1"/>
  <c r="Q236" i="84" a="1"/>
  <c r="Q236" i="84" s="1"/>
  <c r="Q29" i="87"/>
  <c r="Q33" i="85"/>
  <c r="Q68" i="85" s="1" a="1"/>
  <c r="Q68" i="85" s="1"/>
  <c r="Q241" i="84" a="1"/>
  <c r="Q241" i="84" s="1"/>
  <c r="Q34" i="87"/>
  <c r="Q38" i="85"/>
  <c r="Q73" i="85" s="1" a="1"/>
  <c r="Q73" i="85" s="1"/>
  <c r="P235" i="84" a="1"/>
  <c r="P235" i="84" s="1"/>
  <c r="P32" i="85"/>
  <c r="P67" i="85" s="1" a="1"/>
  <c r="P67" i="85" s="1"/>
  <c r="P28" i="87"/>
  <c r="P203" i="87" a="1"/>
  <c r="P203" i="87" s="1"/>
  <c r="P156" i="87" a="1"/>
  <c r="P156" i="87" s="1"/>
  <c r="P119" i="87" a="1"/>
  <c r="P119" i="87" s="1"/>
  <c r="Q231" i="84" a="1"/>
  <c r="Q231" i="84" s="1"/>
  <c r="Q24" i="87"/>
  <c r="Q28" i="85"/>
  <c r="Q63" i="85" s="1" a="1"/>
  <c r="Q63" i="85" s="1"/>
  <c r="Q242" i="84" a="1"/>
  <c r="Q242" i="84" s="1"/>
  <c r="Q39" i="85"/>
  <c r="Q74" i="85" s="1" a="1"/>
  <c r="Q74" i="85" s="1"/>
  <c r="Q35" i="87"/>
  <c r="P234" i="84" a="1"/>
  <c r="P234" i="84" s="1"/>
  <c r="P27" i="87"/>
  <c r="P28" i="86"/>
  <c r="P35" i="86" s="1" a="1"/>
  <c r="P35" i="86" s="1"/>
  <c r="P31" i="85"/>
  <c r="P66" i="85" s="1" a="1"/>
  <c r="P66" i="85" s="1"/>
  <c r="P26" i="87"/>
  <c r="P30" i="85"/>
  <c r="P106" i="87" a="1"/>
  <c r="P106" i="87" s="1"/>
  <c r="P190" i="87" a="1"/>
  <c r="P190" i="87" s="1"/>
  <c r="P143" i="87" a="1"/>
  <c r="P143" i="87" s="1"/>
  <c r="S235" i="84" a="1"/>
  <c r="S235" i="84" s="1"/>
  <c r="S28" i="87"/>
  <c r="S32" i="85"/>
  <c r="S67" i="85" s="1" a="1"/>
  <c r="S67" i="85" s="1"/>
  <c r="S36" i="87"/>
  <c r="S40" i="85"/>
  <c r="P153" i="87" a="1"/>
  <c r="P153" i="87" s="1"/>
  <c r="P116" i="87" a="1"/>
  <c r="P116" i="87" s="1"/>
  <c r="P200" i="87" a="1"/>
  <c r="P200" i="87" s="1"/>
  <c r="Q239" i="84" a="1"/>
  <c r="Q239" i="84" s="1"/>
  <c r="Q32" i="87"/>
  <c r="Q29" i="86"/>
  <c r="Q36" i="86" s="1" a="1"/>
  <c r="Q36" i="86" s="1"/>
  <c r="Q36" i="85"/>
  <c r="Q71" i="85" s="1" a="1"/>
  <c r="Q71" i="85" s="1"/>
  <c r="Q36" i="87"/>
  <c r="Q40" i="85"/>
  <c r="R26" i="87"/>
  <c r="R30" i="85"/>
  <c r="R55" i="86" a="1"/>
  <c r="R55" i="86" s="1"/>
  <c r="R67" i="87"/>
  <c r="Q232" i="84" a="1"/>
  <c r="Q232" i="84" s="1"/>
  <c r="Q25" i="87"/>
  <c r="Q29" i="85"/>
  <c r="Q64" i="85" s="1" a="1"/>
  <c r="Q64" i="85" s="1"/>
  <c r="R232" i="84" a="1"/>
  <c r="R232" i="84" s="1"/>
  <c r="R25" i="87"/>
  <c r="R29" i="85"/>
  <c r="R64" i="85" s="1" a="1"/>
  <c r="R64" i="85" s="1"/>
  <c r="S242" i="84" a="1"/>
  <c r="S242" i="84" s="1"/>
  <c r="S35" i="87"/>
  <c r="S39" i="85"/>
  <c r="S74" i="85" s="1" a="1"/>
  <c r="S74" i="85" s="1"/>
  <c r="Q26" i="87"/>
  <c r="Q30" i="85"/>
  <c r="S241" i="84" a="1"/>
  <c r="S241" i="84" s="1"/>
  <c r="S34" i="87"/>
  <c r="S38" i="85"/>
  <c r="S73" i="85" s="1" a="1"/>
  <c r="S73" i="85" s="1"/>
  <c r="R231" i="84" a="1"/>
  <c r="R231" i="84" s="1"/>
  <c r="R28" i="85"/>
  <c r="R63" i="85" s="1" a="1"/>
  <c r="R63" i="85" s="1"/>
  <c r="R24" i="87"/>
  <c r="R230" i="84" a="1"/>
  <c r="R230" i="84" s="1"/>
  <c r="R23" i="87"/>
  <c r="R27" i="85"/>
  <c r="R62" i="85" s="1" a="1"/>
  <c r="R62" i="85" s="1"/>
  <c r="P201" i="87" a="1"/>
  <c r="P201" i="87" s="1"/>
  <c r="P154" i="87" a="1"/>
  <c r="P154" i="87" s="1"/>
  <c r="P117" i="87" a="1"/>
  <c r="P117" i="87" s="1"/>
  <c r="P31" i="87"/>
  <c r="P35" i="85"/>
  <c r="S240" i="84" a="1"/>
  <c r="S240" i="84" s="1"/>
  <c r="S33" i="87"/>
  <c r="S37" i="85"/>
  <c r="S72" i="85" s="1" a="1"/>
  <c r="S72" i="85" s="1"/>
  <c r="Q230" i="84" a="1"/>
  <c r="Q230" i="84" s="1"/>
  <c r="Q23" i="87"/>
  <c r="Q27" i="85"/>
  <c r="Q62" i="85" s="1" a="1"/>
  <c r="Q62" i="85" s="1"/>
  <c r="P118" i="87" a="1"/>
  <c r="P118" i="87" s="1"/>
  <c r="P155" i="87" a="1"/>
  <c r="P155" i="87" s="1"/>
  <c r="P202" i="87" a="1"/>
  <c r="P202" i="87" s="1"/>
  <c r="P57" i="86" a="1"/>
  <c r="P57" i="86" s="1"/>
  <c r="P77" i="87"/>
  <c r="S35" i="85"/>
  <c r="S31" i="87"/>
  <c r="Q229" i="84" a="1"/>
  <c r="Q229" i="84" s="1"/>
  <c r="Q22" i="87"/>
  <c r="Q27" i="86"/>
  <c r="Q34" i="86" s="1" a="1"/>
  <c r="Q34" i="86" s="1"/>
  <c r="Q26" i="85"/>
  <c r="Q61" i="85" s="1" a="1"/>
  <c r="Q61" i="85" s="1"/>
  <c r="S26" i="87"/>
  <c r="S30" i="85"/>
  <c r="R35" i="85"/>
  <c r="R31" i="87"/>
  <c r="R235" i="84" a="1"/>
  <c r="R235" i="84" s="1"/>
  <c r="R32" i="85"/>
  <c r="R67" i="85" s="1" a="1"/>
  <c r="R67" i="85" s="1"/>
  <c r="R28" i="87"/>
  <c r="S239" i="84" a="1"/>
  <c r="S239" i="84" s="1"/>
  <c r="S32" i="87"/>
  <c r="S29" i="86"/>
  <c r="S36" i="86" s="1" a="1"/>
  <c r="S36" i="86" s="1"/>
  <c r="S36" i="85"/>
  <c r="S71" i="85" s="1" a="1"/>
  <c r="S71" i="85" s="1"/>
  <c r="Q237" i="84" a="1"/>
  <c r="Q237" i="84" s="1"/>
  <c r="Q30" i="87"/>
  <c r="Q34" i="85"/>
  <c r="Q69" i="85" s="1" a="1"/>
  <c r="Q69" i="85" s="1"/>
  <c r="P232" i="84" a="1"/>
  <c r="P232" i="84" s="1"/>
  <c r="P29" i="85"/>
  <c r="P64" i="85" s="1" a="1"/>
  <c r="P64" i="85" s="1"/>
  <c r="P25" i="87"/>
  <c r="S231" i="84" a="1"/>
  <c r="S231" i="84" s="1"/>
  <c r="S28" i="85"/>
  <c r="S63" i="85" s="1" a="1"/>
  <c r="S63" i="85" s="1"/>
  <c r="S24" i="87"/>
  <c r="Q234" i="84" a="1"/>
  <c r="Q234" i="84" s="1"/>
  <c r="Q27" i="87"/>
  <c r="Q28" i="86"/>
  <c r="Q35" i="86" s="1" a="1"/>
  <c r="Q35" i="86" s="1"/>
  <c r="Q31" i="85"/>
  <c r="Q66" i="85" s="1" a="1"/>
  <c r="Q66" i="85" s="1"/>
  <c r="R234" i="84" a="1"/>
  <c r="R234" i="84" s="1"/>
  <c r="R27" i="87"/>
  <c r="R28" i="86"/>
  <c r="R35" i="86" s="1" a="1"/>
  <c r="R35" i="86" s="1"/>
  <c r="R31" i="85"/>
  <c r="R66" i="85" s="1" a="1"/>
  <c r="R66" i="85" s="1"/>
  <c r="P231" i="84" a="1"/>
  <c r="P231" i="84" s="1"/>
  <c r="P24" i="87"/>
  <c r="P28" i="85"/>
  <c r="P63" i="85" s="1" a="1"/>
  <c r="P63" i="85" s="1"/>
  <c r="F13" i="13"/>
  <c r="Q29" i="88"/>
  <c r="O32" i="88" s="1" a="1"/>
  <c r="O32" i="88" s="1"/>
  <c r="I232" i="84" a="1"/>
  <c r="I232" i="84" s="1"/>
  <c r="I25" i="87"/>
  <c r="I29" i="85"/>
  <c r="I64" i="85" s="1" a="1"/>
  <c r="I64" i="85" s="1"/>
  <c r="H241" i="84" a="1"/>
  <c r="H241" i="84" s="1"/>
  <c r="H38" i="85"/>
  <c r="H73" i="85" s="1" a="1"/>
  <c r="H73" i="85" s="1"/>
  <c r="H34" i="87"/>
  <c r="G229" i="84" a="1"/>
  <c r="G229" i="84" s="1"/>
  <c r="G26" i="85"/>
  <c r="G61" i="85" s="1" a="1"/>
  <c r="G61" i="85" s="1"/>
  <c r="G22" i="87"/>
  <c r="G27" i="86"/>
  <c r="G34" i="86" s="1" a="1"/>
  <c r="G34" i="86" s="1"/>
  <c r="G232" i="84" a="1"/>
  <c r="G232" i="84" s="1"/>
  <c r="G25" i="87"/>
  <c r="G29" i="85"/>
  <c r="G64" i="85" s="1" a="1"/>
  <c r="G64" i="85" s="1"/>
  <c r="G239" i="84" a="1"/>
  <c r="G239" i="84" s="1"/>
  <c r="G32" i="87"/>
  <c r="G36" i="85"/>
  <c r="G71" i="85" s="1" a="1"/>
  <c r="G71" i="85" s="1"/>
  <c r="G29" i="86"/>
  <c r="G36" i="86" s="1" a="1"/>
  <c r="G36" i="86" s="1"/>
  <c r="H229" i="84" a="1"/>
  <c r="H229" i="84" s="1"/>
  <c r="H22" i="87"/>
  <c r="H27" i="86"/>
  <c r="H34" i="86" s="1" a="1"/>
  <c r="H34" i="86" s="1"/>
  <c r="H26" i="85"/>
  <c r="H61" i="85" s="1" a="1"/>
  <c r="H61" i="85" s="1"/>
  <c r="G40" i="85"/>
  <c r="G36" i="87"/>
  <c r="G237" i="84" a="1"/>
  <c r="G237" i="84" s="1"/>
  <c r="G34" i="85"/>
  <c r="G69" i="85" s="1" a="1"/>
  <c r="G69" i="85" s="1"/>
  <c r="G30" i="87"/>
  <c r="G240" i="84" a="1"/>
  <c r="G240" i="84" s="1"/>
  <c r="G37" i="85"/>
  <c r="G72" i="85" s="1" a="1"/>
  <c r="G72" i="85" s="1"/>
  <c r="G33" i="87"/>
  <c r="F57" i="86" a="1"/>
  <c r="F57" i="86" s="1"/>
  <c r="F77" i="87"/>
  <c r="G35" i="85"/>
  <c r="G31" i="87"/>
  <c r="H235" i="84" a="1"/>
  <c r="H235" i="84" s="1"/>
  <c r="H28" i="87"/>
  <c r="H32" i="85"/>
  <c r="H67" i="85" s="1" a="1"/>
  <c r="H67" i="85" s="1"/>
  <c r="G30" i="85"/>
  <c r="G26" i="87"/>
  <c r="G242" i="84" a="1"/>
  <c r="G242" i="84" s="1"/>
  <c r="G39" i="85"/>
  <c r="G74" i="85" s="1" a="1"/>
  <c r="G74" i="85" s="1"/>
  <c r="G35" i="87"/>
  <c r="G236" i="84" a="1"/>
  <c r="G236" i="84" s="1"/>
  <c r="G33" i="85"/>
  <c r="G68" i="85" s="1" a="1"/>
  <c r="G68" i="85" s="1"/>
  <c r="G29" i="87"/>
  <c r="G234" i="84" a="1"/>
  <c r="G234" i="84" s="1"/>
  <c r="G27" i="87"/>
  <c r="G28" i="86"/>
  <c r="G35" i="86" s="1" a="1"/>
  <c r="G35" i="86" s="1"/>
  <c r="G31" i="85"/>
  <c r="G66" i="85" s="1" a="1"/>
  <c r="G66" i="85" s="1"/>
  <c r="I229" i="84" a="1"/>
  <c r="I229" i="84" s="1"/>
  <c r="I27" i="86"/>
  <c r="I34" i="86" s="1" a="1"/>
  <c r="I34" i="86" s="1"/>
  <c r="I26" i="85"/>
  <c r="I61" i="85" s="1" a="1"/>
  <c r="I61" i="85" s="1"/>
  <c r="I22" i="87"/>
  <c r="G241" i="84" a="1"/>
  <c r="G241" i="84" s="1"/>
  <c r="G34" i="87"/>
  <c r="G38" i="85"/>
  <c r="G73" i="85" s="1" a="1"/>
  <c r="G73" i="85" s="1"/>
  <c r="F235" i="84" a="1"/>
  <c r="F235" i="84" s="1"/>
  <c r="F32" i="85"/>
  <c r="F67" i="85" s="1" a="1"/>
  <c r="F67" i="85" s="1"/>
  <c r="F28" i="87"/>
  <c r="F153" i="87" a="1"/>
  <c r="F153" i="87" s="1"/>
  <c r="F200" i="87" a="1"/>
  <c r="F200" i="87" s="1"/>
  <c r="F116" i="87" a="1"/>
  <c r="F116" i="87" s="1"/>
  <c r="I241" i="84" a="1"/>
  <c r="I241" i="84" s="1"/>
  <c r="I38" i="85"/>
  <c r="I73" i="85" s="1" a="1"/>
  <c r="I73" i="85" s="1"/>
  <c r="I34" i="87"/>
  <c r="F35" i="85"/>
  <c r="F31" i="87"/>
  <c r="G235" i="84" a="1"/>
  <c r="G235" i="84" s="1"/>
  <c r="G32" i="85"/>
  <c r="G67" i="85" s="1" a="1"/>
  <c r="G67" i="85" s="1"/>
  <c r="G28" i="87"/>
  <c r="H242" i="84" a="1"/>
  <c r="H242" i="84" s="1"/>
  <c r="H35" i="87"/>
  <c r="H39" i="85"/>
  <c r="H74" i="85" s="1" a="1"/>
  <c r="H74" i="85" s="1"/>
  <c r="F236" i="84" a="1"/>
  <c r="F236" i="84" s="1"/>
  <c r="F33" i="85"/>
  <c r="F68" i="85" s="1" a="1"/>
  <c r="F68" i="85" s="1"/>
  <c r="F29" i="87"/>
  <c r="I239" i="84" a="1"/>
  <c r="I239" i="84" s="1"/>
  <c r="I32" i="87"/>
  <c r="I29" i="86"/>
  <c r="I36" i="86" s="1" a="1"/>
  <c r="I36" i="86" s="1"/>
  <c r="I36" i="85"/>
  <c r="I71" i="85" s="1" a="1"/>
  <c r="I71" i="85" s="1"/>
  <c r="H236" i="84" a="1"/>
  <c r="H236" i="84" s="1"/>
  <c r="H33" i="85"/>
  <c r="H68" i="85" s="1" a="1"/>
  <c r="H68" i="85" s="1"/>
  <c r="H29" i="87"/>
  <c r="I231" i="84" a="1"/>
  <c r="I231" i="84" s="1"/>
  <c r="I28" i="85"/>
  <c r="I63" i="85" s="1" a="1"/>
  <c r="I63" i="85" s="1"/>
  <c r="I24" i="87"/>
  <c r="F190" i="87" a="1"/>
  <c r="F190" i="87" s="1"/>
  <c r="F143" i="87" a="1"/>
  <c r="F143" i="87" s="1"/>
  <c r="F106" i="87" a="1"/>
  <c r="F106" i="87" s="1"/>
  <c r="I30" i="85"/>
  <c r="I26" i="87"/>
  <c r="I230" i="84" a="1"/>
  <c r="I230" i="84" s="1"/>
  <c r="I23" i="87"/>
  <c r="I27" i="85"/>
  <c r="I62" i="85" s="1" a="1"/>
  <c r="I62" i="85" s="1"/>
  <c r="F237" i="84" a="1"/>
  <c r="F237" i="84" s="1"/>
  <c r="F30" i="87"/>
  <c r="F34" i="85"/>
  <c r="F69" i="85" s="1" a="1"/>
  <c r="F69" i="85" s="1"/>
  <c r="H239" i="84" a="1"/>
  <c r="H239" i="84" s="1"/>
  <c r="H32" i="87"/>
  <c r="H29" i="86"/>
  <c r="H36" i="86" s="1" a="1"/>
  <c r="H36" i="86" s="1"/>
  <c r="H36" i="85"/>
  <c r="H71" i="85" s="1" a="1"/>
  <c r="H71" i="85" s="1"/>
  <c r="H237" i="84" a="1"/>
  <c r="H237" i="84" s="1"/>
  <c r="H34" i="85"/>
  <c r="H69" i="85" s="1" a="1"/>
  <c r="H69" i="85" s="1"/>
  <c r="H30" i="87"/>
  <c r="I240" i="84" a="1"/>
  <c r="I240" i="84" s="1"/>
  <c r="I37" i="85"/>
  <c r="I72" i="85" s="1" a="1"/>
  <c r="I72" i="85" s="1"/>
  <c r="I33" i="87"/>
  <c r="I242" i="84" a="1"/>
  <c r="I242" i="84" s="1"/>
  <c r="I39" i="85"/>
  <c r="I74" i="85" s="1" a="1"/>
  <c r="I74" i="85" s="1"/>
  <c r="I35" i="87"/>
  <c r="I40" i="85"/>
  <c r="I36" i="87"/>
  <c r="I35" i="85"/>
  <c r="I31" i="87"/>
  <c r="F234" i="84" a="1"/>
  <c r="F234" i="84" s="1"/>
  <c r="F27" i="87"/>
  <c r="F28" i="86"/>
  <c r="F35" i="86" s="1" a="1"/>
  <c r="F35" i="86" s="1"/>
  <c r="F31" i="85"/>
  <c r="F66" i="85" s="1" a="1"/>
  <c r="F66" i="85" s="1"/>
  <c r="H40" i="85"/>
  <c r="H36" i="87"/>
  <c r="H234" i="84" a="1"/>
  <c r="H234" i="84" s="1"/>
  <c r="H28" i="86"/>
  <c r="H35" i="86" s="1" a="1"/>
  <c r="H35" i="86" s="1"/>
  <c r="H31" i="85"/>
  <c r="H66" i="85" s="1" a="1"/>
  <c r="H66" i="85" s="1"/>
  <c r="H27" i="87"/>
  <c r="I235" i="84" a="1"/>
  <c r="I235" i="84" s="1"/>
  <c r="I32" i="85"/>
  <c r="I67" i="85" s="1" a="1"/>
  <c r="I67" i="85" s="1"/>
  <c r="I28" i="87"/>
  <c r="H240" i="84" a="1"/>
  <c r="H240" i="84" s="1"/>
  <c r="H37" i="85"/>
  <c r="H72" i="85" s="1" a="1"/>
  <c r="H72" i="85" s="1"/>
  <c r="H33" i="87"/>
  <c r="H35" i="85"/>
  <c r="H31" i="87"/>
  <c r="I236" i="84" a="1"/>
  <c r="I236" i="84" s="1"/>
  <c r="I33" i="85"/>
  <c r="I68" i="85" s="1" a="1"/>
  <c r="I68" i="85" s="1"/>
  <c r="I29" i="87"/>
  <c r="F192" i="87" a="1"/>
  <c r="F192" i="87" s="1"/>
  <c r="F145" i="87" a="1"/>
  <c r="F145" i="87" s="1"/>
  <c r="F108" i="87" a="1"/>
  <c r="F108" i="87" s="1"/>
  <c r="G29" i="88"/>
  <c r="E32" i="88" s="1" a="1"/>
  <c r="E32" i="88" s="1"/>
  <c r="E13" i="13"/>
  <c r="F119" i="87" a="1"/>
  <c r="F119" i="87" s="1"/>
  <c r="F203" i="87" a="1"/>
  <c r="F203" i="87" s="1"/>
  <c r="F156" i="87" a="1"/>
  <c r="F156" i="87" s="1"/>
  <c r="I237" i="84" a="1"/>
  <c r="I237" i="84" s="1"/>
  <c r="I30" i="87"/>
  <c r="I34" i="85"/>
  <c r="I69" i="85" s="1" a="1"/>
  <c r="I69" i="85" s="1"/>
  <c r="F155" i="87" a="1"/>
  <c r="F155" i="87" s="1"/>
  <c r="F118" i="87" a="1"/>
  <c r="F118" i="87" s="1"/>
  <c r="F202" i="87" a="1"/>
  <c r="F202" i="87" s="1"/>
  <c r="G230" i="84" a="1"/>
  <c r="G230" i="84" s="1"/>
  <c r="G27" i="85"/>
  <c r="G62" i="85" s="1" a="1"/>
  <c r="G62" i="85" s="1"/>
  <c r="G23" i="87"/>
  <c r="H30" i="85"/>
  <c r="H26" i="87"/>
  <c r="I234" i="84" a="1"/>
  <c r="I234" i="84" s="1"/>
  <c r="I28" i="86"/>
  <c r="I35" i="86" s="1" a="1"/>
  <c r="I35" i="86" s="1"/>
  <c r="I31" i="85"/>
  <c r="I66" i="85" s="1" a="1"/>
  <c r="I66" i="85" s="1"/>
  <c r="I27" i="87"/>
  <c r="F146" i="87" a="1"/>
  <c r="F146" i="87" s="1"/>
  <c r="F109" i="87" a="1"/>
  <c r="F109" i="87" s="1"/>
  <c r="F193" i="87" a="1"/>
  <c r="F193" i="87" s="1"/>
  <c r="G231" i="84" a="1"/>
  <c r="G231" i="84" s="1"/>
  <c r="G28" i="85"/>
  <c r="G63" i="85" s="1" a="1"/>
  <c r="G63" i="85" s="1"/>
  <c r="G24" i="87"/>
  <c r="H230" i="84" a="1"/>
  <c r="H230" i="84" s="1"/>
  <c r="H27" i="85"/>
  <c r="H62" i="85" s="1" a="1"/>
  <c r="H62" i="85" s="1"/>
  <c r="H23" i="87"/>
  <c r="H232" i="84" a="1"/>
  <c r="H232" i="84" s="1"/>
  <c r="H25" i="87"/>
  <c r="H29" i="85"/>
  <c r="H64" i="85" s="1" a="1"/>
  <c r="H64" i="85" s="1"/>
  <c r="H231" i="84" a="1"/>
  <c r="H231" i="84" s="1"/>
  <c r="H28" i="85"/>
  <c r="H63" i="85" s="1" a="1"/>
  <c r="H63" i="85" s="1"/>
  <c r="H24" i="87"/>
  <c r="F55" i="86" a="1"/>
  <c r="F55" i="86" s="1"/>
  <c r="F67" i="87"/>
  <c r="F144" i="87" a="1"/>
  <c r="F144" i="87" s="1"/>
  <c r="F191" i="87" a="1"/>
  <c r="F191" i="87" s="1"/>
  <c r="F107" i="87" a="1"/>
  <c r="F107" i="87" s="1"/>
  <c r="F37" i="13" a="1"/>
  <c r="F37" i="13" s="1"/>
  <c r="I37" i="13" s="1"/>
  <c r="G224" i="83"/>
  <c r="E227" i="83" s="1" a="1"/>
  <c r="E227" i="83" s="1"/>
  <c r="E9" i="13"/>
  <c r="H22" i="13"/>
  <c r="H19" i="13"/>
  <c r="F17" i="13"/>
  <c r="I16" i="13" s="1"/>
  <c r="H16" i="13"/>
  <c r="G44" i="80"/>
  <c r="G46" i="80"/>
  <c r="G47" i="80" s="1"/>
  <c r="G48" i="80"/>
  <c r="D40" i="80"/>
  <c r="D32" i="80"/>
  <c r="D75" i="72" a="1"/>
  <c r="F55" i="72"/>
  <c r="E55" i="72"/>
  <c r="F54" i="72"/>
  <c r="E54" i="72"/>
  <c r="F53" i="72"/>
  <c r="E53" i="72"/>
  <c r="D72" i="72"/>
  <c r="F46" i="13" a="1"/>
  <c r="F46" i="13" s="1"/>
  <c r="I46" i="13" s="1"/>
  <c r="E46" i="13" a="1"/>
  <c r="E46" i="13" s="1"/>
  <c r="H46" i="13" s="1"/>
  <c r="E44" i="13" a="1"/>
  <c r="E44" i="13" s="1"/>
  <c r="F45" i="13" a="1"/>
  <c r="F45" i="13" s="1"/>
  <c r="I45" i="13" s="1"/>
  <c r="E45" i="13" a="1"/>
  <c r="E45" i="13" s="1"/>
  <c r="H45" i="13" s="1"/>
  <c r="E43" i="13" a="1"/>
  <c r="E43" i="13" s="1"/>
  <c r="E42" i="13" a="1"/>
  <c r="E42" i="13" s="1"/>
  <c r="F41" i="13" a="1"/>
  <c r="F41" i="13" s="1"/>
  <c r="I41" i="13" s="1"/>
  <c r="E41" i="13" a="1"/>
  <c r="E41" i="13" s="1"/>
  <c r="H41" i="13" s="1"/>
  <c r="F39" i="13" a="1"/>
  <c r="F39" i="13" s="1"/>
  <c r="I39" i="13" s="1"/>
  <c r="E39" i="13" a="1"/>
  <c r="E39" i="13" s="1"/>
  <c r="H39" i="13" s="1"/>
  <c r="F38" i="13" a="1"/>
  <c r="F38" i="13" s="1"/>
  <c r="I38" i="13" s="1"/>
  <c r="E38" i="13" a="1"/>
  <c r="E38" i="13" s="1"/>
  <c r="H38" i="13" s="1"/>
  <c r="H37" i="13"/>
  <c r="H36" i="13"/>
  <c r="O245" i="84" l="1"/>
  <c r="E245" i="84"/>
  <c r="E77" i="85"/>
  <c r="I89" i="85" s="1"/>
  <c r="Q106" i="87" a="1"/>
  <c r="Q106" i="87" s="1"/>
  <c r="Q143" i="87" a="1"/>
  <c r="Q143" i="87" s="1"/>
  <c r="Q190" i="87" a="1"/>
  <c r="Q190" i="87" s="1"/>
  <c r="Q67" i="87"/>
  <c r="Q105" i="87" s="1" a="1"/>
  <c r="Q105" i="87" s="1"/>
  <c r="Q55" i="86" a="1"/>
  <c r="Q55" i="86" s="1"/>
  <c r="S57" i="86" a="1"/>
  <c r="S57" i="86" s="1"/>
  <c r="S77" i="87"/>
  <c r="S152" i="87" s="1" a="1"/>
  <c r="S152" i="87" s="1"/>
  <c r="S114" i="87" a="1"/>
  <c r="S114" i="87" s="1"/>
  <c r="S151" i="87" a="1"/>
  <c r="S151" i="87" s="1"/>
  <c r="S198" i="87" a="1"/>
  <c r="S198" i="87" s="1"/>
  <c r="P151" i="87" a="1"/>
  <c r="P151" i="87" s="1"/>
  <c r="P114" i="87" a="1"/>
  <c r="P114" i="87" s="1"/>
  <c r="P198" i="87" a="1"/>
  <c r="P198" i="87" s="1"/>
  <c r="Q193" i="87" a="1"/>
  <c r="Q193" i="87" s="1"/>
  <c r="Q146" i="87" a="1"/>
  <c r="Q146" i="87" s="1"/>
  <c r="Q109" i="87" a="1"/>
  <c r="Q109" i="87" s="1"/>
  <c r="S155" i="87" a="1"/>
  <c r="S155" i="87" s="1"/>
  <c r="S202" i="87" a="1"/>
  <c r="S202" i="87" s="1"/>
  <c r="S118" i="87" a="1"/>
  <c r="S118" i="87" s="1"/>
  <c r="Q198" i="87" a="1"/>
  <c r="Q198" i="87" s="1"/>
  <c r="Q151" i="87" a="1"/>
  <c r="Q151" i="87" s="1"/>
  <c r="Q114" i="87" a="1"/>
  <c r="Q114" i="87" s="1"/>
  <c r="R72" i="87"/>
  <c r="R194" i="87" s="1" a="1"/>
  <c r="R194" i="87" s="1"/>
  <c r="R56" i="86" a="1"/>
  <c r="R56" i="86" s="1"/>
  <c r="Q150" i="87" a="1"/>
  <c r="Q150" i="87" s="1"/>
  <c r="Q197" i="87" a="1"/>
  <c r="Q197" i="87" s="1"/>
  <c r="Q113" i="87" a="1"/>
  <c r="Q113" i="87" s="1"/>
  <c r="S201" i="87" a="1"/>
  <c r="S201" i="87" s="1"/>
  <c r="S117" i="87" a="1"/>
  <c r="S117" i="87" s="1"/>
  <c r="S154" i="87" a="1"/>
  <c r="S154" i="87" s="1"/>
  <c r="S195" i="87" a="1"/>
  <c r="S195" i="87" s="1"/>
  <c r="S148" i="87" a="1"/>
  <c r="S148" i="87" s="1"/>
  <c r="S111" i="87" a="1"/>
  <c r="S111" i="87" s="1"/>
  <c r="Q72" i="87"/>
  <c r="Q147" i="87" s="1" a="1"/>
  <c r="Q147" i="87" s="1"/>
  <c r="Q56" i="86" a="1"/>
  <c r="Q56" i="86" s="1"/>
  <c r="Q156" i="87" a="1"/>
  <c r="Q156" i="87" s="1"/>
  <c r="Q119" i="87" a="1"/>
  <c r="Q119" i="87" s="1"/>
  <c r="Q203" i="87" a="1"/>
  <c r="Q203" i="87" s="1"/>
  <c r="P152" i="87" a="1"/>
  <c r="P152" i="87" s="1"/>
  <c r="P199" i="87" a="1"/>
  <c r="P199" i="87" s="1"/>
  <c r="P115" i="87" a="1"/>
  <c r="P115" i="87" s="1"/>
  <c r="R148" i="87" a="1"/>
  <c r="R148" i="87" s="1"/>
  <c r="R111" i="87" a="1"/>
  <c r="R111" i="87" s="1"/>
  <c r="R195" i="87" a="1"/>
  <c r="R195" i="87" s="1"/>
  <c r="Q77" i="87"/>
  <c r="Q115" i="87" s="1" a="1"/>
  <c r="Q115" i="87" s="1"/>
  <c r="Q57" i="86" a="1"/>
  <c r="Q57" i="86" s="1"/>
  <c r="Q153" i="87" a="1"/>
  <c r="Q153" i="87" s="1"/>
  <c r="Q116" i="87" a="1"/>
  <c r="Q116" i="87" s="1"/>
  <c r="Q200" i="87" a="1"/>
  <c r="Q200" i="87" s="1"/>
  <c r="P109" i="87" a="1"/>
  <c r="P109" i="87" s="1"/>
  <c r="P193" i="87" a="1"/>
  <c r="P193" i="87" s="1"/>
  <c r="P146" i="87" a="1"/>
  <c r="P146" i="87" s="1"/>
  <c r="P111" i="87" a="1"/>
  <c r="P111" i="87" s="1"/>
  <c r="P195" i="87" a="1"/>
  <c r="P195" i="87" s="1"/>
  <c r="P148" i="87" a="1"/>
  <c r="P148" i="87" s="1"/>
  <c r="R150" i="87" a="1"/>
  <c r="R150" i="87" s="1"/>
  <c r="R197" i="87" a="1"/>
  <c r="R197" i="87" s="1"/>
  <c r="R113" i="87" a="1"/>
  <c r="R113" i="87" s="1"/>
  <c r="S108" i="87" a="1"/>
  <c r="S108" i="87" s="1"/>
  <c r="S192" i="87" a="1"/>
  <c r="S192" i="87" s="1"/>
  <c r="S145" i="87" a="1"/>
  <c r="S145" i="87" s="1"/>
  <c r="R106" i="87" a="1"/>
  <c r="R106" i="87" s="1"/>
  <c r="R190" i="87" a="1"/>
  <c r="R190" i="87" s="1"/>
  <c r="R143" i="87" a="1"/>
  <c r="R143" i="87" s="1"/>
  <c r="R192" i="87" a="1"/>
  <c r="R192" i="87" s="1"/>
  <c r="R145" i="87" a="1"/>
  <c r="R145" i="87" s="1"/>
  <c r="R108" i="87" a="1"/>
  <c r="R108" i="87" s="1"/>
  <c r="Q195" i="87" a="1"/>
  <c r="Q195" i="87" s="1"/>
  <c r="Q111" i="87" a="1"/>
  <c r="Q111" i="87" s="1"/>
  <c r="Q148" i="87" a="1"/>
  <c r="Q148" i="87" s="1"/>
  <c r="R151" i="87" a="1"/>
  <c r="R151" i="87" s="1"/>
  <c r="R114" i="87" a="1"/>
  <c r="R114" i="87" s="1"/>
  <c r="R198" i="87" a="1"/>
  <c r="R198" i="87" s="1"/>
  <c r="P56" i="86" a="1"/>
  <c r="P56" i="86" s="1"/>
  <c r="P72" i="87"/>
  <c r="P110" i="87" s="1" a="1"/>
  <c r="P110" i="87" s="1"/>
  <c r="P108" i="87" a="1"/>
  <c r="P108" i="87" s="1"/>
  <c r="P145" i="87" a="1"/>
  <c r="P145" i="87" s="1"/>
  <c r="P192" i="87" a="1"/>
  <c r="P192" i="87" s="1"/>
  <c r="R144" i="87" a="1"/>
  <c r="R144" i="87" s="1"/>
  <c r="R191" i="87" a="1"/>
  <c r="R191" i="87" s="1"/>
  <c r="R107" i="87" a="1"/>
  <c r="R107" i="87" s="1"/>
  <c r="S67" i="87"/>
  <c r="S105" i="87" s="1" a="1"/>
  <c r="S105" i="87" s="1"/>
  <c r="S55" i="86" a="1"/>
  <c r="S55" i="86" s="1"/>
  <c r="S149" i="87" a="1"/>
  <c r="S149" i="87" s="1"/>
  <c r="S112" i="87" a="1"/>
  <c r="S112" i="87" s="1"/>
  <c r="S196" i="87" a="1"/>
  <c r="S196" i="87" s="1"/>
  <c r="S193" i="87" a="1"/>
  <c r="S193" i="87" s="1"/>
  <c r="S146" i="87" a="1"/>
  <c r="S146" i="87" s="1"/>
  <c r="S109" i="87" a="1"/>
  <c r="S109" i="87" s="1"/>
  <c r="Q118" i="87" a="1"/>
  <c r="Q118" i="87" s="1"/>
  <c r="Q155" i="87" a="1"/>
  <c r="Q155" i="87" s="1"/>
  <c r="Q202" i="87" a="1"/>
  <c r="Q202" i="87" s="1"/>
  <c r="S113" i="87" a="1"/>
  <c r="S113" i="87" s="1"/>
  <c r="S197" i="87" a="1"/>
  <c r="S197" i="87" s="1"/>
  <c r="S150" i="87" a="1"/>
  <c r="S150" i="87" s="1"/>
  <c r="S142" i="87" a="1"/>
  <c r="S142" i="87" s="1"/>
  <c r="R142" i="87" a="1"/>
  <c r="R142" i="87" s="1"/>
  <c r="R105" i="87" a="1"/>
  <c r="R105" i="87" s="1"/>
  <c r="R189" i="87" a="1"/>
  <c r="R189" i="87" s="1"/>
  <c r="S203" i="87" a="1"/>
  <c r="S203" i="87" s="1"/>
  <c r="S156" i="87" a="1"/>
  <c r="S156" i="87" s="1"/>
  <c r="S119" i="87" a="1"/>
  <c r="S119" i="87" s="1"/>
  <c r="S106" i="87" a="1"/>
  <c r="S106" i="87" s="1"/>
  <c r="S143" i="87" a="1"/>
  <c r="S143" i="87" s="1"/>
  <c r="S190" i="87" a="1"/>
  <c r="S190" i="87" s="1"/>
  <c r="S144" i="87" a="1"/>
  <c r="S144" i="87" s="1"/>
  <c r="S107" i="87" a="1"/>
  <c r="S107" i="87" s="1"/>
  <c r="S191" i="87" a="1"/>
  <c r="S191" i="87" s="1"/>
  <c r="P107" i="87" a="1"/>
  <c r="P107" i="87" s="1"/>
  <c r="P144" i="87" a="1"/>
  <c r="P144" i="87" s="1"/>
  <c r="P191" i="87" a="1"/>
  <c r="P191" i="87" s="1"/>
  <c r="Q145" i="87" a="1"/>
  <c r="Q145" i="87" s="1"/>
  <c r="Q192" i="87" a="1"/>
  <c r="Q192" i="87" s="1"/>
  <c r="Q108" i="87" a="1"/>
  <c r="Q108" i="87" s="1"/>
  <c r="Q201" i="87" a="1"/>
  <c r="Q201" i="87" s="1"/>
  <c r="Q154" i="87" a="1"/>
  <c r="Q154" i="87" s="1"/>
  <c r="Q117" i="87" a="1"/>
  <c r="Q117" i="87" s="1"/>
  <c r="S200" i="87" a="1"/>
  <c r="S200" i="87" s="1"/>
  <c r="S153" i="87" a="1"/>
  <c r="S153" i="87" s="1"/>
  <c r="S116" i="87" a="1"/>
  <c r="S116" i="87" s="1"/>
  <c r="Q112" i="87" a="1"/>
  <c r="Q112" i="87" s="1"/>
  <c r="Q196" i="87" a="1"/>
  <c r="Q196" i="87" s="1"/>
  <c r="Q149" i="87" a="1"/>
  <c r="Q149" i="87" s="1"/>
  <c r="O77" i="85"/>
  <c r="S89" i="85" s="1"/>
  <c r="P55" i="86" a="1"/>
  <c r="P55" i="86" s="1"/>
  <c r="P67" i="87"/>
  <c r="P142" i="87" s="1" a="1"/>
  <c r="P142" i="87" s="1"/>
  <c r="R146" i="87" a="1"/>
  <c r="R146" i="87" s="1"/>
  <c r="R193" i="87" a="1"/>
  <c r="R193" i="87" s="1"/>
  <c r="R109" i="87" a="1"/>
  <c r="R109" i="87" s="1"/>
  <c r="Q144" i="87" a="1"/>
  <c r="Q144" i="87" s="1"/>
  <c r="Q107" i="87" a="1"/>
  <c r="Q107" i="87" s="1"/>
  <c r="Q191" i="87" a="1"/>
  <c r="Q191" i="87" s="1"/>
  <c r="P197" i="87" a="1"/>
  <c r="P197" i="87" s="1"/>
  <c r="P113" i="87" a="1"/>
  <c r="P113" i="87" s="1"/>
  <c r="P150" i="87" a="1"/>
  <c r="P150" i="87" s="1"/>
  <c r="S56" i="86" a="1"/>
  <c r="S56" i="86" s="1"/>
  <c r="S72" i="87"/>
  <c r="S194" i="87" s="1" a="1"/>
  <c r="S194" i="87" s="1"/>
  <c r="R149" i="87" a="1"/>
  <c r="R149" i="87" s="1"/>
  <c r="R196" i="87" a="1"/>
  <c r="R196" i="87" s="1"/>
  <c r="R112" i="87" a="1"/>
  <c r="R112" i="87" s="1"/>
  <c r="F151" i="87" a="1"/>
  <c r="F151" i="87" s="1"/>
  <c r="F198" i="87" a="1"/>
  <c r="F198" i="87" s="1"/>
  <c r="F114" i="87" a="1"/>
  <c r="F114" i="87" s="1"/>
  <c r="G197" i="87" a="1"/>
  <c r="G197" i="87" s="1"/>
  <c r="G150" i="87" a="1"/>
  <c r="G150" i="87" s="1"/>
  <c r="G113" i="87" a="1"/>
  <c r="G113" i="87" s="1"/>
  <c r="G108" i="87" a="1"/>
  <c r="G108" i="87" s="1"/>
  <c r="G145" i="87" a="1"/>
  <c r="G145" i="87" s="1"/>
  <c r="G192" i="87" a="1"/>
  <c r="G192" i="87" s="1"/>
  <c r="I57" i="86" a="1"/>
  <c r="I57" i="86" s="1"/>
  <c r="I77" i="87"/>
  <c r="I115" i="87" s="1" a="1"/>
  <c r="I115" i="87" s="1"/>
  <c r="H150" i="87" a="1"/>
  <c r="H150" i="87" s="1"/>
  <c r="H113" i="87" a="1"/>
  <c r="H113" i="87" s="1"/>
  <c r="H197" i="87" a="1"/>
  <c r="H197" i="87" s="1"/>
  <c r="F112" i="87" a="1"/>
  <c r="F112" i="87" s="1"/>
  <c r="F149" i="87" a="1"/>
  <c r="F149" i="87" s="1"/>
  <c r="F196" i="87" a="1"/>
  <c r="F196" i="87" s="1"/>
  <c r="G72" i="87"/>
  <c r="G110" i="87" s="1" a="1"/>
  <c r="G110" i="87" s="1"/>
  <c r="G56" i="86" a="1"/>
  <c r="G56" i="86" s="1"/>
  <c r="H111" i="87" a="1"/>
  <c r="H111" i="87" s="1"/>
  <c r="H195" i="87" a="1"/>
  <c r="H195" i="87" s="1"/>
  <c r="H148" i="87" a="1"/>
  <c r="H148" i="87" s="1"/>
  <c r="I117" i="87" a="1"/>
  <c r="I117" i="87" s="1"/>
  <c r="I201" i="87" a="1"/>
  <c r="I201" i="87" s="1"/>
  <c r="I154" i="87" a="1"/>
  <c r="I154" i="87" s="1"/>
  <c r="H55" i="86" a="1"/>
  <c r="H55" i="86" s="1"/>
  <c r="H67" i="87"/>
  <c r="H142" i="87" s="1" a="1"/>
  <c r="H142" i="87" s="1"/>
  <c r="H154" i="87" a="1"/>
  <c r="H154" i="87" s="1"/>
  <c r="H201" i="87" a="1"/>
  <c r="H201" i="87" s="1"/>
  <c r="H117" i="87" a="1"/>
  <c r="H117" i="87" s="1"/>
  <c r="H116" i="87" a="1"/>
  <c r="H116" i="87" s="1"/>
  <c r="H153" i="87" a="1"/>
  <c r="H153" i="87" s="1"/>
  <c r="H200" i="87" a="1"/>
  <c r="H200" i="87" s="1"/>
  <c r="G114" i="87" a="1"/>
  <c r="G114" i="87" s="1"/>
  <c r="G151" i="87" a="1"/>
  <c r="G151" i="87" s="1"/>
  <c r="G198" i="87" a="1"/>
  <c r="G198" i="87" s="1"/>
  <c r="I116" i="87" a="1"/>
  <c r="I116" i="87" s="1"/>
  <c r="I153" i="87" a="1"/>
  <c r="I153" i="87" s="1"/>
  <c r="I200" i="87" a="1"/>
  <c r="I200" i="87" s="1"/>
  <c r="H198" i="87" a="1"/>
  <c r="H198" i="87" s="1"/>
  <c r="H114" i="87" a="1"/>
  <c r="H114" i="87" s="1"/>
  <c r="H151" i="87" a="1"/>
  <c r="H151" i="87" s="1"/>
  <c r="F195" i="87" a="1"/>
  <c r="F195" i="87" s="1"/>
  <c r="F148" i="87" a="1"/>
  <c r="F148" i="87" s="1"/>
  <c r="F111" i="87" a="1"/>
  <c r="F111" i="87" s="1"/>
  <c r="H203" i="87" a="1"/>
  <c r="H203" i="87" s="1"/>
  <c r="H119" i="87" a="1"/>
  <c r="H119" i="87" s="1"/>
  <c r="H156" i="87" a="1"/>
  <c r="H156" i="87" s="1"/>
  <c r="G119" i="87" a="1"/>
  <c r="G119" i="87" s="1"/>
  <c r="G156" i="87" a="1"/>
  <c r="G156" i="87" s="1"/>
  <c r="G203" i="87" a="1"/>
  <c r="G203" i="87" s="1"/>
  <c r="F105" i="87" a="1"/>
  <c r="F105" i="87" s="1"/>
  <c r="F189" i="87" a="1"/>
  <c r="F189" i="87" s="1"/>
  <c r="I72" i="87"/>
  <c r="I194" i="87" s="1" a="1"/>
  <c r="I194" i="87" s="1"/>
  <c r="I56" i="86" a="1"/>
  <c r="I56" i="86" s="1"/>
  <c r="I198" i="87" a="1"/>
  <c r="I198" i="87" s="1"/>
  <c r="I151" i="87" a="1"/>
  <c r="I151" i="87" s="1"/>
  <c r="I114" i="87" a="1"/>
  <c r="I114" i="87" s="1"/>
  <c r="H57" i="86" a="1"/>
  <c r="H57" i="86" s="1"/>
  <c r="H77" i="87"/>
  <c r="H152" i="87" s="1" a="1"/>
  <c r="H152" i="87" s="1"/>
  <c r="I191" i="87" a="1"/>
  <c r="I191" i="87" s="1"/>
  <c r="I144" i="87" a="1"/>
  <c r="I144" i="87" s="1"/>
  <c r="I107" i="87" a="1"/>
  <c r="I107" i="87" s="1"/>
  <c r="H118" i="87" a="1"/>
  <c r="H118" i="87" s="1"/>
  <c r="H155" i="87" a="1"/>
  <c r="H155" i="87" s="1"/>
  <c r="H202" i="87" a="1"/>
  <c r="H202" i="87" s="1"/>
  <c r="F115" i="87" a="1"/>
  <c r="F115" i="87" s="1"/>
  <c r="F152" i="87" a="1"/>
  <c r="F152" i="87" s="1"/>
  <c r="F199" i="87" a="1"/>
  <c r="F199" i="87" s="1"/>
  <c r="G57" i="86" a="1"/>
  <c r="G57" i="86" s="1"/>
  <c r="G77" i="87"/>
  <c r="G115" i="87" s="1" a="1"/>
  <c r="G115" i="87" s="1"/>
  <c r="H192" i="87" a="1"/>
  <c r="H192" i="87" s="1"/>
  <c r="H145" i="87" a="1"/>
  <c r="H145" i="87" s="1"/>
  <c r="H108" i="87" a="1"/>
  <c r="H108" i="87" s="1"/>
  <c r="I148" i="87" a="1"/>
  <c r="I148" i="87" s="1"/>
  <c r="I111" i="87" a="1"/>
  <c r="I111" i="87" s="1"/>
  <c r="I195" i="87" a="1"/>
  <c r="I195" i="87" s="1"/>
  <c r="G196" i="87" a="1"/>
  <c r="G196" i="87" s="1"/>
  <c r="G112" i="87" a="1"/>
  <c r="G112" i="87" s="1"/>
  <c r="G149" i="87" a="1"/>
  <c r="G149" i="87" s="1"/>
  <c r="I145" i="87" a="1"/>
  <c r="I145" i="87" s="1"/>
  <c r="I192" i="87" a="1"/>
  <c r="I192" i="87" s="1"/>
  <c r="I108" i="87" a="1"/>
  <c r="I108" i="87" s="1"/>
  <c r="G55" i="86" a="1"/>
  <c r="G55" i="86" s="1"/>
  <c r="G67" i="87"/>
  <c r="G105" i="87" s="1" a="1"/>
  <c r="G105" i="87" s="1"/>
  <c r="I113" i="87" a="1"/>
  <c r="I113" i="87" s="1"/>
  <c r="I197" i="87" a="1"/>
  <c r="I197" i="87" s="1"/>
  <c r="I150" i="87" a="1"/>
  <c r="I150" i="87" s="1"/>
  <c r="H146" i="87" a="1"/>
  <c r="H146" i="87" s="1"/>
  <c r="H109" i="87" a="1"/>
  <c r="H109" i="87" s="1"/>
  <c r="H193" i="87" a="1"/>
  <c r="H193" i="87" s="1"/>
  <c r="I156" i="87" a="1"/>
  <c r="I156" i="87" s="1"/>
  <c r="I203" i="87" a="1"/>
  <c r="I203" i="87" s="1"/>
  <c r="I119" i="87" a="1"/>
  <c r="I119" i="87" s="1"/>
  <c r="G195" i="87" a="1"/>
  <c r="G195" i="87" s="1"/>
  <c r="G111" i="87" a="1"/>
  <c r="G111" i="87" s="1"/>
  <c r="G148" i="87" a="1"/>
  <c r="G148" i="87" s="1"/>
  <c r="G116" i="87" a="1"/>
  <c r="G116" i="87" s="1"/>
  <c r="G153" i="87" a="1"/>
  <c r="G153" i="87" s="1"/>
  <c r="G200" i="87" a="1"/>
  <c r="G200" i="87" s="1"/>
  <c r="G191" i="87" a="1"/>
  <c r="G191" i="87" s="1"/>
  <c r="G107" i="87" a="1"/>
  <c r="G107" i="87" s="1"/>
  <c r="G144" i="87" a="1"/>
  <c r="G144" i="87" s="1"/>
  <c r="H56" i="86" a="1"/>
  <c r="H56" i="86" s="1"/>
  <c r="H72" i="87"/>
  <c r="H110" i="87" s="1" a="1"/>
  <c r="H110" i="87" s="1"/>
  <c r="I149" i="87" a="1"/>
  <c r="I149" i="87" s="1"/>
  <c r="I196" i="87" a="1"/>
  <c r="I196" i="87" s="1"/>
  <c r="I112" i="87" a="1"/>
  <c r="I112" i="87" s="1"/>
  <c r="I190" i="87" a="1"/>
  <c r="I190" i="87" s="1"/>
  <c r="I143" i="87" a="1"/>
  <c r="I143" i="87" s="1"/>
  <c r="I106" i="87" a="1"/>
  <c r="I106" i="87" s="1"/>
  <c r="G146" i="87" a="1"/>
  <c r="G146" i="87" s="1"/>
  <c r="G193" i="87" a="1"/>
  <c r="G193" i="87" s="1"/>
  <c r="G109" i="87" a="1"/>
  <c r="G109" i="87" s="1"/>
  <c r="H107" i="87" a="1"/>
  <c r="H107" i="87" s="1"/>
  <c r="H191" i="87" a="1"/>
  <c r="H191" i="87" s="1"/>
  <c r="H144" i="87" a="1"/>
  <c r="H144" i="87" s="1"/>
  <c r="F72" i="87"/>
  <c r="F147" i="87" s="1" a="1"/>
  <c r="F147" i="87" s="1"/>
  <c r="F56" i="86" a="1"/>
  <c r="F56" i="86" s="1"/>
  <c r="H143" i="87" a="1"/>
  <c r="H143" i="87" s="1"/>
  <c r="H106" i="87" a="1"/>
  <c r="H106" i="87" s="1"/>
  <c r="H190" i="87" a="1"/>
  <c r="H190" i="87" s="1"/>
  <c r="H112" i="87" a="1"/>
  <c r="H112" i="87" s="1"/>
  <c r="H149" i="87" a="1"/>
  <c r="H149" i="87" s="1"/>
  <c r="H196" i="87" a="1"/>
  <c r="H196" i="87" s="1"/>
  <c r="G154" i="87" a="1"/>
  <c r="G154" i="87" s="1"/>
  <c r="G117" i="87" a="1"/>
  <c r="G117" i="87" s="1"/>
  <c r="G201" i="87" a="1"/>
  <c r="G201" i="87" s="1"/>
  <c r="F142" i="87" a="1"/>
  <c r="F142" i="87" s="1"/>
  <c r="I67" i="87"/>
  <c r="I105" i="87" s="1" a="1"/>
  <c r="I105" i="87" s="1"/>
  <c r="I55" i="86" a="1"/>
  <c r="I55" i="86" s="1"/>
  <c r="I193" i="87" a="1"/>
  <c r="I193" i="87" s="1"/>
  <c r="I109" i="87" a="1"/>
  <c r="I109" i="87" s="1"/>
  <c r="I146" i="87" a="1"/>
  <c r="I146" i="87" s="1"/>
  <c r="G143" i="87" a="1"/>
  <c r="G143" i="87" s="1"/>
  <c r="G106" i="87" a="1"/>
  <c r="G106" i="87" s="1"/>
  <c r="G190" i="87" a="1"/>
  <c r="G190" i="87" s="1"/>
  <c r="I155" i="87" a="1"/>
  <c r="I155" i="87" s="1"/>
  <c r="I118" i="87" a="1"/>
  <c r="I118" i="87" s="1"/>
  <c r="I202" i="87" a="1"/>
  <c r="I202" i="87" s="1"/>
  <c r="F150" i="87" a="1"/>
  <c r="F150" i="87" s="1"/>
  <c r="F113" i="87" a="1"/>
  <c r="F113" i="87" s="1"/>
  <c r="F197" i="87" a="1"/>
  <c r="F197" i="87" s="1"/>
  <c r="G155" i="87" a="1"/>
  <c r="G155" i="87" s="1"/>
  <c r="G118" i="87" a="1"/>
  <c r="G118" i="87" s="1"/>
  <c r="G202" i="87" a="1"/>
  <c r="G202" i="87" s="1"/>
  <c r="G247" i="84"/>
  <c r="E250" i="84" s="1" a="1"/>
  <c r="E250" i="84" s="1"/>
  <c r="E10" i="13"/>
  <c r="Q247" i="84"/>
  <c r="O250" i="84" s="1" a="1"/>
  <c r="O250" i="84" s="1"/>
  <c r="F10" i="13"/>
  <c r="E76" i="72"/>
  <c r="F76" i="72"/>
  <c r="D75" i="72"/>
  <c r="F42" i="13"/>
  <c r="I42" i="13" s="1"/>
  <c r="H42" i="13"/>
  <c r="F44" i="13"/>
  <c r="I44" i="13" s="1"/>
  <c r="H44" i="13"/>
  <c r="F43" i="13"/>
  <c r="I43" i="13" s="1"/>
  <c r="H43" i="13"/>
  <c r="R147" i="87" l="1" a="1"/>
  <c r="R147" i="87" s="1"/>
  <c r="Q189" i="87" a="1"/>
  <c r="Q189" i="87" s="1"/>
  <c r="R110" i="87" a="1"/>
  <c r="R110" i="87" s="1"/>
  <c r="Q194" i="87" a="1"/>
  <c r="Q194" i="87" s="1"/>
  <c r="S189" i="87" a="1"/>
  <c r="S189" i="87" s="1"/>
  <c r="Q110" i="87" a="1"/>
  <c r="Q110" i="87" s="1"/>
  <c r="I152" i="87" a="1"/>
  <c r="I152" i="87" s="1"/>
  <c r="Q142" i="87" a="1"/>
  <c r="Q142" i="87" s="1"/>
  <c r="H105" i="87" a="1"/>
  <c r="H105" i="87" s="1"/>
  <c r="I147" i="87" a="1"/>
  <c r="I147" i="87" s="1"/>
  <c r="H189" i="87" a="1"/>
  <c r="H189" i="87" s="1"/>
  <c r="G142" i="87" a="1"/>
  <c r="G142" i="87" s="1"/>
  <c r="I189" i="87" a="1"/>
  <c r="I189" i="87" s="1"/>
  <c r="F110" i="87" a="1"/>
  <c r="F110" i="87" s="1"/>
  <c r="I142" i="87" a="1"/>
  <c r="I142" i="87" s="1"/>
  <c r="S199" i="87" a="1"/>
  <c r="S199" i="87" s="1"/>
  <c r="G199" i="87" a="1"/>
  <c r="G199" i="87" s="1"/>
  <c r="H199" i="87" a="1"/>
  <c r="H199" i="87" s="1"/>
  <c r="P105" i="87" a="1"/>
  <c r="P105" i="87" s="1"/>
  <c r="G152" i="87" a="1"/>
  <c r="G152" i="87" s="1"/>
  <c r="H194" i="87" a="1"/>
  <c r="H194" i="87" s="1"/>
  <c r="I199" i="87" a="1"/>
  <c r="I199" i="87" s="1"/>
  <c r="H147" i="87" a="1"/>
  <c r="H147" i="87" s="1"/>
  <c r="G189" i="87" a="1"/>
  <c r="G189" i="87" s="1"/>
  <c r="Q152" i="87" a="1"/>
  <c r="Q152" i="87" s="1"/>
  <c r="Q199" i="87" a="1"/>
  <c r="Q199" i="87" s="1"/>
  <c r="E59" i="86"/>
  <c r="E12" i="13" s="1"/>
  <c r="I110" i="87" a="1"/>
  <c r="I110" i="87" s="1"/>
  <c r="S115" i="87" a="1"/>
  <c r="S115" i="87" s="1"/>
  <c r="H115" i="87" a="1"/>
  <c r="H115" i="87" s="1"/>
  <c r="F194" i="87" a="1"/>
  <c r="F194" i="87" s="1"/>
  <c r="O59" i="86"/>
  <c r="F12" i="13" s="1"/>
  <c r="P189" i="87" a="1"/>
  <c r="P189" i="87" s="1"/>
  <c r="P147" i="87" a="1"/>
  <c r="P147" i="87" s="1"/>
  <c r="P194" i="87" a="1"/>
  <c r="P194" i="87" s="1"/>
  <c r="S110" i="87" a="1"/>
  <c r="S110" i="87" s="1"/>
  <c r="S147" i="87" a="1"/>
  <c r="S147" i="87" s="1"/>
  <c r="G194" i="87" a="1"/>
  <c r="G194" i="87" s="1"/>
  <c r="G147" i="87" a="1"/>
  <c r="G147" i="87" s="1"/>
  <c r="H47" i="13"/>
  <c r="I47" i="13"/>
  <c r="D43" i="13" a="1"/>
  <c r="D43" i="13" s="1"/>
  <c r="E29" i="13" a="1"/>
  <c r="E29" i="13" s="1"/>
  <c r="F29" i="13" s="1"/>
  <c r="I29" i="13" s="1"/>
  <c r="I30" i="13" s="1"/>
  <c r="D29" i="13" a="1"/>
  <c r="D29" i="13" s="1"/>
  <c r="E68" i="72"/>
  <c r="E67" i="72"/>
  <c r="D64" i="72" a="1"/>
  <c r="D64" i="72" s="1"/>
  <c r="E64" i="72" s="1"/>
  <c r="D61" i="72"/>
  <c r="D51" i="72" a="1"/>
  <c r="D47" i="72" a="1"/>
  <c r="D47" i="72" s="1"/>
  <c r="D45" i="72"/>
  <c r="G39" i="72"/>
  <c r="E52" i="13" s="1"/>
  <c r="J59" i="78"/>
  <c r="J57" i="78"/>
  <c r="J56" i="78"/>
  <c r="J55" i="78"/>
  <c r="J48" i="78"/>
  <c r="J47" i="78"/>
  <c r="J46" i="78"/>
  <c r="J45" i="78"/>
  <c r="J36" i="78"/>
  <c r="J34" i="78"/>
  <c r="J33" i="78"/>
  <c r="J31" i="78"/>
  <c r="J25" i="78"/>
  <c r="J24" i="78"/>
  <c r="J23" i="78"/>
  <c r="J22" i="78"/>
  <c r="J21" i="78"/>
  <c r="J20" i="78"/>
  <c r="J14" i="78"/>
  <c r="J12" i="78"/>
  <c r="J11" i="78"/>
  <c r="J10" i="78"/>
  <c r="J8" i="78"/>
  <c r="D59" i="78"/>
  <c r="D57" i="78"/>
  <c r="D56" i="78"/>
  <c r="D55" i="78"/>
  <c r="D48" i="78"/>
  <c r="D47" i="78"/>
  <c r="D46" i="78"/>
  <c r="D45" i="78"/>
  <c r="D25" i="78"/>
  <c r="D24" i="78"/>
  <c r="D23" i="78"/>
  <c r="D22" i="78"/>
  <c r="D21" i="78"/>
  <c r="D20" i="78"/>
  <c r="E259" i="79" a="1"/>
  <c r="E259" i="79" s="1"/>
  <c r="D259" i="79" a="1"/>
  <c r="D259" i="79" s="1"/>
  <c r="E258" i="79" a="1"/>
  <c r="E258" i="79" s="1"/>
  <c r="D258" i="79" a="1"/>
  <c r="D258" i="79" s="1"/>
  <c r="D256" i="79" a="1"/>
  <c r="D256" i="79" s="1"/>
  <c r="D255" i="79" a="1"/>
  <c r="D255" i="79" s="1"/>
  <c r="D254" i="79" a="1"/>
  <c r="D254" i="79" s="1"/>
  <c r="D253" i="79" a="1"/>
  <c r="D253" i="79" s="1"/>
  <c r="S250" i="79" a="1"/>
  <c r="S250" i="79" s="1"/>
  <c r="R250" i="79" a="1"/>
  <c r="R250" i="79" s="1"/>
  <c r="Q250" i="79" a="1"/>
  <c r="Q250" i="79" s="1"/>
  <c r="P250" i="79" a="1"/>
  <c r="P250" i="79" s="1"/>
  <c r="O250" i="79" a="1"/>
  <c r="O250" i="79" s="1"/>
  <c r="N250" i="79" a="1"/>
  <c r="N250" i="79" s="1"/>
  <c r="M250" i="79" a="1"/>
  <c r="M250" i="79" s="1"/>
  <c r="L250" i="79" a="1"/>
  <c r="L250" i="79" s="1"/>
  <c r="K250" i="79" a="1"/>
  <c r="K250" i="79" s="1"/>
  <c r="J250" i="79" a="1"/>
  <c r="J250" i="79" s="1"/>
  <c r="I250" i="79" a="1"/>
  <c r="I250" i="79" s="1"/>
  <c r="H250" i="79" a="1"/>
  <c r="H250" i="79" s="1"/>
  <c r="G250" i="79" a="1"/>
  <c r="G250" i="79" s="1"/>
  <c r="F250" i="79" a="1"/>
  <c r="F250" i="79" s="1"/>
  <c r="E250" i="79" a="1"/>
  <c r="E250" i="79" s="1"/>
  <c r="D250" i="79" a="1"/>
  <c r="D250" i="79" s="1"/>
  <c r="S249" i="79" a="1"/>
  <c r="S249" i="79" s="1"/>
  <c r="R249" i="79" a="1"/>
  <c r="R249" i="79" s="1"/>
  <c r="Q249" i="79" a="1"/>
  <c r="Q249" i="79" s="1"/>
  <c r="P249" i="79" a="1"/>
  <c r="P249" i="79" s="1"/>
  <c r="O249" i="79" a="1"/>
  <c r="O249" i="79" s="1"/>
  <c r="N249" i="79" a="1"/>
  <c r="N249" i="79" s="1"/>
  <c r="M249" i="79" a="1"/>
  <c r="M249" i="79" s="1"/>
  <c r="L249" i="79" a="1"/>
  <c r="L249" i="79" s="1"/>
  <c r="K249" i="79" a="1"/>
  <c r="K249" i="79" s="1"/>
  <c r="J249" i="79" a="1"/>
  <c r="J249" i="79" s="1"/>
  <c r="I249" i="79" a="1"/>
  <c r="I249" i="79" s="1"/>
  <c r="H249" i="79" a="1"/>
  <c r="H249" i="79" s="1"/>
  <c r="G249" i="79" a="1"/>
  <c r="G249" i="79" s="1"/>
  <c r="F249" i="79" a="1"/>
  <c r="F249" i="79" s="1"/>
  <c r="E249" i="79" a="1"/>
  <c r="E249" i="79" s="1"/>
  <c r="D249" i="79" a="1"/>
  <c r="D249" i="79" s="1"/>
  <c r="S248" i="79" a="1"/>
  <c r="S248" i="79" s="1"/>
  <c r="R248" i="79" a="1"/>
  <c r="R248" i="79" s="1"/>
  <c r="Q248" i="79" a="1"/>
  <c r="Q248" i="79" s="1"/>
  <c r="P248" i="79" a="1"/>
  <c r="P248" i="79" s="1"/>
  <c r="O248" i="79" a="1"/>
  <c r="O248" i="79" s="1"/>
  <c r="N248" i="79" a="1"/>
  <c r="N248" i="79" s="1"/>
  <c r="M248" i="79" a="1"/>
  <c r="M248" i="79" s="1"/>
  <c r="L248" i="79" a="1"/>
  <c r="L248" i="79" s="1"/>
  <c r="K248" i="79" a="1"/>
  <c r="K248" i="79" s="1"/>
  <c r="J248" i="79" a="1"/>
  <c r="J248" i="79" s="1"/>
  <c r="I248" i="79" a="1"/>
  <c r="I248" i="79" s="1"/>
  <c r="H248" i="79" a="1"/>
  <c r="H248" i="79" s="1"/>
  <c r="G248" i="79" a="1"/>
  <c r="G248" i="79" s="1"/>
  <c r="F248" i="79" a="1"/>
  <c r="F248" i="79" s="1"/>
  <c r="E248" i="79" a="1"/>
  <c r="E248" i="79" s="1"/>
  <c r="D248" i="79" a="1"/>
  <c r="D248" i="79" s="1"/>
  <c r="S247" i="79" a="1"/>
  <c r="S247" i="79" s="1"/>
  <c r="R247" i="79" a="1"/>
  <c r="R247" i="79" s="1"/>
  <c r="Q247" i="79" a="1"/>
  <c r="Q247" i="79" s="1"/>
  <c r="P247" i="79" a="1"/>
  <c r="P247" i="79" s="1"/>
  <c r="O247" i="79" a="1"/>
  <c r="O247" i="79" s="1"/>
  <c r="N247" i="79" a="1"/>
  <c r="N247" i="79" s="1"/>
  <c r="M247" i="79" a="1"/>
  <c r="M247" i="79" s="1"/>
  <c r="L247" i="79" a="1"/>
  <c r="L247" i="79" s="1"/>
  <c r="K247" i="79" a="1"/>
  <c r="K247" i="79" s="1"/>
  <c r="J247" i="79" a="1"/>
  <c r="J247" i="79" s="1"/>
  <c r="I247" i="79" a="1"/>
  <c r="I247" i="79" s="1"/>
  <c r="H247" i="79" a="1"/>
  <c r="H247" i="79" s="1"/>
  <c r="G247" i="79" a="1"/>
  <c r="G247" i="79" s="1"/>
  <c r="F247" i="79" a="1"/>
  <c r="F247" i="79" s="1"/>
  <c r="E247" i="79" a="1"/>
  <c r="E247" i="79" s="1"/>
  <c r="D247" i="79" a="1"/>
  <c r="D247" i="79" s="1"/>
  <c r="S246" i="79" a="1"/>
  <c r="S246" i="79" s="1"/>
  <c r="R246" i="79" a="1"/>
  <c r="R246" i="79" s="1"/>
  <c r="Q246" i="79" a="1"/>
  <c r="Q246" i="79" s="1"/>
  <c r="P246" i="79" a="1"/>
  <c r="P246" i="79" s="1"/>
  <c r="O246" i="79" a="1"/>
  <c r="O246" i="79" s="1"/>
  <c r="N246" i="79" a="1"/>
  <c r="N246" i="79" s="1"/>
  <c r="M246" i="79" a="1"/>
  <c r="M246" i="79" s="1"/>
  <c r="L246" i="79" a="1"/>
  <c r="L246" i="79" s="1"/>
  <c r="K246" i="79" a="1"/>
  <c r="K246" i="79" s="1"/>
  <c r="J246" i="79" a="1"/>
  <c r="J246" i="79" s="1"/>
  <c r="I246" i="79" a="1"/>
  <c r="I246" i="79" s="1"/>
  <c r="H246" i="79" a="1"/>
  <c r="H246" i="79" s="1"/>
  <c r="G246" i="79" a="1"/>
  <c r="G246" i="79" s="1"/>
  <c r="F246" i="79" a="1"/>
  <c r="F246" i="79" s="1"/>
  <c r="E246" i="79" a="1"/>
  <c r="E246" i="79" s="1"/>
  <c r="D246" i="79" a="1"/>
  <c r="D246" i="79" s="1"/>
  <c r="S245" i="79" a="1"/>
  <c r="S245" i="79" s="1"/>
  <c r="R245" i="79" a="1"/>
  <c r="R245" i="79" s="1"/>
  <c r="Q245" i="79" a="1"/>
  <c r="Q245" i="79" s="1"/>
  <c r="P245" i="79" a="1"/>
  <c r="P245" i="79" s="1"/>
  <c r="O245" i="79" a="1"/>
  <c r="O245" i="79" s="1"/>
  <c r="N245" i="79" a="1"/>
  <c r="N245" i="79" s="1"/>
  <c r="M245" i="79" a="1"/>
  <c r="M245" i="79" s="1"/>
  <c r="L245" i="79" a="1"/>
  <c r="L245" i="79" s="1"/>
  <c r="K245" i="79" a="1"/>
  <c r="K245" i="79" s="1"/>
  <c r="J245" i="79" a="1"/>
  <c r="J245" i="79" s="1"/>
  <c r="I245" i="79" a="1"/>
  <c r="I245" i="79" s="1"/>
  <c r="H245" i="79" a="1"/>
  <c r="H245" i="79" s="1"/>
  <c r="G245" i="79" a="1"/>
  <c r="G245" i="79" s="1"/>
  <c r="F245" i="79" a="1"/>
  <c r="F245" i="79" s="1"/>
  <c r="E245" i="79" a="1"/>
  <c r="E245" i="79" s="1"/>
  <c r="D245" i="79" a="1"/>
  <c r="D245" i="79" s="1"/>
  <c r="S244" i="79" a="1"/>
  <c r="S244" i="79" s="1"/>
  <c r="R244" i="79" a="1"/>
  <c r="R244" i="79" s="1"/>
  <c r="Q244" i="79" a="1"/>
  <c r="Q244" i="79" s="1"/>
  <c r="P244" i="79" a="1"/>
  <c r="P244" i="79" s="1"/>
  <c r="O244" i="79" a="1"/>
  <c r="O244" i="79" s="1"/>
  <c r="N244" i="79" a="1"/>
  <c r="N244" i="79" s="1"/>
  <c r="M244" i="79" a="1"/>
  <c r="M244" i="79" s="1"/>
  <c r="L244" i="79" a="1"/>
  <c r="L244" i="79" s="1"/>
  <c r="K244" i="79" a="1"/>
  <c r="K244" i="79" s="1"/>
  <c r="J244" i="79" a="1"/>
  <c r="J244" i="79" s="1"/>
  <c r="I244" i="79" a="1"/>
  <c r="I244" i="79" s="1"/>
  <c r="H244" i="79" a="1"/>
  <c r="H244" i="79" s="1"/>
  <c r="G244" i="79" a="1"/>
  <c r="G244" i="79" s="1"/>
  <c r="F244" i="79" a="1"/>
  <c r="F244" i="79" s="1"/>
  <c r="E244" i="79" a="1"/>
  <c r="E244" i="79" s="1"/>
  <c r="D244" i="79" a="1"/>
  <c r="D244" i="79" s="1"/>
  <c r="S243" i="79" a="1"/>
  <c r="S243" i="79" s="1"/>
  <c r="R243" i="79" a="1"/>
  <c r="R243" i="79" s="1"/>
  <c r="Q243" i="79" a="1"/>
  <c r="Q243" i="79" s="1"/>
  <c r="P243" i="79" a="1"/>
  <c r="P243" i="79" s="1"/>
  <c r="O243" i="79" a="1"/>
  <c r="O243" i="79" s="1"/>
  <c r="N243" i="79" a="1"/>
  <c r="N243" i="79" s="1"/>
  <c r="M243" i="79" a="1"/>
  <c r="M243" i="79" s="1"/>
  <c r="L243" i="79" a="1"/>
  <c r="L243" i="79" s="1"/>
  <c r="K243" i="79" a="1"/>
  <c r="K243" i="79" s="1"/>
  <c r="J243" i="79" a="1"/>
  <c r="J243" i="79" s="1"/>
  <c r="I243" i="79" a="1"/>
  <c r="I243" i="79" s="1"/>
  <c r="H243" i="79" a="1"/>
  <c r="H243" i="79" s="1"/>
  <c r="G243" i="79" a="1"/>
  <c r="G243" i="79" s="1"/>
  <c r="F243" i="79" a="1"/>
  <c r="F243" i="79" s="1"/>
  <c r="E243" i="79" a="1"/>
  <c r="E243" i="79" s="1"/>
  <c r="D243" i="79" a="1"/>
  <c r="D243" i="79" s="1"/>
  <c r="S242" i="79" a="1"/>
  <c r="S242" i="79" s="1"/>
  <c r="R242" i="79" a="1"/>
  <c r="R242" i="79" s="1"/>
  <c r="Q242" i="79" a="1"/>
  <c r="Q242" i="79" s="1"/>
  <c r="P242" i="79" a="1"/>
  <c r="P242" i="79" s="1"/>
  <c r="O242" i="79" a="1"/>
  <c r="O242" i="79" s="1"/>
  <c r="N242" i="79" a="1"/>
  <c r="N242" i="79" s="1"/>
  <c r="M242" i="79" a="1"/>
  <c r="M242" i="79" s="1"/>
  <c r="L242" i="79" a="1"/>
  <c r="L242" i="79" s="1"/>
  <c r="K242" i="79" a="1"/>
  <c r="K242" i="79" s="1"/>
  <c r="J242" i="79" a="1"/>
  <c r="J242" i="79" s="1"/>
  <c r="I242" i="79" a="1"/>
  <c r="I242" i="79" s="1"/>
  <c r="H242" i="79" a="1"/>
  <c r="H242" i="79" s="1"/>
  <c r="G242" i="79" a="1"/>
  <c r="G242" i="79" s="1"/>
  <c r="F242" i="79" a="1"/>
  <c r="F242" i="79" s="1"/>
  <c r="E242" i="79" a="1"/>
  <c r="E242" i="79" s="1"/>
  <c r="D242" i="79" a="1"/>
  <c r="D242" i="79" s="1"/>
  <c r="S241" i="79" a="1"/>
  <c r="S241" i="79" s="1"/>
  <c r="R241" i="79" a="1"/>
  <c r="R241" i="79" s="1"/>
  <c r="Q241" i="79" a="1"/>
  <c r="Q241" i="79" s="1"/>
  <c r="P241" i="79" a="1"/>
  <c r="P241" i="79" s="1"/>
  <c r="O241" i="79" a="1"/>
  <c r="O241" i="79" s="1"/>
  <c r="N241" i="79" a="1"/>
  <c r="N241" i="79" s="1"/>
  <c r="M241" i="79" a="1"/>
  <c r="M241" i="79" s="1"/>
  <c r="L241" i="79" a="1"/>
  <c r="L241" i="79" s="1"/>
  <c r="K241" i="79" a="1"/>
  <c r="K241" i="79" s="1"/>
  <c r="J241" i="79" a="1"/>
  <c r="J241" i="79" s="1"/>
  <c r="I241" i="79" a="1"/>
  <c r="I241" i="79" s="1"/>
  <c r="H241" i="79" a="1"/>
  <c r="H241" i="79" s="1"/>
  <c r="G241" i="79" a="1"/>
  <c r="G241" i="79" s="1"/>
  <c r="F241" i="79" a="1"/>
  <c r="F241" i="79" s="1"/>
  <c r="E241" i="79" a="1"/>
  <c r="E241" i="79" s="1"/>
  <c r="D241" i="79" a="1"/>
  <c r="D241" i="79" s="1"/>
  <c r="S240" i="79" a="1"/>
  <c r="S240" i="79" s="1"/>
  <c r="R240" i="79" a="1"/>
  <c r="R240" i="79" s="1"/>
  <c r="Q240" i="79" a="1"/>
  <c r="Q240" i="79" s="1"/>
  <c r="P240" i="79" a="1"/>
  <c r="P240" i="79" s="1"/>
  <c r="O240" i="79" a="1"/>
  <c r="O240" i="79" s="1"/>
  <c r="N240" i="79" a="1"/>
  <c r="N240" i="79" s="1"/>
  <c r="M240" i="79" a="1"/>
  <c r="M240" i="79" s="1"/>
  <c r="L240" i="79" a="1"/>
  <c r="L240" i="79" s="1"/>
  <c r="K240" i="79" a="1"/>
  <c r="K240" i="79" s="1"/>
  <c r="J240" i="79" a="1"/>
  <c r="J240" i="79" s="1"/>
  <c r="I240" i="79" a="1"/>
  <c r="I240" i="79" s="1"/>
  <c r="H240" i="79" a="1"/>
  <c r="H240" i="79" s="1"/>
  <c r="G240" i="79" a="1"/>
  <c r="G240" i="79" s="1"/>
  <c r="F240" i="79" a="1"/>
  <c r="F240" i="79" s="1"/>
  <c r="E240" i="79" a="1"/>
  <c r="E240" i="79" s="1"/>
  <c r="D240" i="79" a="1"/>
  <c r="D240" i="79" s="1"/>
  <c r="S239" i="79" a="1"/>
  <c r="S239" i="79" s="1"/>
  <c r="R239" i="79" a="1"/>
  <c r="R239" i="79" s="1"/>
  <c r="Q239" i="79" a="1"/>
  <c r="Q239" i="79" s="1"/>
  <c r="P239" i="79" a="1"/>
  <c r="P239" i="79" s="1"/>
  <c r="O239" i="79" a="1"/>
  <c r="O239" i="79" s="1"/>
  <c r="N239" i="79" a="1"/>
  <c r="N239" i="79" s="1"/>
  <c r="M239" i="79" a="1"/>
  <c r="M239" i="79" s="1"/>
  <c r="L239" i="79" a="1"/>
  <c r="L239" i="79" s="1"/>
  <c r="K239" i="79" a="1"/>
  <c r="K239" i="79" s="1"/>
  <c r="J239" i="79" a="1"/>
  <c r="J239" i="79" s="1"/>
  <c r="I239" i="79" a="1"/>
  <c r="I239" i="79" s="1"/>
  <c r="H239" i="79" a="1"/>
  <c r="H239" i="79" s="1"/>
  <c r="G239" i="79" a="1"/>
  <c r="G239" i="79" s="1"/>
  <c r="F239" i="79" a="1"/>
  <c r="F239" i="79" s="1"/>
  <c r="E239" i="79" a="1"/>
  <c r="E239" i="79" s="1"/>
  <c r="D239" i="79" a="1"/>
  <c r="D239" i="79" s="1"/>
  <c r="S238" i="79" a="1"/>
  <c r="S238" i="79" s="1"/>
  <c r="R238" i="79" a="1"/>
  <c r="R238" i="79" s="1"/>
  <c r="Q238" i="79" a="1"/>
  <c r="Q238" i="79" s="1"/>
  <c r="P238" i="79" a="1"/>
  <c r="P238" i="79" s="1"/>
  <c r="O238" i="79" a="1"/>
  <c r="O238" i="79" s="1"/>
  <c r="N238" i="79" a="1"/>
  <c r="N238" i="79" s="1"/>
  <c r="M238" i="79" a="1"/>
  <c r="M238" i="79" s="1"/>
  <c r="L238" i="79" a="1"/>
  <c r="L238" i="79" s="1"/>
  <c r="K238" i="79" a="1"/>
  <c r="K238" i="79" s="1"/>
  <c r="J238" i="79" a="1"/>
  <c r="J238" i="79" s="1"/>
  <c r="I238" i="79" a="1"/>
  <c r="I238" i="79" s="1"/>
  <c r="H238" i="79" a="1"/>
  <c r="H238" i="79" s="1"/>
  <c r="G238" i="79" a="1"/>
  <c r="G238" i="79" s="1"/>
  <c r="F238" i="79" a="1"/>
  <c r="F238" i="79" s="1"/>
  <c r="E238" i="79" a="1"/>
  <c r="E238" i="79" s="1"/>
  <c r="D238" i="79" a="1"/>
  <c r="D238" i="79" s="1"/>
  <c r="S237" i="79" a="1"/>
  <c r="S237" i="79" s="1"/>
  <c r="R237" i="79" a="1"/>
  <c r="R237" i="79" s="1"/>
  <c r="Q237" i="79" a="1"/>
  <c r="Q237" i="79" s="1"/>
  <c r="P237" i="79" a="1"/>
  <c r="P237" i="79" s="1"/>
  <c r="O237" i="79" a="1"/>
  <c r="O237" i="79" s="1"/>
  <c r="N237" i="79" a="1"/>
  <c r="N237" i="79" s="1"/>
  <c r="M237" i="79" a="1"/>
  <c r="M237" i="79" s="1"/>
  <c r="L237" i="79" a="1"/>
  <c r="L237" i="79" s="1"/>
  <c r="K237" i="79" a="1"/>
  <c r="K237" i="79" s="1"/>
  <c r="J237" i="79" a="1"/>
  <c r="J237" i="79" s="1"/>
  <c r="I237" i="79" a="1"/>
  <c r="I237" i="79" s="1"/>
  <c r="H237" i="79" a="1"/>
  <c r="H237" i="79" s="1"/>
  <c r="G237" i="79" a="1"/>
  <c r="G237" i="79" s="1"/>
  <c r="F237" i="79" a="1"/>
  <c r="F237" i="79" s="1"/>
  <c r="E237" i="79" a="1"/>
  <c r="E237" i="79" s="1"/>
  <c r="D237" i="79" a="1"/>
  <c r="D237" i="79" s="1"/>
  <c r="S236" i="79" a="1"/>
  <c r="S236" i="79" s="1"/>
  <c r="R236" i="79" a="1"/>
  <c r="R236" i="79" s="1"/>
  <c r="Q236" i="79" a="1"/>
  <c r="Q236" i="79" s="1"/>
  <c r="P236" i="79" a="1"/>
  <c r="P236" i="79" s="1"/>
  <c r="O236" i="79" a="1"/>
  <c r="O236" i="79" s="1"/>
  <c r="N236" i="79" a="1"/>
  <c r="N236" i="79" s="1"/>
  <c r="M236" i="79" a="1"/>
  <c r="M236" i="79" s="1"/>
  <c r="L236" i="79" a="1"/>
  <c r="L236" i="79" s="1"/>
  <c r="K236" i="79" a="1"/>
  <c r="K236" i="79" s="1"/>
  <c r="J236" i="79" a="1"/>
  <c r="J236" i="79" s="1"/>
  <c r="I236" i="79" a="1"/>
  <c r="I236" i="79" s="1"/>
  <c r="H236" i="79" a="1"/>
  <c r="H236" i="79" s="1"/>
  <c r="G236" i="79" a="1"/>
  <c r="G236" i="79" s="1"/>
  <c r="F236" i="79" a="1"/>
  <c r="F236" i="79" s="1"/>
  <c r="E236" i="79" a="1"/>
  <c r="E236" i="79" s="1"/>
  <c r="D236" i="79" a="1"/>
  <c r="D236" i="79" s="1"/>
  <c r="S235" i="79" a="1"/>
  <c r="S235" i="79" s="1"/>
  <c r="R235" i="79" a="1"/>
  <c r="R235" i="79" s="1"/>
  <c r="Q235" i="79" a="1"/>
  <c r="Q235" i="79" s="1"/>
  <c r="P235" i="79" a="1"/>
  <c r="P235" i="79" s="1"/>
  <c r="O235" i="79" a="1"/>
  <c r="O235" i="79" s="1"/>
  <c r="N235" i="79" a="1"/>
  <c r="N235" i="79" s="1"/>
  <c r="M235" i="79" a="1"/>
  <c r="M235" i="79" s="1"/>
  <c r="L235" i="79" a="1"/>
  <c r="L235" i="79" s="1"/>
  <c r="K235" i="79" a="1"/>
  <c r="K235" i="79" s="1"/>
  <c r="J235" i="79" a="1"/>
  <c r="J235" i="79" s="1"/>
  <c r="I235" i="79" a="1"/>
  <c r="I235" i="79" s="1"/>
  <c r="H235" i="79" a="1"/>
  <c r="H235" i="79" s="1"/>
  <c r="G235" i="79" a="1"/>
  <c r="G235" i="79" s="1"/>
  <c r="F235" i="79" a="1"/>
  <c r="F235" i="79" s="1"/>
  <c r="E235" i="79" a="1"/>
  <c r="E235" i="79" s="1"/>
  <c r="D235" i="79" a="1"/>
  <c r="D235" i="79" s="1"/>
  <c r="S234" i="79" a="1"/>
  <c r="S234" i="79" s="1"/>
  <c r="R234" i="79" a="1"/>
  <c r="R234" i="79" s="1"/>
  <c r="Q234" i="79" a="1"/>
  <c r="Q234" i="79" s="1"/>
  <c r="P234" i="79" a="1"/>
  <c r="P234" i="79" s="1"/>
  <c r="O234" i="79" a="1"/>
  <c r="O234" i="79" s="1"/>
  <c r="N234" i="79" a="1"/>
  <c r="N234" i="79" s="1"/>
  <c r="M234" i="79" a="1"/>
  <c r="M234" i="79" s="1"/>
  <c r="L234" i="79" a="1"/>
  <c r="L234" i="79" s="1"/>
  <c r="K234" i="79" a="1"/>
  <c r="K234" i="79" s="1"/>
  <c r="J234" i="79" a="1"/>
  <c r="J234" i="79" s="1"/>
  <c r="I234" i="79" a="1"/>
  <c r="I234" i="79" s="1"/>
  <c r="H234" i="79" a="1"/>
  <c r="H234" i="79" s="1"/>
  <c r="G234" i="79" a="1"/>
  <c r="G234" i="79" s="1"/>
  <c r="F234" i="79" a="1"/>
  <c r="F234" i="79" s="1"/>
  <c r="E234" i="79" a="1"/>
  <c r="E234" i="79" s="1"/>
  <c r="D234" i="79" a="1"/>
  <c r="D234" i="79" s="1"/>
  <c r="S233" i="79" a="1"/>
  <c r="S233" i="79" s="1"/>
  <c r="R233" i="79" a="1"/>
  <c r="R233" i="79" s="1"/>
  <c r="Q233" i="79" a="1"/>
  <c r="Q233" i="79" s="1"/>
  <c r="P233" i="79" a="1"/>
  <c r="P233" i="79" s="1"/>
  <c r="O233" i="79" a="1"/>
  <c r="O233" i="79" s="1"/>
  <c r="N233" i="79" a="1"/>
  <c r="N233" i="79" s="1"/>
  <c r="M233" i="79" a="1"/>
  <c r="M233" i="79" s="1"/>
  <c r="L233" i="79" a="1"/>
  <c r="L233" i="79" s="1"/>
  <c r="K233" i="79" a="1"/>
  <c r="K233" i="79" s="1"/>
  <c r="J233" i="79" a="1"/>
  <c r="J233" i="79" s="1"/>
  <c r="I233" i="79" a="1"/>
  <c r="I233" i="79" s="1"/>
  <c r="H233" i="79" a="1"/>
  <c r="H233" i="79" s="1"/>
  <c r="G233" i="79" a="1"/>
  <c r="G233" i="79" s="1"/>
  <c r="F233" i="79" a="1"/>
  <c r="F233" i="79" s="1"/>
  <c r="E233" i="79" a="1"/>
  <c r="E233" i="79" s="1"/>
  <c r="D233" i="79" a="1"/>
  <c r="D233" i="79" s="1"/>
  <c r="S232" i="79" a="1"/>
  <c r="S232" i="79" s="1"/>
  <c r="R232" i="79" a="1"/>
  <c r="R232" i="79" s="1"/>
  <c r="Q232" i="79" a="1"/>
  <c r="Q232" i="79" s="1"/>
  <c r="P232" i="79" a="1"/>
  <c r="P232" i="79" s="1"/>
  <c r="O232" i="79" a="1"/>
  <c r="O232" i="79" s="1"/>
  <c r="N232" i="79" a="1"/>
  <c r="N232" i="79" s="1"/>
  <c r="M232" i="79" a="1"/>
  <c r="M232" i="79" s="1"/>
  <c r="L232" i="79" a="1"/>
  <c r="L232" i="79" s="1"/>
  <c r="K232" i="79" a="1"/>
  <c r="K232" i="79" s="1"/>
  <c r="J232" i="79" a="1"/>
  <c r="J232" i="79" s="1"/>
  <c r="I232" i="79" a="1"/>
  <c r="I232" i="79" s="1"/>
  <c r="H232" i="79" a="1"/>
  <c r="H232" i="79" s="1"/>
  <c r="G232" i="79" a="1"/>
  <c r="G232" i="79" s="1"/>
  <c r="F232" i="79" a="1"/>
  <c r="F232" i="79" s="1"/>
  <c r="E232" i="79" a="1"/>
  <c r="E232" i="79" s="1"/>
  <c r="D232" i="79" a="1"/>
  <c r="D232" i="79" s="1"/>
  <c r="D229" i="79" a="1"/>
  <c r="D229" i="79" s="1"/>
  <c r="D228" i="79" a="1"/>
  <c r="D228" i="79" s="1"/>
  <c r="D227" i="79" a="1"/>
  <c r="D227" i="79" s="1"/>
  <c r="E224" i="79" a="1"/>
  <c r="E224" i="79" s="1"/>
  <c r="D224" i="79" a="1"/>
  <c r="D224" i="79" s="1"/>
  <c r="E223" i="79" a="1"/>
  <c r="E223" i="79" s="1"/>
  <c r="D223" i="79" a="1"/>
  <c r="D223" i="79" s="1"/>
  <c r="E222" i="79" a="1"/>
  <c r="E222" i="79" s="1"/>
  <c r="D222" i="79" a="1"/>
  <c r="D222" i="79" s="1"/>
  <c r="E221" i="79" a="1"/>
  <c r="E221" i="79" s="1"/>
  <c r="D221" i="79" a="1"/>
  <c r="D221" i="79" s="1"/>
  <c r="E220" i="79" a="1"/>
  <c r="E220" i="79" s="1"/>
  <c r="D220" i="79" a="1"/>
  <c r="D220" i="79" s="1"/>
  <c r="E219" i="79" a="1"/>
  <c r="E219" i="79" s="1"/>
  <c r="D219" i="79" a="1"/>
  <c r="D219" i="79" s="1"/>
  <c r="E218" i="79" a="1"/>
  <c r="E218" i="79" s="1"/>
  <c r="D218" i="79" a="1"/>
  <c r="D218" i="79" s="1"/>
  <c r="E217" i="79" a="1"/>
  <c r="E217" i="79" s="1"/>
  <c r="D217" i="79" a="1"/>
  <c r="D217" i="79" s="1"/>
  <c r="E216" i="79" a="1"/>
  <c r="E216" i="79" s="1"/>
  <c r="D216" i="79" a="1"/>
  <c r="D216" i="79" s="1"/>
  <c r="E215" i="79" a="1"/>
  <c r="E215" i="79" s="1"/>
  <c r="D215" i="79" a="1"/>
  <c r="D215" i="79" s="1"/>
  <c r="E214" i="79" a="1"/>
  <c r="E214" i="79" s="1"/>
  <c r="D214" i="79" a="1"/>
  <c r="D214" i="79" s="1"/>
  <c r="E213" i="79" a="1"/>
  <c r="E213" i="79" s="1"/>
  <c r="D213" i="79" a="1"/>
  <c r="D213" i="79" s="1"/>
  <c r="D211" i="79" a="1"/>
  <c r="D211" i="79" s="1"/>
  <c r="E208" i="79" a="1"/>
  <c r="E208" i="79" s="1"/>
  <c r="D208" i="79" a="1"/>
  <c r="D208" i="79" s="1"/>
  <c r="E207" i="79" a="1"/>
  <c r="E207" i="79" s="1"/>
  <c r="D207" i="79" a="1"/>
  <c r="D207" i="79" s="1"/>
  <c r="D205" i="79" a="1"/>
  <c r="D205" i="79" s="1"/>
  <c r="D204" i="79" a="1"/>
  <c r="D204" i="79" s="1"/>
  <c r="D203" i="79" a="1"/>
  <c r="D203" i="79" s="1"/>
  <c r="D202" i="79" a="1"/>
  <c r="D202" i="79" s="1"/>
  <c r="H199" i="79" a="1"/>
  <c r="H199" i="79" s="1"/>
  <c r="G199" i="79" a="1"/>
  <c r="G199" i="79" s="1"/>
  <c r="F199" i="79" a="1"/>
  <c r="F199" i="79" s="1"/>
  <c r="E199" i="79" a="1"/>
  <c r="E199" i="79" s="1"/>
  <c r="D199" i="79" a="1"/>
  <c r="D199" i="79" s="1"/>
  <c r="H198" i="79" a="1"/>
  <c r="H198" i="79" s="1"/>
  <c r="G198" i="79" a="1"/>
  <c r="G198" i="79" s="1"/>
  <c r="F198" i="79" a="1"/>
  <c r="F198" i="79" s="1"/>
  <c r="E198" i="79" a="1"/>
  <c r="E198" i="79" s="1"/>
  <c r="D198" i="79" a="1"/>
  <c r="D198" i="79" s="1"/>
  <c r="H197" i="79" a="1"/>
  <c r="H197" i="79" s="1"/>
  <c r="G197" i="79" a="1"/>
  <c r="G197" i="79" s="1"/>
  <c r="F197" i="79" a="1"/>
  <c r="F197" i="79" s="1"/>
  <c r="E197" i="79" a="1"/>
  <c r="E197" i="79" s="1"/>
  <c r="D197" i="79" a="1"/>
  <c r="D197" i="79" s="1"/>
  <c r="H196" i="79" a="1"/>
  <c r="H196" i="79" s="1"/>
  <c r="G196" i="79" a="1"/>
  <c r="G196" i="79" s="1"/>
  <c r="F196" i="79" a="1"/>
  <c r="F196" i="79" s="1"/>
  <c r="E196" i="79" a="1"/>
  <c r="E196" i="79" s="1"/>
  <c r="D196" i="79" a="1"/>
  <c r="D196" i="79" s="1"/>
  <c r="H195" i="79" a="1"/>
  <c r="H195" i="79" s="1"/>
  <c r="G195" i="79" a="1"/>
  <c r="G195" i="79" s="1"/>
  <c r="F195" i="79" a="1"/>
  <c r="F195" i="79" s="1"/>
  <c r="E195" i="79" a="1"/>
  <c r="E195" i="79" s="1"/>
  <c r="D195" i="79" a="1"/>
  <c r="D195" i="79" s="1"/>
  <c r="H194" i="79" a="1"/>
  <c r="H194" i="79" s="1"/>
  <c r="G194" i="79" a="1"/>
  <c r="G194" i="79" s="1"/>
  <c r="F194" i="79" a="1"/>
  <c r="F194" i="79" s="1"/>
  <c r="E194" i="79" a="1"/>
  <c r="E194" i="79" s="1"/>
  <c r="D194" i="79" a="1"/>
  <c r="D194" i="79" s="1"/>
  <c r="H193" i="79" a="1"/>
  <c r="H193" i="79" s="1"/>
  <c r="G193" i="79" a="1"/>
  <c r="G193" i="79" s="1"/>
  <c r="F193" i="79" a="1"/>
  <c r="F193" i="79" s="1"/>
  <c r="E193" i="79" a="1"/>
  <c r="E193" i="79" s="1"/>
  <c r="D193" i="79" a="1"/>
  <c r="D193" i="79" s="1"/>
  <c r="H192" i="79" a="1"/>
  <c r="H192" i="79" s="1"/>
  <c r="G192" i="79" a="1"/>
  <c r="G192" i="79" s="1"/>
  <c r="F192" i="79" a="1"/>
  <c r="F192" i="79" s="1"/>
  <c r="E192" i="79" a="1"/>
  <c r="E192" i="79" s="1"/>
  <c r="D192" i="79" a="1"/>
  <c r="D192" i="79" s="1"/>
  <c r="H191" i="79" a="1"/>
  <c r="H191" i="79" s="1"/>
  <c r="G191" i="79" a="1"/>
  <c r="G191" i="79" s="1"/>
  <c r="F191" i="79" a="1"/>
  <c r="F191" i="79" s="1"/>
  <c r="E191" i="79" a="1"/>
  <c r="E191" i="79" s="1"/>
  <c r="D191" i="79" a="1"/>
  <c r="D191" i="79" s="1"/>
  <c r="H190" i="79" a="1"/>
  <c r="H190" i="79" s="1"/>
  <c r="G190" i="79" a="1"/>
  <c r="G190" i="79" s="1"/>
  <c r="F190" i="79" a="1"/>
  <c r="F190" i="79" s="1"/>
  <c r="E190" i="79" a="1"/>
  <c r="E190" i="79" s="1"/>
  <c r="D190" i="79" a="1"/>
  <c r="D190" i="79" s="1"/>
  <c r="H189" i="79" a="1"/>
  <c r="H189" i="79" s="1"/>
  <c r="G189" i="79" a="1"/>
  <c r="G189" i="79" s="1"/>
  <c r="F189" i="79" a="1"/>
  <c r="F189" i="79" s="1"/>
  <c r="E189" i="79" a="1"/>
  <c r="E189" i="79" s="1"/>
  <c r="D189" i="79" a="1"/>
  <c r="D189" i="79" s="1"/>
  <c r="H188" i="79" a="1"/>
  <c r="H188" i="79" s="1"/>
  <c r="G188" i="79" a="1"/>
  <c r="G188" i="79" s="1"/>
  <c r="F188" i="79" a="1"/>
  <c r="F188" i="79" s="1"/>
  <c r="G46" i="91" s="1"/>
  <c r="E188" i="79" a="1"/>
  <c r="E188" i="79" s="1"/>
  <c r="D188" i="79" a="1"/>
  <c r="D188" i="79" s="1"/>
  <c r="H187" i="79" a="1"/>
  <c r="H187" i="79" s="1"/>
  <c r="G187" i="79" a="1"/>
  <c r="G187" i="79" s="1"/>
  <c r="F187" i="79" a="1"/>
  <c r="F187" i="79" s="1"/>
  <c r="E187" i="79" a="1"/>
  <c r="E187" i="79" s="1"/>
  <c r="D187" i="79" a="1"/>
  <c r="D187" i="79" s="1"/>
  <c r="D181" i="79" a="1"/>
  <c r="D181" i="79" s="1"/>
  <c r="D180" i="79" a="1"/>
  <c r="D180" i="79" s="1"/>
  <c r="D179" i="79" a="1"/>
  <c r="D179" i="79" s="1"/>
  <c r="D178" i="79" a="1"/>
  <c r="D178" i="79" s="1"/>
  <c r="E175" i="79" a="1"/>
  <c r="E175" i="79" s="1"/>
  <c r="D175" i="79" a="1"/>
  <c r="D175" i="79" s="1"/>
  <c r="D174" i="79" a="1"/>
  <c r="D174" i="79" s="1"/>
  <c r="D173" i="79" a="1"/>
  <c r="D173" i="79" s="1"/>
  <c r="D170" i="79" a="1"/>
  <c r="D170" i="79" s="1"/>
  <c r="D169" i="79" a="1"/>
  <c r="D169" i="79" s="1"/>
  <c r="D168" i="79" a="1"/>
  <c r="D168" i="79" s="1"/>
  <c r="D167" i="79" a="1"/>
  <c r="D167" i="79" s="1"/>
  <c r="D164" i="79" a="1"/>
  <c r="D164" i="79" s="1"/>
  <c r="D163" i="79" a="1"/>
  <c r="D163" i="79" s="1"/>
  <c r="D162" i="79" a="1"/>
  <c r="D162" i="79" s="1"/>
  <c r="D161" i="79" a="1"/>
  <c r="D161" i="79" s="1"/>
  <c r="E158" i="79" a="1"/>
  <c r="E158" i="79" s="1"/>
  <c r="D158" i="79" a="1"/>
  <c r="D158" i="79" s="1"/>
  <c r="E157" i="79" a="1"/>
  <c r="E157" i="79" s="1"/>
  <c r="D157" i="79" a="1"/>
  <c r="D157" i="79" s="1"/>
  <c r="E156" i="79" a="1"/>
  <c r="E156" i="79" s="1"/>
  <c r="D156" i="79" a="1"/>
  <c r="D156" i="79" s="1"/>
  <c r="E155" i="79" a="1"/>
  <c r="E155" i="79" s="1"/>
  <c r="D155" i="79" a="1"/>
  <c r="D155" i="79" s="1"/>
  <c r="E154" i="79" a="1"/>
  <c r="E154" i="79" s="1"/>
  <c r="D154" i="79" a="1"/>
  <c r="D154" i="79" s="1"/>
  <c r="D151" i="79" a="1"/>
  <c r="D151" i="79" s="1"/>
  <c r="D150" i="79" a="1"/>
  <c r="D150" i="79" s="1"/>
  <c r="E147" i="79" a="1"/>
  <c r="E147" i="79" s="1"/>
  <c r="D147" i="79" a="1"/>
  <c r="D147" i="79" s="1"/>
  <c r="E146" i="79" a="1"/>
  <c r="E146" i="79" s="1"/>
  <c r="D146" i="79" a="1"/>
  <c r="D146" i="79" s="1"/>
  <c r="E145" i="79" a="1"/>
  <c r="E145" i="79" s="1"/>
  <c r="D145" i="79" a="1"/>
  <c r="D145" i="79" s="1"/>
  <c r="E144" i="79" a="1"/>
  <c r="E144" i="79" s="1"/>
  <c r="D144" i="79" a="1"/>
  <c r="D144" i="79" s="1"/>
  <c r="E143" i="79" a="1"/>
  <c r="E143" i="79" s="1"/>
  <c r="D143" i="79" a="1"/>
  <c r="D143" i="79" s="1"/>
  <c r="D141" i="79" a="1"/>
  <c r="D141" i="79" s="1"/>
  <c r="D140" i="79" a="1"/>
  <c r="D140" i="79" s="1"/>
  <c r="D139" i="79" a="1"/>
  <c r="D139" i="79" s="1"/>
  <c r="E136" i="79" a="1"/>
  <c r="E136" i="79" s="1"/>
  <c r="D136" i="79" a="1"/>
  <c r="D136" i="79" s="1"/>
  <c r="E135" i="79" a="1"/>
  <c r="E135" i="79" s="1"/>
  <c r="D135" i="79" a="1"/>
  <c r="D135" i="79" s="1"/>
  <c r="D133" i="79" a="1"/>
  <c r="D133" i="79" s="1"/>
  <c r="D132" i="79" a="1"/>
  <c r="D132" i="79" s="1"/>
  <c r="E129" i="79" a="1"/>
  <c r="E129" i="79" s="1"/>
  <c r="D129" i="79" a="1"/>
  <c r="D129" i="79" s="1"/>
  <c r="E128" i="79" a="1"/>
  <c r="E128" i="79" s="1"/>
  <c r="D128" i="79" a="1"/>
  <c r="D128" i="79" s="1"/>
  <c r="D125" i="79" a="1"/>
  <c r="D125" i="79" s="1"/>
  <c r="D124" i="79" a="1"/>
  <c r="D124" i="79" s="1"/>
  <c r="G121" i="79" a="1"/>
  <c r="G121" i="79" s="1"/>
  <c r="F121" i="79" a="1"/>
  <c r="F121" i="79" s="1"/>
  <c r="E121" i="79" a="1"/>
  <c r="E121" i="79" s="1"/>
  <c r="D121" i="79" a="1"/>
  <c r="D121" i="79" s="1"/>
  <c r="G120" i="79" a="1"/>
  <c r="G120" i="79" s="1"/>
  <c r="F120" i="79" a="1"/>
  <c r="F120" i="79" s="1"/>
  <c r="E120" i="79" a="1"/>
  <c r="E120" i="79" s="1"/>
  <c r="D120" i="79" a="1"/>
  <c r="D120" i="79" s="1"/>
  <c r="D117" i="79" a="1"/>
  <c r="D117" i="79" s="1"/>
  <c r="D116" i="79" a="1"/>
  <c r="D116" i="79" s="1"/>
  <c r="D115" i="79" a="1"/>
  <c r="D115" i="79" s="1"/>
  <c r="G112" i="79" a="1"/>
  <c r="G112" i="79" s="1"/>
  <c r="F112" i="79" a="1"/>
  <c r="F112" i="79" s="1"/>
  <c r="E112" i="79" a="1"/>
  <c r="E112" i="79" s="1"/>
  <c r="D112" i="79" a="1"/>
  <c r="D112" i="79" s="1"/>
  <c r="G111" i="79" a="1"/>
  <c r="G111" i="79" s="1"/>
  <c r="F111" i="79" a="1"/>
  <c r="F111" i="79" s="1"/>
  <c r="E111" i="79" a="1"/>
  <c r="E111" i="79" s="1"/>
  <c r="D111" i="79" a="1"/>
  <c r="D111" i="79" s="1"/>
  <c r="G110" i="79" a="1"/>
  <c r="G110" i="79" s="1"/>
  <c r="F110" i="79" a="1"/>
  <c r="F110" i="79" s="1"/>
  <c r="E110" i="79" a="1"/>
  <c r="E110" i="79" s="1"/>
  <c r="D110" i="79" a="1"/>
  <c r="D110" i="79" s="1"/>
  <c r="D107" i="79" a="1"/>
  <c r="D107" i="79" s="1"/>
  <c r="D106" i="79" a="1"/>
  <c r="D106" i="79" s="1"/>
  <c r="D105" i="79" a="1"/>
  <c r="D105" i="79" s="1"/>
  <c r="D99" i="79" a="1"/>
  <c r="D99" i="79" s="1"/>
  <c r="S97" i="79" a="1"/>
  <c r="S97" i="79" s="1"/>
  <c r="R97" i="79" a="1"/>
  <c r="R97" i="79" s="1"/>
  <c r="Q97" i="79" a="1"/>
  <c r="Q97" i="79" s="1"/>
  <c r="P97" i="79" a="1"/>
  <c r="P97" i="79" s="1"/>
  <c r="O97" i="79" a="1"/>
  <c r="O97" i="79" s="1"/>
  <c r="N97" i="79" a="1"/>
  <c r="N97" i="79" s="1"/>
  <c r="M97" i="79" a="1"/>
  <c r="M97" i="79" s="1"/>
  <c r="L97" i="79" a="1"/>
  <c r="L97" i="79" s="1"/>
  <c r="K97" i="79" a="1"/>
  <c r="K97" i="79" s="1"/>
  <c r="J97" i="79" a="1"/>
  <c r="J97" i="79" s="1"/>
  <c r="I97" i="79" a="1"/>
  <c r="I97" i="79" s="1"/>
  <c r="H97" i="79" a="1"/>
  <c r="H97" i="79" s="1"/>
  <c r="G97" i="79" a="1"/>
  <c r="G97" i="79" s="1"/>
  <c r="F97" i="79" a="1"/>
  <c r="F97" i="79" s="1"/>
  <c r="E97" i="79" a="1"/>
  <c r="E97" i="79" s="1"/>
  <c r="D97" i="79" a="1"/>
  <c r="D97" i="79" s="1"/>
  <c r="S96" i="79" a="1"/>
  <c r="S96" i="79" s="1"/>
  <c r="R96" i="79" a="1"/>
  <c r="R96" i="79" s="1"/>
  <c r="Q96" i="79" a="1"/>
  <c r="Q96" i="79" s="1"/>
  <c r="P96" i="79" a="1"/>
  <c r="P96" i="79" s="1"/>
  <c r="O96" i="79" a="1"/>
  <c r="O96" i="79" s="1"/>
  <c r="N96" i="79" a="1"/>
  <c r="N96" i="79" s="1"/>
  <c r="M96" i="79" a="1"/>
  <c r="M96" i="79" s="1"/>
  <c r="L96" i="79" a="1"/>
  <c r="L96" i="79" s="1"/>
  <c r="K96" i="79" a="1"/>
  <c r="K96" i="79" s="1"/>
  <c r="J96" i="79" a="1"/>
  <c r="J96" i="79" s="1"/>
  <c r="I96" i="79" a="1"/>
  <c r="I96" i="79" s="1"/>
  <c r="H96" i="79" a="1"/>
  <c r="H96" i="79" s="1"/>
  <c r="G96" i="79" a="1"/>
  <c r="G96" i="79" s="1"/>
  <c r="F96" i="79" a="1"/>
  <c r="F96" i="79" s="1"/>
  <c r="E96" i="79" a="1"/>
  <c r="E96" i="79" s="1"/>
  <c r="D96" i="79" a="1"/>
  <c r="D96" i="79" s="1"/>
  <c r="S95" i="79" a="1"/>
  <c r="S95" i="79" s="1"/>
  <c r="R95" i="79" a="1"/>
  <c r="R95" i="79" s="1"/>
  <c r="Q95" i="79" a="1"/>
  <c r="Q95" i="79" s="1"/>
  <c r="P95" i="79" a="1"/>
  <c r="P95" i="79" s="1"/>
  <c r="O95" i="79" a="1"/>
  <c r="O95" i="79" s="1"/>
  <c r="N95" i="79" a="1"/>
  <c r="N95" i="79" s="1"/>
  <c r="M95" i="79" a="1"/>
  <c r="M95" i="79" s="1"/>
  <c r="L95" i="79" a="1"/>
  <c r="L95" i="79" s="1"/>
  <c r="K95" i="79" a="1"/>
  <c r="K95" i="79" s="1"/>
  <c r="J95" i="79" a="1"/>
  <c r="J95" i="79" s="1"/>
  <c r="I95" i="79" a="1"/>
  <c r="I95" i="79" s="1"/>
  <c r="H95" i="79" a="1"/>
  <c r="H95" i="79" s="1"/>
  <c r="G95" i="79" a="1"/>
  <c r="G95" i="79" s="1"/>
  <c r="F95" i="79" a="1"/>
  <c r="F95" i="79" s="1"/>
  <c r="E95" i="79" a="1"/>
  <c r="E95" i="79" s="1"/>
  <c r="D95" i="79" a="1"/>
  <c r="D95" i="79" s="1"/>
  <c r="S94" i="79" a="1"/>
  <c r="S94" i="79" s="1"/>
  <c r="R94" i="79" a="1"/>
  <c r="R94" i="79" s="1"/>
  <c r="Q94" i="79" a="1"/>
  <c r="Q94" i="79" s="1"/>
  <c r="P94" i="79" a="1"/>
  <c r="P94" i="79" s="1"/>
  <c r="O94" i="79" a="1"/>
  <c r="O94" i="79" s="1"/>
  <c r="N94" i="79" a="1"/>
  <c r="N94" i="79" s="1"/>
  <c r="M94" i="79" a="1"/>
  <c r="M94" i="79" s="1"/>
  <c r="L94" i="79" a="1"/>
  <c r="L94" i="79" s="1"/>
  <c r="K94" i="79" a="1"/>
  <c r="K94" i="79" s="1"/>
  <c r="J94" i="79" a="1"/>
  <c r="J94" i="79" s="1"/>
  <c r="I94" i="79" a="1"/>
  <c r="I94" i="79" s="1"/>
  <c r="H94" i="79" a="1"/>
  <c r="H94" i="79" s="1"/>
  <c r="G94" i="79" a="1"/>
  <c r="G94" i="79" s="1"/>
  <c r="F94" i="79" a="1"/>
  <c r="F94" i="79" s="1"/>
  <c r="E94" i="79" a="1"/>
  <c r="E94" i="79" s="1"/>
  <c r="D94" i="79" a="1"/>
  <c r="D94" i="79" s="1"/>
  <c r="S93" i="79" a="1"/>
  <c r="S93" i="79" s="1"/>
  <c r="R93" i="79" a="1"/>
  <c r="R93" i="79" s="1"/>
  <c r="Q93" i="79" a="1"/>
  <c r="Q93" i="79" s="1"/>
  <c r="P93" i="79" a="1"/>
  <c r="P93" i="79" s="1"/>
  <c r="O93" i="79" a="1"/>
  <c r="O93"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S92" i="79" a="1"/>
  <c r="S92" i="79" s="1"/>
  <c r="R92" i="79" a="1"/>
  <c r="R92" i="79" s="1"/>
  <c r="Q92" i="79" a="1"/>
  <c r="Q92" i="79" s="1"/>
  <c r="P92" i="79" a="1"/>
  <c r="P92" i="79" s="1"/>
  <c r="O92" i="79" a="1"/>
  <c r="O92"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S91" i="79" a="1"/>
  <c r="S91" i="79" s="1"/>
  <c r="R91" i="79" a="1"/>
  <c r="R91" i="79" s="1"/>
  <c r="Q91" i="79" a="1"/>
  <c r="Q91" i="79" s="1"/>
  <c r="P91" i="79" a="1"/>
  <c r="P91" i="79" s="1"/>
  <c r="O91" i="79" a="1"/>
  <c r="O91"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S90" i="79" a="1"/>
  <c r="S90" i="79" s="1"/>
  <c r="R90" i="79" a="1"/>
  <c r="R90" i="79" s="1"/>
  <c r="Q90" i="79" a="1"/>
  <c r="Q90" i="79" s="1"/>
  <c r="P90" i="79" a="1"/>
  <c r="P90" i="79" s="1"/>
  <c r="O90" i="79" a="1"/>
  <c r="O90"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D83" i="79" a="1"/>
  <c r="D83" i="79" s="1"/>
  <c r="D82" i="79" a="1"/>
  <c r="D82" i="79" s="1"/>
  <c r="D81" i="79" a="1"/>
  <c r="D81" i="79" s="1"/>
  <c r="E77" i="79" a="1"/>
  <c r="E77" i="79" s="1"/>
  <c r="D77" i="79" a="1"/>
  <c r="D77" i="79" s="1"/>
  <c r="E76" i="79" a="1"/>
  <c r="E76" i="79" s="1"/>
  <c r="D76" i="79" a="1"/>
  <c r="D76" i="79" s="1"/>
  <c r="E75" i="79" a="1"/>
  <c r="E75" i="79" s="1"/>
  <c r="D75" i="79" a="1"/>
  <c r="D75" i="79" s="1"/>
  <c r="E74" i="79" a="1"/>
  <c r="E74" i="79" s="1"/>
  <c r="D74" i="79" a="1"/>
  <c r="D74" i="79" s="1"/>
  <c r="E73" i="79" a="1"/>
  <c r="E73" i="79" s="1"/>
  <c r="D73" i="79" a="1"/>
  <c r="D73" i="79" s="1"/>
  <c r="E72" i="79" a="1"/>
  <c r="E72" i="79" s="1"/>
  <c r="D72" i="79" a="1"/>
  <c r="D72" i="79" s="1"/>
  <c r="E71" i="79" a="1"/>
  <c r="E71" i="79" s="1"/>
  <c r="D71" i="79" a="1"/>
  <c r="D71" i="79" s="1"/>
  <c r="E70" i="79" a="1"/>
  <c r="E70" i="79" s="1"/>
  <c r="D70" i="79" a="1"/>
  <c r="D70" i="79" s="1"/>
  <c r="E69" i="79" a="1"/>
  <c r="E69" i="79" s="1"/>
  <c r="D69" i="79" a="1"/>
  <c r="D69" i="79" s="1"/>
  <c r="E68" i="79" a="1"/>
  <c r="E68" i="79" s="1"/>
  <c r="D68" i="79" a="1"/>
  <c r="D68" i="79" s="1"/>
  <c r="E67" i="79" a="1"/>
  <c r="E67" i="79" s="1"/>
  <c r="D67" i="79" a="1"/>
  <c r="D67" i="79" s="1"/>
  <c r="E66" i="79" a="1"/>
  <c r="E66" i="79" s="1"/>
  <c r="D66" i="79" a="1"/>
  <c r="D66" i="79" s="1"/>
  <c r="E65" i="79" a="1"/>
  <c r="E65" i="79" s="1"/>
  <c r="D65" i="79" a="1"/>
  <c r="D65" i="79" s="1"/>
  <c r="E64" i="79" a="1"/>
  <c r="E64" i="79" s="1"/>
  <c r="D64" i="79" a="1"/>
  <c r="D64" i="79" s="1"/>
  <c r="D59" i="79" a="1"/>
  <c r="D59" i="79" s="1"/>
  <c r="D58" i="79" a="1"/>
  <c r="D58" i="79" s="1"/>
  <c r="D57" i="79" a="1"/>
  <c r="D57" i="79" s="1"/>
  <c r="G54" i="79" a="1"/>
  <c r="G54" i="79" s="1"/>
  <c r="F54" i="79" a="1"/>
  <c r="F54" i="79" s="1"/>
  <c r="E54" i="79" a="1"/>
  <c r="E54" i="79" s="1"/>
  <c r="D54" i="79" a="1"/>
  <c r="D54" i="79" s="1"/>
  <c r="G53" i="79" a="1"/>
  <c r="G53" i="79" s="1"/>
  <c r="F53" i="79" a="1"/>
  <c r="F53" i="79" s="1"/>
  <c r="E53" i="79" a="1"/>
  <c r="E53" i="79" s="1"/>
  <c r="D53" i="79" a="1"/>
  <c r="D53" i="79" s="1"/>
  <c r="G52" i="79" a="1"/>
  <c r="G52" i="79" s="1"/>
  <c r="F52" i="79" a="1"/>
  <c r="F52" i="79" s="1"/>
  <c r="E52" i="79" a="1"/>
  <c r="E52" i="79" s="1"/>
  <c r="D52" i="79" a="1"/>
  <c r="D52" i="79" s="1"/>
  <c r="G51" i="79" a="1"/>
  <c r="G51" i="79" s="1"/>
  <c r="F51" i="79" a="1"/>
  <c r="F51" i="79" s="1"/>
  <c r="E51" i="79" a="1"/>
  <c r="E51" i="79" s="1"/>
  <c r="D51" i="79" a="1"/>
  <c r="D51" i="79" s="1"/>
  <c r="G50" i="79" a="1"/>
  <c r="G50" i="79" s="1"/>
  <c r="F50" i="79" a="1"/>
  <c r="F50" i="79" s="1"/>
  <c r="E50" i="79" a="1"/>
  <c r="E50" i="79" s="1"/>
  <c r="D50" i="79" a="1"/>
  <c r="D50" i="79" s="1"/>
  <c r="G49" i="79" a="1"/>
  <c r="G49" i="79" s="1"/>
  <c r="F49" i="79" a="1"/>
  <c r="F49" i="79" s="1"/>
  <c r="E49" i="79" a="1"/>
  <c r="E49" i="79" s="1"/>
  <c r="D49" i="79" a="1"/>
  <c r="D49" i="79" s="1"/>
  <c r="G48" i="79" a="1"/>
  <c r="G48" i="79" s="1"/>
  <c r="F48" i="79" a="1"/>
  <c r="F48" i="79" s="1"/>
  <c r="E48" i="79" a="1"/>
  <c r="E48" i="79" s="1"/>
  <c r="D48" i="79" a="1"/>
  <c r="D48" i="79" s="1"/>
  <c r="D46" i="79" a="1"/>
  <c r="D46" i="79" s="1"/>
  <c r="D45" i="79" a="1"/>
  <c r="D45" i="79" s="1"/>
  <c r="E43" i="79" a="1"/>
  <c r="E43" i="79" s="1"/>
  <c r="D43" i="79" a="1"/>
  <c r="D43" i="79" s="1"/>
  <c r="E42" i="79" a="1"/>
  <c r="E42" i="79" s="1"/>
  <c r="D42" i="79" a="1"/>
  <c r="D42" i="79" s="1"/>
  <c r="E41" i="79" a="1"/>
  <c r="E41" i="79" s="1"/>
  <c r="D41" i="79" a="1"/>
  <c r="D41" i="79" s="1"/>
  <c r="E40" i="79" a="1"/>
  <c r="E40" i="79" s="1"/>
  <c r="D40" i="79" a="1"/>
  <c r="D40" i="79" s="1"/>
  <c r="E39" i="79" a="1"/>
  <c r="E39" i="79" s="1"/>
  <c r="D39" i="79" a="1"/>
  <c r="D39" i="79" s="1"/>
  <c r="E38" i="79" a="1"/>
  <c r="E38" i="79" s="1"/>
  <c r="D38" i="79" a="1"/>
  <c r="D38" i="79" s="1"/>
  <c r="E37" i="79" a="1"/>
  <c r="E37" i="79" s="1"/>
  <c r="D37" i="79" a="1"/>
  <c r="D37" i="79" s="1"/>
  <c r="D35" i="79" a="1"/>
  <c r="D35" i="79" s="1"/>
  <c r="D34" i="79" a="1"/>
  <c r="D34" i="79" s="1"/>
  <c r="D30" i="79" a="1"/>
  <c r="D30" i="79" s="1"/>
  <c r="D29" i="79" a="1"/>
  <c r="D29" i="79" s="1"/>
  <c r="D28" i="79" a="1"/>
  <c r="D28" i="79" s="1"/>
  <c r="D27" i="79" a="1"/>
  <c r="D27" i="79" s="1"/>
  <c r="D26" i="79" a="1"/>
  <c r="D26" i="79" s="1"/>
  <c r="D25" i="79" a="1"/>
  <c r="D25" i="79" s="1"/>
  <c r="D24" i="79" a="1"/>
  <c r="D24" i="79" s="1"/>
  <c r="D23" i="79" a="1"/>
  <c r="D23" i="79" s="1"/>
  <c r="D22" i="79" a="1"/>
  <c r="D22" i="79" s="1"/>
  <c r="D21" i="79" a="1"/>
  <c r="D21" i="79" s="1"/>
  <c r="D19" i="79" a="1"/>
  <c r="D19" i="79" s="1"/>
  <c r="D18" i="79" a="1"/>
  <c r="D18" i="79" s="1"/>
  <c r="F14" i="79" a="1"/>
  <c r="F14" i="79" s="1"/>
  <c r="E14" i="79" a="1"/>
  <c r="E14" i="79" s="1"/>
  <c r="D14" i="79" a="1"/>
  <c r="D14" i="79" s="1"/>
  <c r="F13" i="79" a="1"/>
  <c r="F13" i="79" s="1"/>
  <c r="E13" i="79" a="1"/>
  <c r="E13" i="79" s="1"/>
  <c r="D13" i="79" a="1"/>
  <c r="D13" i="79" s="1"/>
  <c r="F12" i="79" a="1"/>
  <c r="F12" i="79" s="1"/>
  <c r="E12" i="79" a="1"/>
  <c r="E12" i="79" s="1"/>
  <c r="D12" i="79" a="1"/>
  <c r="D12" i="79" s="1"/>
  <c r="F11" i="79" a="1"/>
  <c r="F11" i="79" s="1"/>
  <c r="E11" i="79" a="1"/>
  <c r="E11" i="79" s="1"/>
  <c r="D11" i="79" a="1"/>
  <c r="D11" i="79" s="1"/>
  <c r="F10" i="79" a="1"/>
  <c r="F10" i="79" s="1"/>
  <c r="E10" i="79" a="1"/>
  <c r="E10" i="79" s="1"/>
  <c r="D10" i="79" a="1"/>
  <c r="D10" i="79" s="1"/>
  <c r="F9" i="79" a="1"/>
  <c r="F9" i="79" s="1"/>
  <c r="E9" i="79" a="1"/>
  <c r="E9" i="79" s="1"/>
  <c r="D9" i="79" a="1"/>
  <c r="D9" i="79" s="1"/>
  <c r="F8" i="79" a="1"/>
  <c r="F8" i="79" s="1"/>
  <c r="E8" i="79" a="1"/>
  <c r="E8" i="79" s="1"/>
  <c r="D8" i="79" a="1"/>
  <c r="D8" i="79" s="1"/>
  <c r="F7" i="79" a="1"/>
  <c r="F7" i="79" s="1"/>
  <c r="E7" i="79" a="1"/>
  <c r="E7" i="79" s="1"/>
  <c r="D7" i="79" a="1"/>
  <c r="D7" i="79" s="1"/>
  <c r="D5" i="79" a="1"/>
  <c r="D5" i="79" s="1"/>
  <c r="O76" i="83" l="1"/>
  <c r="O78" i="83"/>
  <c r="O80" i="83"/>
  <c r="O81" i="83"/>
  <c r="O73" i="83"/>
  <c r="O77" i="83"/>
  <c r="O79" i="83"/>
  <c r="G45" i="91"/>
  <c r="J50" i="105"/>
  <c r="O108" i="101" a="1"/>
  <c r="O108" i="101" s="1"/>
  <c r="I50" i="101"/>
  <c r="I125" i="105"/>
  <c r="I39" i="89"/>
  <c r="I90" i="85"/>
  <c r="I49" i="117"/>
  <c r="Q61" i="86"/>
  <c r="O64" i="86" s="1" a="1"/>
  <c r="O64" i="86" s="1"/>
  <c r="E121" i="87"/>
  <c r="O121" i="87"/>
  <c r="O158" i="87"/>
  <c r="E158" i="87"/>
  <c r="E205" i="87"/>
  <c r="G61" i="86"/>
  <c r="E64" i="86" s="1" a="1"/>
  <c r="E64" i="86" s="1"/>
  <c r="O205" i="87"/>
  <c r="I15" i="13" a="1"/>
  <c r="I15" i="13" s="1"/>
  <c r="H15" i="13" a="1"/>
  <c r="H15" i="13" s="1"/>
  <c r="H21" i="13" a="1"/>
  <c r="H21" i="13" s="1"/>
  <c r="H20" i="13" a="1"/>
  <c r="H20" i="13" s="1"/>
  <c r="H12" i="13" a="1"/>
  <c r="H12" i="13" s="1"/>
  <c r="I21" i="13" a="1"/>
  <c r="I21" i="13" s="1"/>
  <c r="H10" i="13" a="1"/>
  <c r="H10" i="13" s="1"/>
  <c r="H13" i="13" a="1"/>
  <c r="H13" i="13" s="1"/>
  <c r="I20" i="13" a="1"/>
  <c r="I20" i="13" s="1"/>
  <c r="I10" i="13" a="1"/>
  <c r="I10" i="13" s="1"/>
  <c r="H17" i="13" a="1"/>
  <c r="H17" i="13" s="1"/>
  <c r="I13" i="13" a="1"/>
  <c r="I13" i="13" s="1"/>
  <c r="I17" i="13" a="1"/>
  <c r="I17" i="13" s="1"/>
  <c r="H18" i="13" a="1"/>
  <c r="H18" i="13" s="1"/>
  <c r="I12" i="13" a="1"/>
  <c r="I12" i="13" s="1"/>
  <c r="H9" i="13" a="1"/>
  <c r="H9" i="13" s="1"/>
  <c r="I18" i="13" a="1"/>
  <c r="I18" i="13" s="1"/>
  <c r="E52" i="72"/>
  <c r="F52" i="72"/>
  <c r="H29" i="13"/>
  <c r="H30" i="13" s="1"/>
  <c r="J50" i="78"/>
  <c r="J61" i="78"/>
  <c r="J40" i="78"/>
  <c r="J16" i="78"/>
  <c r="J27" i="78"/>
  <c r="D51" i="72"/>
  <c r="E65" i="72"/>
  <c r="E66" i="72"/>
  <c r="H48" i="79"/>
  <c r="E22" i="75"/>
  <c r="H51" i="79"/>
  <c r="E19" i="75"/>
  <c r="E20" i="75"/>
  <c r="E21" i="75" s="1"/>
  <c r="H53" i="79"/>
  <c r="H50" i="79"/>
  <c r="H54" i="79"/>
  <c r="H52" i="79"/>
  <c r="H49" i="79"/>
  <c r="F141" i="105" l="1" a="1"/>
  <c r="F141" i="105" s="1"/>
  <c r="F143" i="105" a="1"/>
  <c r="F143" i="105" s="1"/>
  <c r="F142" i="105" a="1"/>
  <c r="F142" i="105" s="1"/>
  <c r="F144" i="105" a="1"/>
  <c r="F144" i="105" s="1"/>
  <c r="F138" i="105" a="1"/>
  <c r="F138" i="105" s="1"/>
  <c r="F139" i="105" a="1"/>
  <c r="F139" i="105" s="1"/>
  <c r="F140" i="105" a="1"/>
  <c r="F140" i="105" s="1"/>
  <c r="F137" i="105" a="1"/>
  <c r="F137" i="105" s="1"/>
  <c r="F134" i="105" a="1"/>
  <c r="F134" i="105" s="1"/>
  <c r="F136" i="105" a="1"/>
  <c r="F136" i="105" s="1"/>
  <c r="F135" i="105" a="1"/>
  <c r="F135" i="105" s="1"/>
  <c r="P161" i="83" a="1"/>
  <c r="P161" i="83" s="1"/>
  <c r="P208" i="83" s="1" a="1"/>
  <c r="P208" i="83" s="1"/>
  <c r="R161" i="83" a="1"/>
  <c r="R161" i="83" s="1"/>
  <c r="R208" i="83" s="1" a="1"/>
  <c r="R208" i="83" s="1"/>
  <c r="Q161" i="83" a="1"/>
  <c r="Q161" i="83" s="1"/>
  <c r="Q208" i="83" s="1" a="1"/>
  <c r="Q208" i="83" s="1"/>
  <c r="P171" i="83" a="1"/>
  <c r="P171" i="83" s="1"/>
  <c r="P218" i="83" s="1" a="1"/>
  <c r="P218" i="83" s="1"/>
  <c r="P166" i="83" a="1"/>
  <c r="P166" i="83" s="1"/>
  <c r="P213" i="83" s="1" a="1"/>
  <c r="P213" i="83" s="1"/>
  <c r="Q171" i="83" a="1"/>
  <c r="Q171" i="83" s="1"/>
  <c r="Q218" i="83" s="1" a="1"/>
  <c r="Q218" i="83" s="1"/>
  <c r="R171" i="83" a="1"/>
  <c r="R171" i="83" s="1"/>
  <c r="R218" i="83" s="1" a="1"/>
  <c r="R218" i="83" s="1"/>
  <c r="S171" i="83" a="1"/>
  <c r="S171" i="83" s="1"/>
  <c r="S218" i="83" s="1" a="1"/>
  <c r="S218" i="83" s="1"/>
  <c r="S166" i="83" a="1"/>
  <c r="S166" i="83" s="1"/>
  <c r="S213" i="83" s="1" a="1"/>
  <c r="S213" i="83" s="1"/>
  <c r="S161" i="83" a="1"/>
  <c r="S161" i="83" s="1"/>
  <c r="S208" i="83" s="1" a="1"/>
  <c r="S208" i="83" s="1"/>
  <c r="R166" i="83" a="1"/>
  <c r="R166" i="83" s="1"/>
  <c r="R213" i="83" s="1" a="1"/>
  <c r="R213" i="83" s="1"/>
  <c r="Q166" i="83" a="1"/>
  <c r="Q166" i="83" s="1"/>
  <c r="Q213" i="83" s="1" a="1"/>
  <c r="Q213" i="83" s="1"/>
  <c r="P159" i="83" a="1"/>
  <c r="P159" i="83" s="1"/>
  <c r="P206" i="83" s="1" a="1"/>
  <c r="P206" i="83" s="1"/>
  <c r="R159" i="83" a="1"/>
  <c r="R159" i="83" s="1"/>
  <c r="R206" i="83" s="1" a="1"/>
  <c r="R206" i="83" s="1"/>
  <c r="Q159" i="83" a="1"/>
  <c r="Q159" i="83" s="1"/>
  <c r="Q206" i="83" s="1" a="1"/>
  <c r="Q206" i="83" s="1"/>
  <c r="S164" i="83" a="1"/>
  <c r="S164" i="83" s="1"/>
  <c r="S211" i="83" s="1" a="1"/>
  <c r="S211" i="83" s="1"/>
  <c r="R169" i="83" a="1"/>
  <c r="R169" i="83" s="1"/>
  <c r="R216" i="83" s="1" a="1"/>
  <c r="R216" i="83" s="1"/>
  <c r="Q169" i="83" a="1"/>
  <c r="Q169" i="83" s="1"/>
  <c r="Q216" i="83" s="1" a="1"/>
  <c r="Q216" i="83" s="1"/>
  <c r="S159" i="83" a="1"/>
  <c r="S159" i="83" s="1"/>
  <c r="S206" i="83" s="1" a="1"/>
  <c r="S206" i="83" s="1"/>
  <c r="S169" i="83" a="1"/>
  <c r="S169" i="83" s="1"/>
  <c r="S216" i="83" s="1" a="1"/>
  <c r="S216" i="83" s="1"/>
  <c r="P169" i="83" a="1"/>
  <c r="P169" i="83" s="1"/>
  <c r="P216" i="83" s="1" a="1"/>
  <c r="P216" i="83" s="1"/>
  <c r="Q164" i="83" a="1"/>
  <c r="Q164" i="83" s="1"/>
  <c r="Q211" i="83" s="1" a="1"/>
  <c r="Q211" i="83" s="1"/>
  <c r="R164" i="83" a="1"/>
  <c r="R164" i="83" s="1"/>
  <c r="R211" i="83" s="1" a="1"/>
  <c r="R211" i="83" s="1"/>
  <c r="P164" i="83" a="1"/>
  <c r="P164" i="83" s="1"/>
  <c r="P211" i="83" s="1" a="1"/>
  <c r="P211" i="83" s="1"/>
  <c r="E70" i="101" a="1"/>
  <c r="E70" i="101" s="1"/>
  <c r="E64" i="101" a="1"/>
  <c r="E64" i="101" s="1"/>
  <c r="E66" i="101" a="1"/>
  <c r="E66" i="101" s="1"/>
  <c r="E61" i="101" a="1"/>
  <c r="E61" i="101" s="1"/>
  <c r="E63" i="101" a="1"/>
  <c r="E63" i="101" s="1"/>
  <c r="E72" i="101" a="1"/>
  <c r="E72" i="101" s="1"/>
  <c r="E78" i="101" a="1"/>
  <c r="E78" i="101" s="1"/>
  <c r="E74" i="101" a="1"/>
  <c r="E74" i="101" s="1"/>
  <c r="E68" i="101" a="1"/>
  <c r="E68" i="101" s="1"/>
  <c r="E65" i="101" a="1"/>
  <c r="E65" i="101" s="1"/>
  <c r="E62" i="101" a="1"/>
  <c r="E62" i="101" s="1"/>
  <c r="E71" i="101" a="1"/>
  <c r="E71" i="101" s="1"/>
  <c r="E77" i="101" a="1"/>
  <c r="E77" i="101" s="1"/>
  <c r="E76" i="101" a="1"/>
  <c r="E76" i="101" s="1"/>
  <c r="E69" i="101" a="1"/>
  <c r="E69" i="101" s="1"/>
  <c r="E75" i="101" a="1"/>
  <c r="E75" i="101" s="1"/>
  <c r="E60" i="101" a="1"/>
  <c r="E60" i="101" s="1"/>
  <c r="E67" i="101" a="1"/>
  <c r="E67" i="101" s="1"/>
  <c r="E73" i="101" a="1"/>
  <c r="E73" i="101" s="1"/>
  <c r="O86" i="83" a="1"/>
  <c r="O86" i="83" s="1"/>
  <c r="P202" i="83" s="1" a="1"/>
  <c r="P202" i="83" s="1"/>
  <c r="P86" i="83" a="1"/>
  <c r="P86" i="83" s="1"/>
  <c r="Q202" i="83" s="1" a="1"/>
  <c r="Q202" i="83" s="1"/>
  <c r="R86" i="83" a="1"/>
  <c r="R86" i="83" s="1"/>
  <c r="S202" i="83" s="1" a="1"/>
  <c r="S202" i="83" s="1"/>
  <c r="Q86" i="83" a="1"/>
  <c r="Q86" i="83" s="1"/>
  <c r="R202" i="83" s="1" a="1"/>
  <c r="R202" i="83" s="1"/>
  <c r="Q163" i="83" a="1"/>
  <c r="Q163" i="83" s="1"/>
  <c r="Q210" i="83" s="1" a="1"/>
  <c r="Q210" i="83" s="1"/>
  <c r="R163" i="83" a="1"/>
  <c r="R163" i="83" s="1"/>
  <c r="R210" i="83" s="1" a="1"/>
  <c r="R210" i="83" s="1"/>
  <c r="P163" i="83" a="1"/>
  <c r="P163" i="83" s="1"/>
  <c r="P210" i="83" s="1" a="1"/>
  <c r="P210" i="83" s="1"/>
  <c r="P173" i="83" a="1"/>
  <c r="P173" i="83" s="1"/>
  <c r="P220" i="83" s="1" a="1"/>
  <c r="P220" i="83" s="1"/>
  <c r="Q168" i="83" a="1"/>
  <c r="Q168" i="83" s="1"/>
  <c r="Q215" i="83" s="1" a="1"/>
  <c r="Q215" i="83" s="1"/>
  <c r="R173" i="83" a="1"/>
  <c r="R173" i="83" s="1"/>
  <c r="R220" i="83" s="1" a="1"/>
  <c r="R220" i="83" s="1"/>
  <c r="Q173" i="83" a="1"/>
  <c r="Q173" i="83" s="1"/>
  <c r="Q220" i="83" s="1" a="1"/>
  <c r="Q220" i="83" s="1"/>
  <c r="S168" i="83" a="1"/>
  <c r="S168" i="83" s="1"/>
  <c r="S215" i="83" s="1" a="1"/>
  <c r="S215" i="83" s="1"/>
  <c r="P168" i="83" a="1"/>
  <c r="P168" i="83" s="1"/>
  <c r="P215" i="83" s="1" a="1"/>
  <c r="P215" i="83" s="1"/>
  <c r="S173" i="83" a="1"/>
  <c r="S173" i="83" s="1"/>
  <c r="S220" i="83" s="1" a="1"/>
  <c r="S220" i="83" s="1"/>
  <c r="S163" i="83" a="1"/>
  <c r="S163" i="83" s="1"/>
  <c r="S210" i="83" s="1" a="1"/>
  <c r="S210" i="83" s="1"/>
  <c r="R168" i="83" a="1"/>
  <c r="R168" i="83" s="1"/>
  <c r="R215" i="83" s="1" a="1"/>
  <c r="R215" i="83" s="1"/>
  <c r="E96" i="85" a="1"/>
  <c r="E96" i="85" s="1"/>
  <c r="O96" i="85" a="1"/>
  <c r="O96" i="85" s="1"/>
  <c r="P162" i="83" a="1"/>
  <c r="P162" i="83" s="1"/>
  <c r="P209" i="83" s="1" a="1"/>
  <c r="P209" i="83" s="1"/>
  <c r="R162" i="83" a="1"/>
  <c r="R162" i="83" s="1"/>
  <c r="R209" i="83" s="1" a="1"/>
  <c r="R209" i="83" s="1"/>
  <c r="Q162" i="83" a="1"/>
  <c r="Q162" i="83" s="1"/>
  <c r="Q209" i="83" s="1" a="1"/>
  <c r="Q209" i="83" s="1"/>
  <c r="R172" i="83" a="1"/>
  <c r="R172" i="83" s="1"/>
  <c r="R219" i="83" s="1" a="1"/>
  <c r="R219" i="83" s="1"/>
  <c r="P172" i="83" a="1"/>
  <c r="P172" i="83" s="1"/>
  <c r="P219" i="83" s="1" a="1"/>
  <c r="P219" i="83" s="1"/>
  <c r="S167" i="83" a="1"/>
  <c r="S167" i="83" s="1"/>
  <c r="S214" i="83" s="1" a="1"/>
  <c r="S214" i="83" s="1"/>
  <c r="Q167" i="83" a="1"/>
  <c r="Q167" i="83" s="1"/>
  <c r="Q214" i="83" s="1" a="1"/>
  <c r="Q214" i="83" s="1"/>
  <c r="S162" i="83" a="1"/>
  <c r="S162" i="83" s="1"/>
  <c r="S209" i="83" s="1" a="1"/>
  <c r="S209" i="83" s="1"/>
  <c r="Q172" i="83" a="1"/>
  <c r="Q172" i="83" s="1"/>
  <c r="Q219" i="83" s="1" a="1"/>
  <c r="Q219" i="83" s="1"/>
  <c r="R167" i="83" a="1"/>
  <c r="R167" i="83" s="1"/>
  <c r="R214" i="83" s="1" a="1"/>
  <c r="R214" i="83" s="1"/>
  <c r="S172" i="83" a="1"/>
  <c r="S172" i="83" s="1"/>
  <c r="S219" i="83" s="1" a="1"/>
  <c r="S219" i="83" s="1"/>
  <c r="P167" i="83" a="1"/>
  <c r="P167" i="83" s="1"/>
  <c r="P214" i="83" s="1" a="1"/>
  <c r="P214" i="83" s="1"/>
  <c r="N45" i="89" a="1"/>
  <c r="N45" i="89" s="1"/>
  <c r="E45" i="89" a="1"/>
  <c r="E45" i="89" s="1"/>
  <c r="F70" i="105" a="1"/>
  <c r="F70" i="105" s="1"/>
  <c r="F67" i="105" a="1"/>
  <c r="F67" i="105" s="1"/>
  <c r="F63" i="105" a="1"/>
  <c r="F63" i="105" s="1"/>
  <c r="F59" i="105" a="1"/>
  <c r="F59" i="105" s="1"/>
  <c r="F65" i="105" a="1"/>
  <c r="F65" i="105" s="1"/>
  <c r="F68" i="105" a="1"/>
  <c r="F68" i="105" s="1"/>
  <c r="F77" i="105" a="1"/>
  <c r="F77" i="105" s="1"/>
  <c r="F62" i="105" a="1"/>
  <c r="F62" i="105" s="1"/>
  <c r="F75" i="105" a="1"/>
  <c r="F75" i="105" s="1"/>
  <c r="F61" i="105" a="1"/>
  <c r="F61" i="105" s="1"/>
  <c r="F73" i="105" a="1"/>
  <c r="F73" i="105" s="1"/>
  <c r="F66" i="105" a="1"/>
  <c r="F66" i="105" s="1"/>
  <c r="F69" i="105" a="1"/>
  <c r="F69" i="105" s="1"/>
  <c r="F64" i="105" a="1"/>
  <c r="F64" i="105" s="1"/>
  <c r="F74" i="105" a="1"/>
  <c r="F74" i="105" s="1"/>
  <c r="F72" i="105" a="1"/>
  <c r="F72" i="105" s="1"/>
  <c r="F76" i="105" a="1"/>
  <c r="F76" i="105" s="1"/>
  <c r="F71" i="105" a="1"/>
  <c r="F71" i="105" s="1"/>
  <c r="F60" i="105" a="1"/>
  <c r="F60" i="105" s="1"/>
  <c r="R160" i="83" a="1"/>
  <c r="R160" i="83" s="1"/>
  <c r="R207" i="83" s="1" a="1"/>
  <c r="R207" i="83" s="1"/>
  <c r="Q160" i="83" a="1"/>
  <c r="Q160" i="83" s="1"/>
  <c r="Q207" i="83" s="1" a="1"/>
  <c r="Q207" i="83" s="1"/>
  <c r="P160" i="83" a="1"/>
  <c r="P160" i="83" s="1"/>
  <c r="P207" i="83" s="1" a="1"/>
  <c r="P207" i="83" s="1"/>
  <c r="Q170" i="83" a="1"/>
  <c r="Q170" i="83" s="1"/>
  <c r="Q217" i="83" s="1" a="1"/>
  <c r="Q217" i="83" s="1"/>
  <c r="Q165" i="83" a="1"/>
  <c r="Q165" i="83" s="1"/>
  <c r="Q212" i="83" s="1" a="1"/>
  <c r="Q212" i="83" s="1"/>
  <c r="S160" i="83" a="1"/>
  <c r="S160" i="83" s="1"/>
  <c r="S207" i="83" s="1" a="1"/>
  <c r="S207" i="83" s="1"/>
  <c r="P170" i="83" a="1"/>
  <c r="P170" i="83" s="1"/>
  <c r="P217" i="83" s="1" a="1"/>
  <c r="P217" i="83" s="1"/>
  <c r="R165" i="83" a="1"/>
  <c r="R165" i="83" s="1"/>
  <c r="R212" i="83" s="1" a="1"/>
  <c r="R212" i="83" s="1"/>
  <c r="S165" i="83" a="1"/>
  <c r="S165" i="83" s="1"/>
  <c r="S212" i="83" s="1" a="1"/>
  <c r="S212" i="83" s="1"/>
  <c r="R170" i="83" a="1"/>
  <c r="R170" i="83" s="1"/>
  <c r="R217" i="83" s="1" a="1"/>
  <c r="R217" i="83" s="1"/>
  <c r="P165" i="83" a="1"/>
  <c r="P165" i="83" s="1"/>
  <c r="P212" i="83" s="1" a="1"/>
  <c r="P212" i="83" s="1"/>
  <c r="S170" i="83" a="1"/>
  <c r="S170" i="83" s="1"/>
  <c r="S217" i="83" s="1" a="1"/>
  <c r="S217" i="83" s="1"/>
  <c r="O55" i="117" a="1"/>
  <c r="O55" i="117" s="1"/>
  <c r="R585" i="116" s="1"/>
  <c r="M588" i="116" s="1" a="1"/>
  <c r="M588" i="116" s="1"/>
  <c r="O590" i="116" s="1"/>
  <c r="M593" i="116" s="1" a="1"/>
  <c r="M593" i="116" s="1"/>
  <c r="E55" i="117" a="1"/>
  <c r="E55" i="117" s="1"/>
  <c r="O89" i="83" a="1"/>
  <c r="O89" i="83" s="1"/>
  <c r="P205" i="83" s="1" a="1"/>
  <c r="P205" i="83" s="1"/>
  <c r="P89" i="83" a="1"/>
  <c r="P89" i="83" s="1"/>
  <c r="Q205" i="83" s="1" a="1"/>
  <c r="Q205" i="83" s="1"/>
  <c r="Q89" i="83" a="1"/>
  <c r="Q89" i="83" s="1"/>
  <c r="R205" i="83" s="1" a="1"/>
  <c r="R205" i="83" s="1"/>
  <c r="R89" i="83" a="1"/>
  <c r="R89" i="83" s="1"/>
  <c r="S205" i="83" s="1" a="1"/>
  <c r="S205" i="83" s="1"/>
  <c r="H23" i="13"/>
  <c r="E62" i="78"/>
  <c r="E69" i="72"/>
  <c r="E13" i="72"/>
  <c r="E18" i="75"/>
  <c r="E20" i="72"/>
  <c r="O222" i="83" l="1"/>
  <c r="E80" i="101"/>
  <c r="G82" i="101" s="1"/>
  <c r="E85" i="101" s="1" a="1"/>
  <c r="E85" i="101" s="1"/>
  <c r="E79" i="105"/>
  <c r="G81" i="105" s="1"/>
  <c r="E84" i="105" s="1" a="1"/>
  <c r="E84" i="105" s="1"/>
  <c r="E14" i="13"/>
  <c r="H14" i="13" s="1" a="1"/>
  <c r="H14" i="13" s="1"/>
  <c r="G47" i="89"/>
  <c r="E50" i="89" s="1" a="1"/>
  <c r="E50" i="89" s="1"/>
  <c r="Q98" i="85"/>
  <c r="O101" i="85" s="1" a="1"/>
  <c r="O101" i="85" s="1"/>
  <c r="F11" i="13"/>
  <c r="I11" i="13" s="1" a="1"/>
  <c r="I11" i="13" s="1"/>
  <c r="E146" i="105"/>
  <c r="G148" i="105" s="1"/>
  <c r="E151" i="105" s="1" a="1"/>
  <c r="E151" i="105" s="1"/>
  <c r="P47" i="89"/>
  <c r="N50" i="89" s="1" a="1"/>
  <c r="N50" i="89" s="1"/>
  <c r="F14" i="13"/>
  <c r="I14" i="13" s="1" a="1"/>
  <c r="I14" i="13" s="1"/>
  <c r="E11" i="13"/>
  <c r="H11" i="13" s="1" a="1"/>
  <c r="H11" i="13" s="1"/>
  <c r="G98" i="85"/>
  <c r="E101" i="85" s="1" a="1"/>
  <c r="E101" i="85" s="1"/>
  <c r="D4" i="13"/>
  <c r="D55" i="13"/>
  <c r="D50" i="13"/>
  <c r="D36" i="72"/>
  <c r="F49" i="80"/>
  <c r="G49" i="80"/>
  <c r="F45" i="80"/>
  <c r="G45" i="80"/>
  <c r="J585" i="116" l="1"/>
  <c r="E588" i="116" s="1" a="1"/>
  <c r="E588" i="116" s="1"/>
  <c r="G590" i="116" s="1"/>
  <c r="E593" i="116" s="1" a="1"/>
  <c r="E593" i="116" s="1"/>
  <c r="Q224" i="83"/>
  <c r="O227" i="83" s="1" a="1"/>
  <c r="O227" i="83" s="1"/>
  <c r="F9" i="13"/>
  <c r="I9" i="13" s="1" a="1"/>
  <c r="I9" i="13" s="1"/>
  <c r="I23" i="13" s="1"/>
  <c r="F58" i="13" s="1"/>
  <c r="E58" i="13"/>
  <c r="F51" i="72" l="1"/>
  <c r="F75" i="72" s="1"/>
  <c r="F59" i="13"/>
  <c r="E59" i="13"/>
  <c r="E51" i="72"/>
  <c r="F80" i="72" l="1"/>
  <c r="F37" i="80" s="1"/>
  <c r="F56" i="72"/>
  <c r="F36" i="80" s="1"/>
  <c r="E75" i="72"/>
  <c r="E80" i="72" s="1"/>
  <c r="E37" i="80" s="1"/>
  <c r="E56" i="72"/>
  <c r="E36" i="80" s="1"/>
  <c r="H48" i="80" l="1"/>
  <c r="H46" i="80"/>
  <c r="H58" i="80"/>
  <c r="H56" i="80"/>
  <c r="H44" i="80"/>
  <c r="H54" i="80"/>
  <c r="H49" i="80"/>
  <c r="H47" i="80"/>
  <c r="H59" i="80"/>
  <c r="H45" i="80"/>
  <c r="H57" i="80"/>
  <c r="H55" i="80"/>
  <c r="I58" i="80"/>
  <c r="I56" i="80"/>
  <c r="I46" i="80"/>
  <c r="I54" i="80"/>
  <c r="I44" i="80"/>
  <c r="I48" i="80"/>
  <c r="I59" i="80"/>
  <c r="I57" i="80"/>
  <c r="I47" i="80"/>
  <c r="I55" i="80"/>
  <c r="I45" i="80"/>
  <c r="I49" i="8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1">
    <bk>
      <extLst>
        <ext uri="{3e2802c4-a4d2-4d8b-9148-e3be6c30e623}">
          <xlrd:rvb i="0"/>
        </ext>
      </extLst>
    </bk>
  </futureMetadata>
  <futureMetadata name="XLDAPR" count="1">
    <bk>
      <extLst>
        <ext uri="{bdbb8cdc-fa1e-496e-a857-3c3f30c029c3}">
          <xda:dynamicArrayProperties fDynamic="1" fCollapsed="0"/>
        </ext>
      </extLst>
    </bk>
  </futureMetadata>
  <cellMetadata count="1">
    <bk>
      <rc t="2" v="0"/>
    </bk>
  </cellMetadata>
  <valueMetadata count="1">
    <bk>
      <rc t="1" v="0"/>
    </bk>
  </valueMetadata>
</metadata>
</file>

<file path=xl/sharedStrings.xml><?xml version="1.0" encoding="utf-8"?>
<sst xmlns="http://schemas.openxmlformats.org/spreadsheetml/2006/main" count="3695" uniqueCount="1192">
  <si>
    <t>INPUTS</t>
  </si>
  <si>
    <t>APPENDICES</t>
  </si>
  <si>
    <t>CALCULATIONS</t>
  </si>
  <si>
    <t>Scope 1 source</t>
  </si>
  <si>
    <t>Total</t>
  </si>
  <si>
    <t>GHG Unit</t>
  </si>
  <si>
    <t>t CH4</t>
  </si>
  <si>
    <t>t CO2e</t>
  </si>
  <si>
    <t>GHG emissions method 1</t>
  </si>
  <si>
    <t>GHG emissions method 2</t>
  </si>
  <si>
    <t>CO2-e emissions method 1</t>
  </si>
  <si>
    <t>CO2-e emissions method 2</t>
  </si>
  <si>
    <t>t N2O</t>
  </si>
  <si>
    <t>Production timeframe start</t>
  </si>
  <si>
    <t>Production timeframe end</t>
  </si>
  <si>
    <t>Production timeframe length</t>
  </si>
  <si>
    <t>Emissions calculation period start date</t>
  </si>
  <si>
    <t>Emissions calculation period end date</t>
  </si>
  <si>
    <t>Production</t>
  </si>
  <si>
    <t>tonnes</t>
  </si>
  <si>
    <t>Constants - Common</t>
  </si>
  <si>
    <t>State/Territory</t>
  </si>
  <si>
    <t>Common Name</t>
  </si>
  <si>
    <t>Abbreviation</t>
  </si>
  <si>
    <t>SA 4 Name</t>
  </si>
  <si>
    <t>Gas</t>
  </si>
  <si>
    <t>CO2-e factor</t>
  </si>
  <si>
    <t>Conversion factor</t>
  </si>
  <si>
    <t>Conversion factor 1</t>
  </si>
  <si>
    <t>Conversion factor 2</t>
  </si>
  <si>
    <t>Conversion factor combined</t>
  </si>
  <si>
    <t>Climate zone</t>
  </si>
  <si>
    <t>Wet or Dry Zone</t>
  </si>
  <si>
    <t>MAT</t>
  </si>
  <si>
    <t>MAP</t>
  </si>
  <si>
    <t>Frost days per year</t>
  </si>
  <si>
    <t>Elevation</t>
  </si>
  <si>
    <t>MAP:PET</t>
  </si>
  <si>
    <t>Min temp</t>
  </si>
  <si>
    <t>Max temp</t>
  </si>
  <si>
    <t>Min rainfall</t>
  </si>
  <si>
    <t>Max rainfall</t>
  </si>
  <si>
    <t>Min frost days</t>
  </si>
  <si>
    <t>Max frost days</t>
  </si>
  <si>
    <t>Min elevation</t>
  </si>
  <si>
    <t>Max elevation</t>
  </si>
  <si>
    <t>Min MAP:PET</t>
  </si>
  <si>
    <t>Max MAP:PET</t>
  </si>
  <si>
    <t>Temperature Zone</t>
  </si>
  <si>
    <t>Min MAT</t>
  </si>
  <si>
    <t>Max MAT</t>
  </si>
  <si>
    <t>Rainfall Zone</t>
  </si>
  <si>
    <t>Annual rainfall</t>
  </si>
  <si>
    <t>Leaching Zone</t>
  </si>
  <si>
    <t>Leaching criteria</t>
  </si>
  <si>
    <t>Is in leaching zone</t>
  </si>
  <si>
    <t>FracWET</t>
  </si>
  <si>
    <t>Irrigation type i</t>
  </si>
  <si>
    <t>Data source</t>
  </si>
  <si>
    <t>Data score</t>
  </si>
  <si>
    <t>Production system j</t>
  </si>
  <si>
    <t>EFN2O</t>
  </si>
  <si>
    <t>Production system only</t>
  </si>
  <si>
    <t>Irrigation method</t>
  </si>
  <si>
    <t>Rainfall zone</t>
  </si>
  <si>
    <t>EFPRP</t>
  </si>
  <si>
    <t>Month</t>
  </si>
  <si>
    <t>Season</t>
  </si>
  <si>
    <t>Temperature zone</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</si>
  <si>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</si>
  <si>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</si>
  <si>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</si>
  <si>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</si>
  <si>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</si>
  <si>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</si>
  <si>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</si>
  <si>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</si>
  <si>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</si>
  <si>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</si>
  <si>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</si>
  <si>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</si>
  <si>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Direct application</t>
  </si>
  <si>
    <t>Pasture range and paddock</t>
  </si>
  <si>
    <t>MAT raw</t>
  </si>
  <si>
    <t>Climate Zone</t>
  </si>
  <si>
    <t>EFNi &amp; EFN2Oi</t>
  </si>
  <si>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</si>
  <si>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</si>
  <si>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</si>
  <si>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</si>
  <si>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</si>
  <si>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</si>
  <si>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</si>
  <si>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r>
      <rPr>
        <sz val="10"/>
        <color theme="1" tint="0.34998626667073579"/>
        <rFont val="Arial"/>
        <family val="1"/>
      </rPr>
      <t xml:space="preserve">← </t>
    </r>
    <r>
      <rPr>
        <i/>
        <sz val="10"/>
        <color theme="1" tint="0.34998626667073579"/>
        <rFont val="Arial"/>
        <family val="1"/>
      </rPr>
      <t>DD/MM/YYYY or DD Month YYYY</t>
    </r>
  </si>
  <si>
    <r>
      <rPr>
        <sz val="10"/>
        <color theme="1" tint="0.34998626667073579"/>
        <rFont val="Arial"/>
        <family val="1"/>
      </rPr>
      <t xml:space="preserve">← </t>
    </r>
    <r>
      <rPr>
        <i/>
        <sz val="10"/>
        <color theme="1" tint="0.34998626667073579"/>
        <rFont val="Arial"/>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</si>
  <si>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</si>
  <si>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</si>
  <si>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</si>
  <si>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</si>
  <si>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</si>
  <si>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0"/>
        <color theme="1" tint="0.34998626667073579"/>
        <rFont val="Arial"/>
        <family val="1"/>
      </rPr>
      <t xml:space="preserve">← </t>
    </r>
    <r>
      <rPr>
        <i/>
        <sz val="10"/>
        <color theme="1" tint="0.34998626667073579"/>
        <rFont val="Arial"/>
        <family val="1"/>
      </rPr>
      <t>Please select</t>
    </r>
  </si>
  <si>
    <t>Region (ABS Statistical area level 4) if state is WA</t>
  </si>
  <si>
    <t>Western Australia - Outback (South)</t>
  </si>
  <si>
    <t>Leaching zone</t>
  </si>
  <si>
    <t>NO - Not in leaching zone</t>
  </si>
  <si>
    <t>Meters</t>
  </si>
  <si>
    <t>Average temperature for reporting period</t>
  </si>
  <si>
    <t>Degrees celsius</t>
  </si>
  <si>
    <t>Total rainfall for reporting period</t>
  </si>
  <si>
    <t>Millimetres</t>
  </si>
  <si>
    <t>Potential evapotranspiration for reporting period</t>
  </si>
  <si>
    <t>Number of frost days for reporting period</t>
  </si>
  <si>
    <t>Days</t>
  </si>
  <si>
    <t>MAP:PET ratio</t>
  </si>
  <si>
    <t>Wet or dry climate zone</t>
  </si>
  <si>
    <t>Emissions calculation cycle</t>
  </si>
  <si>
    <t>Months</t>
  </si>
  <si>
    <t>Amount (tonnnes)</t>
  </si>
  <si>
    <t>Unit</t>
  </si>
  <si>
    <t>Emissions intensity (Method 1)</t>
  </si>
  <si>
    <t>Emissions intensity (Method 2)</t>
  </si>
  <si>
    <t>Product type</t>
  </si>
  <si>
    <t>Main product</t>
  </si>
  <si>
    <t>Co-product</t>
  </si>
  <si>
    <t>N/A</t>
  </si>
  <si>
    <t>Residual product</t>
  </si>
  <si>
    <t>CO2 removed attributed to this enterprise</t>
  </si>
  <si>
    <t>t CO2</t>
  </si>
  <si>
    <t>Total emissions for production cycle</t>
  </si>
  <si>
    <t>Total carbon removals for production cycle</t>
  </si>
  <si>
    <t>Method 1</t>
  </si>
  <si>
    <t>Method 2</t>
  </si>
  <si>
    <t>Product</t>
  </si>
  <si>
    <t>8.1.1.1-2 Transport fuel CO2</t>
  </si>
  <si>
    <t>8.1.1.1-2 Transport fuel N2O</t>
  </si>
  <si>
    <t>8.1.1.1-2 Transport fuel CH4</t>
  </si>
  <si>
    <t>8.2.1.1-2 Stationary fuel CO2</t>
  </si>
  <si>
    <t>8.2.1.1-2 Stationary fuel CH4</t>
  </si>
  <si>
    <t>8.2.1.1-2 Stationary fuel N2O</t>
  </si>
  <si>
    <t>Input - Enterprise</t>
  </si>
  <si>
    <t>percent</t>
  </si>
  <si>
    <t>Economic emissions assignment</t>
  </si>
  <si>
    <t>Mass emissions assignment</t>
  </si>
  <si>
    <t>Emissions intestity (Method 1)</t>
  </si>
  <si>
    <t>Emissions intestity (Method 2)</t>
  </si>
  <si>
    <t>Product emissions - Mass</t>
  </si>
  <si>
    <t>Product emissions - Economic</t>
  </si>
  <si>
    <t>Input - Data quality</t>
  </si>
  <si>
    <t>Notes</t>
  </si>
  <si>
    <t>Evidence files</t>
  </si>
  <si>
    <t>Score</t>
  </si>
  <si>
    <t>TR4</t>
  </si>
  <si>
    <t>SR5</t>
  </si>
  <si>
    <t>SS3</t>
  </si>
  <si>
    <t>Data quality scoring</t>
  </si>
  <si>
    <t>Table_SourceData_DataQuality_TemporalRepresentativeness</t>
  </si>
  <si>
    <t>Description</t>
  </si>
  <si>
    <t>ID</t>
  </si>
  <si>
    <t>Data collected covers the time-period for which emissions are being estimated  </t>
  </si>
  <si>
    <t>TR5</t>
  </si>
  <si>
    <t>Data collected represents activities that occurred within 2 years of the time-period being assessed  </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</si>
  <si>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</si>
  <si>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</si>
  <si>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</si>
  <si>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</si>
  <si>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</si>
  <si>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</si>
  <si>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</si>
  <si>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</si>
  <si>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</si>
  <si>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</si>
  <si>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</si>
  <si>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</si>
  <si>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</si>
  <si>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</si>
  <si>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</si>
  <si>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</si>
  <si>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</si>
  <si>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</si>
  <si>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</si>
  <si>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</si>
  <si>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</si>
  <si>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</si>
  <si>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</si>
  <si>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</si>
  <si>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</si>
  <si>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</si>
  <si>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</si>
  <si>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</si>
  <si>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</si>
  <si>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</si>
  <si>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</si>
  <si>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</si>
  <si>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</si>
  <si>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</si>
  <si>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</si>
  <si>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</si>
  <si>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</si>
  <si>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User friendly description</t>
  </si>
  <si>
    <t>During this emissions calculation period</t>
  </si>
  <si>
    <t>Within 2 years of this emissions calculation period</t>
  </si>
  <si>
    <t>Within 3 years of this emissions calculation period</t>
  </si>
  <si>
    <t>Within 4 years of this emissions calculation period</t>
  </si>
  <si>
    <t>Unknown, or more than 4 years of this emissions calculation period</t>
  </si>
  <si>
    <t>This location with spatial partitioning</t>
  </si>
  <si>
    <t>This location without spatial partitioning</t>
  </si>
  <si>
    <t>Regional-level data from a government or industry database/survey</t>
  </si>
  <si>
    <t>State-level data from a government or industry database/survey</t>
  </si>
  <si>
    <t>National-level data from a government or industry database/survey</t>
  </si>
  <si>
    <t>Over 90%</t>
  </si>
  <si>
    <t>Between 51% and 90%</t>
  </si>
  <si>
    <t>Between 21% and 50%</t>
  </si>
  <si>
    <t>Less than 20%</t>
  </si>
  <si>
    <t>Unknown</t>
  </si>
  <si>
    <t>Verified report complying to ISO14067 2018 or GHG Protocol Lifecycle Accounting and Reporting Standard</t>
  </si>
  <si>
    <t>Report consistent with ISO14067 2018, GHG Protocol Lifecycle Accounting and Reporting Standard or this tool</t>
  </si>
  <si>
    <t>Regional-level database</t>
  </si>
  <si>
    <t>National-level database</t>
  </si>
  <si>
    <t>Geographically generic database</t>
  </si>
  <si>
    <t>Enterprise</t>
  </si>
  <si>
    <t>Data type</t>
  </si>
  <si>
    <t>When was the data sourced?</t>
  </si>
  <si>
    <t>Where is the data sourced from?</t>
  </si>
  <si>
    <t>How much of the data was from direct samples?</t>
  </si>
  <si>
    <t>Site</t>
  </si>
  <si>
    <t>Fuel and electricity</t>
  </si>
  <si>
    <t>Farm input purchases, freight and waste outputs</t>
  </si>
  <si>
    <t>Total data quality score</t>
  </si>
  <si>
    <t>Carbon removals</t>
  </si>
  <si>
    <t>Planting name</t>
  </si>
  <si>
    <t>Total removed CO2</t>
  </si>
  <si>
    <t>Percent allocated to this enterprise</t>
  </si>
  <si>
    <t>Removal allocated to this enterprise</t>
  </si>
  <si>
    <t>Production cycle emissions and removals</t>
  </si>
  <si>
    <t>Enter the method 1 and 2 CO2e emissions (excluding removals) from previous emissions calculation periods if applicable.</t>
  </si>
  <si>
    <t>Scope 1</t>
  </si>
  <si>
    <t>Scope 2</t>
  </si>
  <si>
    <t>Scope 2 source</t>
  </si>
  <si>
    <t>Total scope 2</t>
  </si>
  <si>
    <t>Scope 3</t>
  </si>
  <si>
    <t>Scope 3 source</t>
  </si>
  <si>
    <t>15.7.1.1 Services and contractor operations</t>
  </si>
  <si>
    <t>15.10.1.1 Other: Cleaning chemicals</t>
  </si>
  <si>
    <t>15.10.1.1 Other: Uncategorised</t>
  </si>
  <si>
    <t>15.11.1.1 Fuel</t>
  </si>
  <si>
    <t>15.14.1.1 Incoming freight</t>
  </si>
  <si>
    <t>15.13.1.1 Waste sent to treatment facility</t>
  </si>
  <si>
    <t>15.14.1.1 Outgoing freight</t>
  </si>
  <si>
    <t>Total scope 3</t>
  </si>
  <si>
    <t>Total removals</t>
  </si>
  <si>
    <t>Total emissions excluding removals</t>
  </si>
  <si>
    <t>t CO2-e</t>
  </si>
  <si>
    <t>Total net emissions</t>
  </si>
  <si>
    <t>Emissions for production cycle excluding removals</t>
  </si>
  <si>
    <t>Net emissions for production cycle</t>
  </si>
  <si>
    <t>Results - Product emissions intensity</t>
  </si>
  <si>
    <t>Results - Activity period</t>
  </si>
  <si>
    <t>Input - Livestock sales</t>
  </si>
  <si>
    <t>⚠️ Livestock sales are not automatically reflected in the duration and head tables - you will need to manually adjust head count and average liveweight</t>
  </si>
  <si>
    <t>Transaction name</t>
  </si>
  <si>
    <t>Class (select)</t>
  </si>
  <si>
    <t>Sale date</t>
  </si>
  <si>
    <t>Head sold</t>
  </si>
  <si>
    <t>Average weight per head (kg)</t>
  </si>
  <si>
    <t>Total liveweight sold</t>
  </si>
  <si>
    <t>Manure produced</t>
  </si>
  <si>
    <t>10.1.1-2 Solid waste treatment</t>
  </si>
  <si>
    <t>15.1.1.1 Total emissions from purchased livestock - Pigs</t>
  </si>
  <si>
    <t>15.2.1.1 Emissions from purchased feed</t>
  </si>
  <si>
    <t>15.10.1.1 Other: Pharmacy chemicals</t>
  </si>
  <si>
    <t>Percentage of income from manure sold</t>
  </si>
  <si>
    <t>Percent manure sold</t>
  </si>
  <si>
    <t>Percent manure used as fertiliser on own farm</t>
  </si>
  <si>
    <t>Liveweight sold - excluding removals</t>
  </si>
  <si>
    <t>Liveweight sold - net emissions</t>
  </si>
  <si>
    <t>Manure sold - excluding removals</t>
  </si>
  <si>
    <t>Manure sold - net emissions</t>
  </si>
  <si>
    <t>Manure used as feed on own farm</t>
  </si>
  <si>
    <t>Poultry management</t>
  </si>
  <si>
    <t>Birds sold</t>
  </si>
  <si>
    <t>Eggs sold</t>
  </si>
  <si>
    <t>Percentage of income from birds sold</t>
  </si>
  <si>
    <t>Percentage of income from eggs sold</t>
  </si>
  <si>
    <t>Eggs sold - excluding removals</t>
  </si>
  <si>
    <t>Eggs sold - net emissions</t>
  </si>
  <si>
    <t xml:space="preserve">4.6.1.1-2 Manure Methane </t>
  </si>
  <si>
    <t xml:space="preserve">4.6.1.3-4 Manure Direct N20 </t>
  </si>
  <si>
    <t>4.6.1.5-6 Manure Atmospheric Deposition</t>
  </si>
  <si>
    <t>4.6.1.7-8 Manure Leaching and runoff</t>
  </si>
  <si>
    <t>4.6.1.10-11 Soil direct N2O</t>
  </si>
  <si>
    <t>4.6.1.12-13 Soil atmos dep</t>
  </si>
  <si>
    <t>4.6.1.14-15 Soil leach runoff</t>
  </si>
  <si>
    <t>t co2e/t birds sold</t>
  </si>
  <si>
    <t>t co2e/t eggs sold</t>
  </si>
  <si>
    <t>t co2e/t manure sold</t>
  </si>
  <si>
    <t>Input -Poultry</t>
  </si>
  <si>
    <t>This tool demostrates inputs for one production system.</t>
  </si>
  <si>
    <t>Layers</t>
  </si>
  <si>
    <t>Meat chicken growers</t>
  </si>
  <si>
    <t>Meat chicken breeders</t>
  </si>
  <si>
    <t>Other</t>
  </si>
  <si>
    <t>Head</t>
  </si>
  <si>
    <t>Manure production</t>
  </si>
  <si>
    <t>Method 1 default values (Do not edit)</t>
  </si>
  <si>
    <t>Dry matter intake</t>
  </si>
  <si>
    <t>kg/DM/bird/day</t>
  </si>
  <si>
    <t>Dry matter digestibility (DMD)</t>
  </si>
  <si>
    <t>fraction</t>
  </si>
  <si>
    <t>Crude protein (CP)</t>
  </si>
  <si>
    <t>Method 2 custom values (Edit if known)</t>
  </si>
  <si>
    <t>Manure management systems</t>
  </si>
  <si>
    <t>Production system</t>
  </si>
  <si>
    <t>Cage</t>
  </si>
  <si>
    <t xml:space="preserve"> </t>
  </si>
  <si>
    <t>Stage 1 MMS</t>
  </si>
  <si>
    <t>Percent</t>
  </si>
  <si>
    <t>Total sent to all MMS (Must equal 100%)</t>
  </si>
  <si>
    <t>▼</t>
  </si>
  <si>
    <t>Stage 2 MMS</t>
  </si>
  <si>
    <t>►</t>
  </si>
  <si>
    <t>Destination after stage 2 MMS (Percent)</t>
  </si>
  <si>
    <t>Sold</t>
  </si>
  <si>
    <t>Fert for own farm (eg crop)</t>
  </si>
  <si>
    <t>Direct application to soil</t>
  </si>
  <si>
    <t>Where manure was deposited on farm soils, what is the closest match?</t>
  </si>
  <si>
    <t>Crop</t>
  </si>
  <si>
    <t>Sprinkler irrigation</t>
  </si>
  <si>
    <t>4.6.1.1-2 Manure Methane</t>
  </si>
  <si>
    <t>Function name</t>
  </si>
  <si>
    <t>Variable</t>
  </si>
  <si>
    <t>M1_Table_I_j_k</t>
  </si>
  <si>
    <t>M2_Table_I_j_k</t>
  </si>
  <si>
    <t>Dry matter intake (Method 1)</t>
  </si>
  <si>
    <t>Dry matter intake (Method 2)</t>
  </si>
  <si>
    <t>M1_Table_DMD_j_k</t>
  </si>
  <si>
    <t>M2_Table_DMD_j_k</t>
  </si>
  <si>
    <t>Dry matter digestibility (Method 1)</t>
  </si>
  <si>
    <t>Dry matter digestibility (Method 2)</t>
  </si>
  <si>
    <t>Table_A_j</t>
  </si>
  <si>
    <t>Ash content of manure</t>
  </si>
  <si>
    <t>M1_Table_VS_j_k</t>
  </si>
  <si>
    <t>M2_Table_VS_j_k</t>
  </si>
  <si>
    <t>Volatile solid production (Method 1)</t>
  </si>
  <si>
    <t>Volatile solid production (Method 2)</t>
  </si>
  <si>
    <t>Table_MMS_j_m_T-1</t>
  </si>
  <si>
    <t>Fraction of manure sent to stage 1 MMS</t>
  </si>
  <si>
    <t>Table_B_0_j</t>
  </si>
  <si>
    <t>Methane emissions potential per class</t>
  </si>
  <si>
    <t>Table_MCF_i_m</t>
  </si>
  <si>
    <t>Methane conversion factor for state</t>
  </si>
  <si>
    <t>MMS</t>
  </si>
  <si>
    <r>
      <t>MCF</t>
    </r>
    <r>
      <rPr>
        <b/>
        <vertAlign val="subscript"/>
        <sz val="10"/>
        <color rgb="FF183C1B"/>
        <rFont val="Arial"/>
        <family val="1"/>
      </rPr>
      <t>im</t>
    </r>
  </si>
  <si>
    <t>No data</t>
  </si>
  <si>
    <t>M1_Table_M_j_k_m_T-1</t>
  </si>
  <si>
    <t>M2_Table_M_j_k_m_T-1</t>
  </si>
  <si>
    <t>Production of methane in stage 1 MMS (Method 1)</t>
  </si>
  <si>
    <t>Production of methane in stage 1 MMS (Method 2)</t>
  </si>
  <si>
    <t>Table_VSL_m_T-1</t>
  </si>
  <si>
    <t>Fraction volatile solids lost in stage 1 MMS</t>
  </si>
  <si>
    <r>
      <t>VSL</t>
    </r>
    <r>
      <rPr>
        <b/>
        <vertAlign val="subscript"/>
        <sz val="10"/>
        <color rgb="FF183C1B"/>
        <rFont val="Arial"/>
        <family val="1"/>
      </rPr>
      <t>mT=1</t>
    </r>
  </si>
  <si>
    <t>M1_Table_VST_j_k</t>
  </si>
  <si>
    <t>M2_Table_VST_j_k</t>
  </si>
  <si>
    <t>Volatile solids sent to stage 2 MMS (Method 1)</t>
  </si>
  <si>
    <t>Volatile solids sent to stage 2 MMS (Method 2)</t>
  </si>
  <si>
    <t>Table_MMS_j_m_T-2</t>
  </si>
  <si>
    <t>Fraction of manure in stage 2 MMS</t>
  </si>
  <si>
    <t>M1_Table_M_j_k_m_T-2</t>
  </si>
  <si>
    <t>Production of methane in stage 2 MMS</t>
  </si>
  <si>
    <t>Table_D_j_k</t>
  </si>
  <si>
    <t>Duration of stay</t>
  </si>
  <si>
    <t>Table_N_j_k</t>
  </si>
  <si>
    <t>Number of poultry</t>
  </si>
  <si>
    <t>M1_Table_N_j_k</t>
  </si>
  <si>
    <t>M2_Table_N_j_k</t>
  </si>
  <si>
    <t>Methane emissions from manure management (Method 1)</t>
  </si>
  <si>
    <t>Methane emissions from manure management (Method 2)</t>
  </si>
  <si>
    <r>
      <t>E</t>
    </r>
    <r>
      <rPr>
        <b/>
        <vertAlign val="subscript"/>
        <sz val="14"/>
        <color theme="1" tint="0.24994659260841701"/>
        <rFont val="Arial"/>
        <family val="1"/>
      </rPr>
      <t>CH4</t>
    </r>
  </si>
  <si>
    <r>
      <t>E</t>
    </r>
    <r>
      <rPr>
        <vertAlign val="subscript"/>
        <sz val="10"/>
        <color theme="1" tint="0.24994659260841701"/>
        <rFont val="Arial"/>
        <family val="1"/>
      </rPr>
      <t>CO2e</t>
    </r>
  </si>
  <si>
    <t>4.6.1.3-4 Manure Direct N2O</t>
  </si>
  <si>
    <t>M1_Table_CP_j_k</t>
  </si>
  <si>
    <t>M2_Table_CP_j_k</t>
  </si>
  <si>
    <t>Crude protein content of feed (Method 1)</t>
  </si>
  <si>
    <t>Crude protein content of feed (Method 2)</t>
  </si>
  <si>
    <t>M1_Table_NI_j_k</t>
  </si>
  <si>
    <t>M2_Table_NI_j_k</t>
  </si>
  <si>
    <t>Nitrogen intake (Method 1)</t>
  </si>
  <si>
    <t>Nitrogen intake (Method 2)</t>
  </si>
  <si>
    <t>Table_NR_j_k</t>
  </si>
  <si>
    <t>Nitrogen retention rate</t>
  </si>
  <si>
    <t>M1_Table_NE_j_k</t>
  </si>
  <si>
    <t>M2_Table_NE_j_k</t>
  </si>
  <si>
    <t>Nitrogen excretion (Method 1)</t>
  </si>
  <si>
    <t>Nitrogen excretion (Method 2)</t>
  </si>
  <si>
    <t>M1_Table_AE_j_k</t>
  </si>
  <si>
    <t>M2_Table_AE_j_k</t>
  </si>
  <si>
    <t>Annual nitroge excretion (Method 1)</t>
  </si>
  <si>
    <t>Annual nitroge excretion (Method 2)</t>
  </si>
  <si>
    <t>M1_Table_MN_j_k_m_T-1</t>
  </si>
  <si>
    <t>M2_Table_MN_j_k_m_T-1</t>
  </si>
  <si>
    <t>Nitrogen in stage 1 MMS (Method 1)</t>
  </si>
  <si>
    <t>Nitrogen in stage 1 MMS (Method 2)</t>
  </si>
  <si>
    <t>Table_FracGASM_m_T-1</t>
  </si>
  <si>
    <t>Faction N volatilised in stage 1 MMS</t>
  </si>
  <si>
    <t>FracGASM</t>
  </si>
  <si>
    <t>Table_EF_m</t>
  </si>
  <si>
    <t>Nitrous oxide emission factor for stage 1 MMS</t>
  </si>
  <si>
    <t>EFm</t>
  </si>
  <si>
    <t>M1_Table_NT_j_k_m_T-1</t>
  </si>
  <si>
    <t>M2_Table_NT_j_k_m_T-1</t>
  </si>
  <si>
    <t>Nitrogen transferred to stage 2 MMS (Method 1)</t>
  </si>
  <si>
    <t>Nitrogen transferred to stage 2 MMS (Method 2)</t>
  </si>
  <si>
    <t>M1_Table_MN_j_k_m_T-2</t>
  </si>
  <si>
    <t>M2_Table_MN_j_k_m_T-2</t>
  </si>
  <si>
    <t>Nitrogen in stage 2 MMS (Method 1)</t>
  </si>
  <si>
    <t>Nitrogen in stage 2 MMS (Method 2)</t>
  </si>
  <si>
    <r>
      <rPr>
        <b/>
        <sz val="10"/>
        <color rgb="FF0070C0"/>
        <rFont val="Arial"/>
        <family val="1"/>
      </rPr>
      <t>Note:</t>
    </r>
    <r>
      <rPr>
        <sz val="10"/>
        <color rgb="FF0070C0"/>
        <rFont val="Arial"/>
        <family val="1"/>
      </rPr>
      <t xml:space="preserve"> Manure that is directly applied to soil after stage 1 is</t>
    </r>
    <r>
      <rPr>
        <i/>
        <sz val="10"/>
        <color rgb="FF0070C0"/>
        <rFont val="Arial"/>
        <family val="1"/>
      </rPr>
      <t xml:space="preserve"> not</t>
    </r>
    <r>
      <rPr>
        <sz val="10"/>
        <color rgb="FF0070C0"/>
        <rFont val="Arial"/>
        <family val="1"/>
      </rPr>
      <t xml:space="preserve"> included in Direct N2O calculations</t>
    </r>
  </si>
  <si>
    <t>and instead is handled in 'Manure applied to soils'.</t>
  </si>
  <si>
    <t>M1_Table_E_N2O_dir</t>
  </si>
  <si>
    <t>M2_Table_E_N2O_dir</t>
  </si>
  <si>
    <t>Total annual direct nitrous oxide emissions from MMS (Method 1)</t>
  </si>
  <si>
    <t>Total annual direct nitrous oxide emissions from MMS (Method 2)</t>
  </si>
  <si>
    <r>
      <t>E</t>
    </r>
    <r>
      <rPr>
        <b/>
        <vertAlign val="subscript"/>
        <sz val="14"/>
        <color theme="1" tint="0.24994659260841701"/>
        <rFont val="Arial"/>
        <family val="1"/>
      </rPr>
      <t>N2O,dir</t>
    </r>
  </si>
  <si>
    <t>4.6.1.5-6 Atmospheric deposition N2O</t>
  </si>
  <si>
    <r>
      <rPr>
        <b/>
        <sz val="10"/>
        <color rgb="FF0070C0"/>
        <rFont val="Arial"/>
        <family val="1"/>
      </rPr>
      <t>Note:</t>
    </r>
    <r>
      <rPr>
        <sz val="10"/>
        <color rgb="FF0070C0"/>
        <rFont val="Arial"/>
        <family val="1"/>
      </rPr>
      <t xml:space="preserve"> Manure that is directly applied to soil after stage 1 is not included in Atmospheric Deposition calculations</t>
    </r>
  </si>
  <si>
    <t>M1_Table_MN_j_k_m_T</t>
  </si>
  <si>
    <t>M2_Table_MN_j_k_m_T</t>
  </si>
  <si>
    <t>Nitrogen in each MMS (Method 1)</t>
  </si>
  <si>
    <t>Nitrogen in each MMS (Method 2)</t>
  </si>
  <si>
    <t>Table_FracGASM_m_T</t>
  </si>
  <si>
    <t>Faction N volatilised in MMS</t>
  </si>
  <si>
    <t>M1_Table_MMS_ATMOS</t>
  </si>
  <si>
    <t>M2_Table_MMS_ATMOS</t>
  </si>
  <si>
    <t>Total nitrogen volatilised from each MMS (Method 1)</t>
  </si>
  <si>
    <t>Total nitrogen volatilised from each MMS (Method 2)</t>
  </si>
  <si>
    <r>
      <t>MMS</t>
    </r>
    <r>
      <rPr>
        <b/>
        <vertAlign val="subscript"/>
        <sz val="10"/>
        <color theme="1" tint="0.24994659260841701"/>
        <rFont val="Arial"/>
        <family val="1"/>
      </rPr>
      <t>ATMOS</t>
    </r>
  </si>
  <si>
    <r>
      <t>E</t>
    </r>
    <r>
      <rPr>
        <b/>
        <vertAlign val="subscript"/>
        <sz val="14"/>
        <color theme="1" tint="0.24994659260841701"/>
        <rFont val="Arial"/>
        <family val="1"/>
      </rPr>
      <t>N2O,ad</t>
    </r>
  </si>
  <si>
    <t>4.6.1.7-8 Leaching and runoff</t>
  </si>
  <si>
    <t xml:space="preserve">MNleach is assumed to be 0 for all MMS except free range operations manure excreted on pasture in free range operations and manure and manure stockpiles. </t>
  </si>
  <si>
    <t>Leaching from emissions from the pasture component (m=14) is estimated in the manure applied to soils equations (Section 4.6.1.10 - 4.6.1.15).</t>
  </si>
  <si>
    <r>
      <t xml:space="preserve">Therefore, </t>
    </r>
    <r>
      <rPr>
        <b/>
        <sz val="10"/>
        <color rgb="FF0070C0"/>
        <rFont val="Arial"/>
        <family val="1"/>
      </rPr>
      <t>emissions from leaching and run off are only estimated for solid storage stockpiles</t>
    </r>
    <r>
      <rPr>
        <sz val="10"/>
        <color rgb="FF0070C0"/>
        <rFont val="Arial"/>
        <family val="1"/>
      </rPr>
      <t xml:space="preserve"> MMS (m=4)</t>
    </r>
  </si>
  <si>
    <t>M1_Table_MN_j_k_m-4</t>
  </si>
  <si>
    <t>Nitrogen in solid storage MMS (Method 1)</t>
  </si>
  <si>
    <t>M1_Table_MN_Leach_j_k_m-4</t>
  </si>
  <si>
    <t>M2_Table_MN_j_k_m-4</t>
  </si>
  <si>
    <t>Mass of N lost to leaching and runoff (Method 1)</t>
  </si>
  <si>
    <t>Mass of N lost to leaching and runoff (Method 2)</t>
  </si>
  <si>
    <t>M1_Table_E_N2O_leach</t>
  </si>
  <si>
    <t>M2_Table_E_N2O_leach</t>
  </si>
  <si>
    <t>Annual emissions from leaching and runoff (Method 1)</t>
  </si>
  <si>
    <t>Annual emissions from leaching and runoff (Method 2)</t>
  </si>
  <si>
    <t>4.6.1.9 Manure applied to soils</t>
  </si>
  <si>
    <t>M1_Table_MNLeach_MMS</t>
  </si>
  <si>
    <t>M2_Table_MNLeach_MMS</t>
  </si>
  <si>
    <t>Table_PF</t>
  </si>
  <si>
    <t>Fraction of manure applied to soils on farm</t>
  </si>
  <si>
    <t>PF</t>
  </si>
  <si>
    <t>M1_Table_MNSoil_scope1</t>
  </si>
  <si>
    <t>M2_Table_MNSoil_scope1</t>
  </si>
  <si>
    <t>Mass of nitrogen applied to soils for scope 1</t>
  </si>
  <si>
    <t>Mass of nitrogen applied to soils for scope 2</t>
  </si>
  <si>
    <r>
      <t>MNSoil</t>
    </r>
    <r>
      <rPr>
        <b/>
        <vertAlign val="subscript"/>
        <sz val="14"/>
        <color theme="1" tint="0.24994659260841701"/>
        <rFont val="Arial"/>
        <family val="1"/>
      </rPr>
      <t>scope1</t>
    </r>
  </si>
  <si>
    <t>M1_Table_MNSoil_scope3</t>
  </si>
  <si>
    <t>M2_Table_MNSoil_scope3</t>
  </si>
  <si>
    <t>Mass of nitrogen applied to soils for scope 3 (Method 1)</t>
  </si>
  <si>
    <t>Mass of nitrogen applied to soils for scope 3 (Method 2)</t>
  </si>
  <si>
    <r>
      <t>MNSoil</t>
    </r>
    <r>
      <rPr>
        <b/>
        <vertAlign val="subscript"/>
        <sz val="14"/>
        <color theme="1" tint="0.24994659260841701"/>
        <rFont val="Arial"/>
        <family val="1"/>
      </rPr>
      <t>scope3</t>
    </r>
  </si>
  <si>
    <t>* Scope 1: Manure that is removed from MMS and used as fertiliser on the farm, for other enterprises (eg crops)</t>
  </si>
  <si>
    <t>Scope 1: Mass of nitrogen applied as fertiliser on own farm</t>
  </si>
  <si>
    <t>M1_Table_PF_fert</t>
  </si>
  <si>
    <t>Fraction of manure applied as fertiliser on farm for other enterpsises (eg crops) (Method 1)</t>
  </si>
  <si>
    <t>M1_Table_MNSoil_scope1_fert</t>
  </si>
  <si>
    <t>M2_Table_MNSoil_scope1_fert</t>
  </si>
  <si>
    <t>Mass of nitrogen applied as fertiliser on own farm for other enterprise (eg crops) for scope 1 emissions (Method 1)</t>
  </si>
  <si>
    <t>Mass of nitrogen applied as fertiliser on own farm for other enterprise (eg crops) for scope 1 emissions (Method 2)</t>
  </si>
  <si>
    <r>
      <t>MNSoil</t>
    </r>
    <r>
      <rPr>
        <b/>
        <vertAlign val="subscript"/>
        <sz val="14"/>
        <color theme="1" tint="0.24994659260841701"/>
        <rFont val="Arial"/>
        <family val="1"/>
      </rPr>
      <t>scope1,fert</t>
    </r>
  </si>
  <si>
    <t>M1_Table_MN_j_k_m-14_T-1</t>
  </si>
  <si>
    <t>M2_Table_MN_j_k_m-14_T-1</t>
  </si>
  <si>
    <t>Mass on nitrogen excreted on pasture range and paddock (Method 1)</t>
  </si>
  <si>
    <t>Mass on nitrogen excreted on pasture range and paddock (Method 2)</t>
  </si>
  <si>
    <t>M1_Table_EM_N2O_PRP_dir</t>
  </si>
  <si>
    <t>M2_Table_EM_N2O_PRP_dir</t>
  </si>
  <si>
    <t>Direct nitrous oxide emissions from manure on pasture (Method 1)</t>
  </si>
  <si>
    <t>Direct nitrous oxide emissions from manure on pasture (Method 2)</t>
  </si>
  <si>
    <t>kg N</t>
  </si>
  <si>
    <r>
      <t>EM</t>
    </r>
    <r>
      <rPr>
        <b/>
        <vertAlign val="subscript"/>
        <sz val="14"/>
        <color theme="1" tint="0.24994659260841701"/>
        <rFont val="Arial"/>
        <family val="1"/>
      </rPr>
      <t>N2O,PRP,dir</t>
    </r>
  </si>
  <si>
    <t>4.6.1.12-13 Soil atmospheric deposition</t>
  </si>
  <si>
    <t>M1_Table_M_vol_m-14</t>
  </si>
  <si>
    <t>M2_Table_M_vol_m-14</t>
  </si>
  <si>
    <r>
      <t>M</t>
    </r>
    <r>
      <rPr>
        <b/>
        <vertAlign val="subscript"/>
        <sz val="10"/>
        <color theme="1" tint="0.24994659260841701"/>
        <rFont val="Arial"/>
        <family val="1"/>
      </rPr>
      <t>vol,m=14</t>
    </r>
  </si>
  <si>
    <t>4.6.1.14-15 Soil leaching and runoff</t>
  </si>
  <si>
    <r>
      <t>M</t>
    </r>
    <r>
      <rPr>
        <b/>
        <vertAlign val="subscript"/>
        <sz val="10"/>
        <color theme="1" tint="0.24994659260841701"/>
        <rFont val="Arial"/>
        <family val="1"/>
      </rPr>
      <t>leach,m=14</t>
    </r>
  </si>
  <si>
    <t>Constants - Poultry</t>
  </si>
  <si>
    <t>Nutrient analysis</t>
  </si>
  <si>
    <t>Meat chicken breeder</t>
  </si>
  <si>
    <t>Meat other</t>
  </si>
  <si>
    <t>Poultry class</t>
  </si>
  <si>
    <t>B0</t>
  </si>
  <si>
    <t>Poultry manure management systems</t>
  </si>
  <si>
    <t>Poultry manure management systems - Stage 1</t>
  </si>
  <si>
    <t>Poultry manure management systems - Stage 2</t>
  </si>
  <si>
    <t>Symbol and MMS</t>
  </si>
  <si>
    <t>Poultry manure with bedding (m=10)</t>
  </si>
  <si>
    <t>Solid storage (m=4)</t>
  </si>
  <si>
    <t>Belt manure removal</t>
  </si>
  <si>
    <t>Belt manure removal (m=11a)</t>
  </si>
  <si>
    <t>Composting (passive windrow) (m=6)</t>
  </si>
  <si>
    <t>Manure stored in house</t>
  </si>
  <si>
    <t>Manure stored in house (m=11b)</t>
  </si>
  <si>
    <t>Digester / covered lagoons (m=7)</t>
  </si>
  <si>
    <t>Pasture range and paddock (m=14)</t>
  </si>
  <si>
    <t>Direct processing (m=12)</t>
  </si>
  <si>
    <t>No MMS</t>
  </si>
  <si>
    <t>Direct application (m=13)</t>
  </si>
  <si>
    <t>Poultry production systems</t>
  </si>
  <si>
    <t>Poultry crop or pasture production systems</t>
  </si>
  <si>
    <t>Irrigation methods</t>
  </si>
  <si>
    <t>Not irrigated</t>
  </si>
  <si>
    <t>Drip irrigation</t>
  </si>
  <si>
    <t>Surface irrigation</t>
  </si>
  <si>
    <t>Other irrigation</t>
  </si>
  <si>
    <t>MMS m</t>
  </si>
  <si>
    <t>All states</t>
  </si>
  <si>
    <t>NSW</t>
  </si>
  <si>
    <t>ACT</t>
  </si>
  <si>
    <t>QLD</t>
  </si>
  <si>
    <t>NT</t>
  </si>
  <si>
    <t>VIC</t>
  </si>
  <si>
    <t>SA</t>
  </si>
  <si>
    <t>WA</t>
  </si>
  <si>
    <t>TAS</t>
  </si>
  <si>
    <t>NIR definition</t>
  </si>
  <si>
    <t>VSL</t>
  </si>
  <si>
    <t>MMSm</t>
  </si>
  <si>
    <t>FracGASMmT</t>
  </si>
  <si>
    <t>NIR reference</t>
  </si>
  <si>
    <t>EFmT</t>
  </si>
  <si>
    <t>Livestock class j</t>
  </si>
  <si>
    <t>Average liveweight (kg)</t>
  </si>
  <si>
    <t>Input - Electricity</t>
  </si>
  <si>
    <t>How do you want to calculate electricity emissions?</t>
  </si>
  <si>
    <t>Location-based (simpler)</t>
  </si>
  <si>
    <t>Option 1: Location-based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</si>
  <si>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</si>
  <si>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</si>
  <si>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</si>
  <si>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</si>
  <si>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</si>
  <si>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</si>
  <si>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</si>
  <si>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t>Option 2: Market-based electricity</t>
  </si>
  <si>
    <t>Electricity purchased in kWh (excluding GreenPower providers)</t>
  </si>
  <si>
    <t xml:space="preserve">Renewable Power Percentage </t>
  </si>
  <si>
    <t>Jurisdictional renewable power percentage (ACT only)</t>
  </si>
  <si>
    <t>Electricity purchased from an accredited GreenPower provider</t>
  </si>
  <si>
    <t>Start of reporting year</t>
  </si>
  <si>
    <t>End of reporting year</t>
  </si>
  <si>
    <t>Voluntarily surrendered Renewable Energy Certificates (RECs)</t>
  </si>
  <si>
    <t>💡 You can add more rows to the table by right-clicking on the table and selecting "Insert &gt; Table rows above/below"</t>
  </si>
  <si>
    <t>Source (select)</t>
  </si>
  <si>
    <t>Generation date</t>
  </si>
  <si>
    <t>Number of certificates</t>
  </si>
  <si>
    <t>MWh</t>
  </si>
  <si>
    <t>Elegibility</t>
  </si>
  <si>
    <t>Dec 2020 certs</t>
  </si>
  <si>
    <t>Purchased certificate</t>
  </si>
  <si>
    <t>Jan 2022 certs</t>
  </si>
  <si>
    <t>Issued for generated electricity</t>
  </si>
  <si>
    <t>2024 certs</t>
  </si>
  <si>
    <t>Total elegible voluntarily surrendered RECs</t>
  </si>
  <si>
    <t>Renewable Energy Certificates (RECs) for electricity produced on-site and consumed by the entity</t>
  </si>
  <si>
    <t>Source</t>
  </si>
  <si>
    <t>May 2022 generated</t>
  </si>
  <si>
    <t>Jul 24 certs generated</t>
  </si>
  <si>
    <t>Total elegible RECs for electricity produced on-site and consumed by entity</t>
  </si>
  <si>
    <t>14.1.1-2 Purchased Electricity</t>
  </si>
  <si>
    <r>
      <rPr>
        <b/>
        <sz val="14"/>
        <color theme="1" tint="0.24994659260841701"/>
        <rFont val="Arial"/>
        <family val="1"/>
      </rPr>
      <t>E</t>
    </r>
    <r>
      <rPr>
        <b/>
        <vertAlign val="subscript"/>
        <sz val="14"/>
        <color theme="1" tint="0.24994659260841701"/>
        <rFont val="Arial"/>
        <family val="1"/>
      </rPr>
      <t>2,elec</t>
    </r>
  </si>
  <si>
    <t>Constants - Electricity</t>
  </si>
  <si>
    <t>State, Territory or grid description</t>
  </si>
  <si>
    <t>Scope 2 Emission Factors (kg CO2-e/kWh)</t>
  </si>
  <si>
    <t>Scope 3 Emission Factors (kg CO2-e/kWh)</t>
  </si>
  <si>
    <t>Scope 2 EF (kg CO2-e/kWh)</t>
  </si>
  <si>
    <t>Scope 2 EF (kg CO2-e/GJ)</t>
  </si>
  <si>
    <t>Scope 3 EF (kg CO2-e/kWh)</t>
  </si>
  <si>
    <t>Scope 3 EF (kg CO2-e/GJ)</t>
  </si>
  <si>
    <t>Input - Fuel</t>
  </si>
  <si>
    <t>Fuel purchases and consumption</t>
  </si>
  <si>
    <t>A 'Metropolitan' location is:</t>
  </si>
  <si>
    <t>● On or east of the dividing range in NSW (including Canberra and Queanbeyan)</t>
  </si>
  <si>
    <t>● In Melbourne, Brisbane, Adelaide or Perth</t>
  </si>
  <si>
    <t>Is the property in a Metropolitan location?</t>
  </si>
  <si>
    <t>Metro</t>
  </si>
  <si>
    <t>💡 'Percent consumed" is 100% by default. If you purchased more fuel than was consumed you can edit this field.</t>
  </si>
  <si>
    <t>Fuel use (select)</t>
  </si>
  <si>
    <t>Fuel type (select)</t>
  </si>
  <si>
    <t>Amount purchased</t>
  </si>
  <si>
    <t>Amount unit</t>
  </si>
  <si>
    <t>Percent consumed</t>
  </si>
  <si>
    <t>Amount consumed</t>
  </si>
  <si>
    <t>Amount consumed unit</t>
  </si>
  <si>
    <t>Power standalone machinery or heating</t>
  </si>
  <si>
    <t>Town gas in GJ</t>
  </si>
  <si>
    <t>Petrol</t>
  </si>
  <si>
    <t>Cars and light commercial vehicles</t>
  </si>
  <si>
    <t>Diesel</t>
  </si>
  <si>
    <t>Off-road Agriculture and forestry equipment</t>
  </si>
  <si>
    <t>Vessels</t>
  </si>
  <si>
    <t>Fuel oil</t>
  </si>
  <si>
    <t>8.1.1.1-2 Transport fuel combustion</t>
  </si>
  <si>
    <t>Table_E_g</t>
  </si>
  <si>
    <t>Emissions for transport fuel combustion</t>
  </si>
  <si>
    <t>Fuel use</t>
  </si>
  <si>
    <t>Fuel type (NGAF terminology)</t>
  </si>
  <si>
    <t>Fuel type (q)</t>
  </si>
  <si>
    <r>
      <t>EC</t>
    </r>
    <r>
      <rPr>
        <b/>
        <vertAlign val="subscript"/>
        <sz val="10"/>
        <color rgb="FF183C1B"/>
        <rFont val="Arial"/>
        <family val="1"/>
      </rPr>
      <t>Trans,q</t>
    </r>
  </si>
  <si>
    <r>
      <t>EF</t>
    </r>
    <r>
      <rPr>
        <b/>
        <vertAlign val="subscript"/>
        <sz val="10"/>
        <color rgb="FF183C1B"/>
        <rFont val="Arial"/>
        <family val="1"/>
      </rPr>
      <t>Trans,1,q,g=CO2</t>
    </r>
  </si>
  <si>
    <r>
      <t>EF</t>
    </r>
    <r>
      <rPr>
        <b/>
        <vertAlign val="subscript"/>
        <sz val="10"/>
        <color rgb="FF183C1B"/>
        <rFont val="Arial"/>
        <family val="1"/>
      </rPr>
      <t>Trans,1,q,g=CH4</t>
    </r>
  </si>
  <si>
    <r>
      <t>EF</t>
    </r>
    <r>
      <rPr>
        <b/>
        <vertAlign val="subscript"/>
        <sz val="10"/>
        <color rgb="FF183C1B"/>
        <rFont val="Arial"/>
        <family val="1"/>
      </rPr>
      <t>Trans,1,q,g=N20</t>
    </r>
  </si>
  <si>
    <r>
      <t>EF</t>
    </r>
    <r>
      <rPr>
        <b/>
        <vertAlign val="subscript"/>
        <sz val="10"/>
        <color rgb="FF183C1B"/>
        <rFont val="Arial"/>
        <family val="1"/>
      </rPr>
      <t>Trans,3,q</t>
    </r>
  </si>
  <si>
    <r>
      <t>Q</t>
    </r>
    <r>
      <rPr>
        <b/>
        <vertAlign val="subscript"/>
        <sz val="10"/>
        <color rgb="FF533001"/>
        <rFont val="Arial"/>
        <family val="1"/>
      </rPr>
      <t>Trans,q</t>
    </r>
  </si>
  <si>
    <t>Q unit</t>
  </si>
  <si>
    <r>
      <t>E</t>
    </r>
    <r>
      <rPr>
        <b/>
        <vertAlign val="subscript"/>
        <sz val="10"/>
        <color rgb="FF183C1B"/>
        <rFont val="Arial"/>
        <family val="1"/>
      </rPr>
      <t>g=CO2</t>
    </r>
  </si>
  <si>
    <r>
      <t>E</t>
    </r>
    <r>
      <rPr>
        <b/>
        <vertAlign val="subscript"/>
        <sz val="10"/>
        <color rgb="FF183C1B"/>
        <rFont val="Arial"/>
        <family val="1"/>
      </rPr>
      <t>g=CH4</t>
    </r>
  </si>
  <si>
    <r>
      <t>E</t>
    </r>
    <r>
      <rPr>
        <b/>
        <vertAlign val="subscript"/>
        <sz val="10"/>
        <color rgb="FF183C1B"/>
        <rFont val="Arial"/>
        <family val="1"/>
      </rPr>
      <t>g=N20</t>
    </r>
  </si>
  <si>
    <r>
      <t>E</t>
    </r>
    <r>
      <rPr>
        <b/>
        <vertAlign val="subscript"/>
        <sz val="10"/>
        <color rgb="FF183C1B"/>
        <rFont val="Arial"/>
        <family val="1"/>
      </rPr>
      <t>3WTT,trans,q</t>
    </r>
  </si>
  <si>
    <t>CO2</t>
  </si>
  <si>
    <t>CH4</t>
  </si>
  <si>
    <t>N2O</t>
  </si>
  <si>
    <t>Total sope 1 - All transport fuel combustion</t>
  </si>
  <si>
    <t>8.2.1.1-2 Stationary fuel combustion</t>
  </si>
  <si>
    <t>Emissions for stationary fuel combustion</t>
  </si>
  <si>
    <r>
      <t>EC</t>
    </r>
    <r>
      <rPr>
        <b/>
        <vertAlign val="subscript"/>
        <sz val="10"/>
        <color rgb="FF183C1B"/>
        <rFont val="Arial"/>
        <family val="1"/>
      </rPr>
      <t>SC,q</t>
    </r>
  </si>
  <si>
    <r>
      <t>EF</t>
    </r>
    <r>
      <rPr>
        <b/>
        <vertAlign val="subscript"/>
        <sz val="10"/>
        <color rgb="FF183C1B"/>
        <rFont val="Arial"/>
        <family val="1"/>
      </rPr>
      <t>SC,1,q,g=CO2</t>
    </r>
  </si>
  <si>
    <r>
      <t>EF</t>
    </r>
    <r>
      <rPr>
        <b/>
        <vertAlign val="subscript"/>
        <sz val="10"/>
        <color rgb="FF183C1B"/>
        <rFont val="Arial"/>
        <family val="1"/>
      </rPr>
      <t>SC,1,q,g=CH4</t>
    </r>
  </si>
  <si>
    <r>
      <t>EF</t>
    </r>
    <r>
      <rPr>
        <b/>
        <vertAlign val="subscript"/>
        <sz val="10"/>
        <color rgb="FF183C1B"/>
        <rFont val="Arial"/>
        <family val="1"/>
      </rPr>
      <t>SC,1,q,g=N20</t>
    </r>
  </si>
  <si>
    <r>
      <t>EF</t>
    </r>
    <r>
      <rPr>
        <b/>
        <vertAlign val="subscript"/>
        <sz val="10"/>
        <color rgb="FF183C1B"/>
        <rFont val="Arial"/>
        <family val="1"/>
      </rPr>
      <t>SC,3,q</t>
    </r>
  </si>
  <si>
    <r>
      <t>Q</t>
    </r>
    <r>
      <rPr>
        <b/>
        <vertAlign val="subscript"/>
        <sz val="10"/>
        <color rgb="FF533001"/>
        <rFont val="Arial"/>
        <family val="1"/>
      </rPr>
      <t>SC,q</t>
    </r>
  </si>
  <si>
    <r>
      <t>E</t>
    </r>
    <r>
      <rPr>
        <b/>
        <vertAlign val="subscript"/>
        <sz val="10"/>
        <color rgb="FF183C1B"/>
        <rFont val="Arial"/>
        <family val="1"/>
      </rPr>
      <t>WTT,SC,q=N20</t>
    </r>
  </si>
  <si>
    <t>Total scope 1 - All stationary fuel use</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</si>
  <si>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</si>
  <si>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</si>
  <si>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</si>
  <si>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</si>
  <si>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</si>
  <si>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</si>
  <si>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</si>
  <si>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</si>
  <si>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</si>
  <si>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</si>
  <si>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Transport type t</t>
  </si>
  <si>
    <t>Fuel type q</t>
  </si>
  <si>
    <t>ECTrans,q (GJ/kL)</t>
  </si>
  <si>
    <t>Scope 1 CO2 EFTran,1,tqg (kg CO2-e/GJ)</t>
  </si>
  <si>
    <t>Scope 1 CH4 EFTran,1,tgg (kg CO2-e/GJ)</t>
  </si>
  <si>
    <t>Scope 1 N2O EFTran,1,tgg (kg CO2-e/GJ)</t>
  </si>
  <si>
    <t>Scope 3 EFTrans,3,q (kg CO2-e/GJ)</t>
  </si>
  <si>
    <t>State or territory</t>
  </si>
  <si>
    <t>Non-metro</t>
  </si>
  <si>
    <t>Appendices</t>
  </si>
  <si>
    <t>Generators</t>
  </si>
  <si>
    <t>Aviation</t>
  </si>
  <si>
    <t>Fuel type</t>
  </si>
  <si>
    <t>Input Unit</t>
  </si>
  <si>
    <t>kL</t>
  </si>
  <si>
    <t>L</t>
  </si>
  <si>
    <t>Liquefied petroleum gas (LPG)</t>
  </si>
  <si>
    <t>Biodiesel</t>
  </si>
  <si>
    <t>Ethanol</t>
  </si>
  <si>
    <t>Other biofuels</t>
  </si>
  <si>
    <t>Renewable diesel</t>
  </si>
  <si>
    <t>Avgas</t>
  </si>
  <si>
    <t>Jet A1, Jet B</t>
  </si>
  <si>
    <t>Renewable aviation kerosene</t>
  </si>
  <si>
    <t>Liquified natural gas (LNG)</t>
  </si>
  <si>
    <t>Diesel - Euro iv or higher</t>
  </si>
  <si>
    <t>Diesel - Euro iii</t>
  </si>
  <si>
    <t>Diesel - Euro i</t>
  </si>
  <si>
    <t>Renewable diesel – Euro iv or higher</t>
  </si>
  <si>
    <t>Renewable diesel – Euro iii</t>
  </si>
  <si>
    <t>Renewable diesel – Euro i</t>
  </si>
  <si>
    <t>Natural gas (via pipeline) in GJ</t>
  </si>
  <si>
    <t>GJ</t>
  </si>
  <si>
    <t>Input - Fertiliser Production System</t>
  </si>
  <si>
    <t>Crop type</t>
  </si>
  <si>
    <t>Maize</t>
  </si>
  <si>
    <t>Area under cropping</t>
  </si>
  <si>
    <t>hectares</t>
  </si>
  <si>
    <t>Input - Fertiliser</t>
  </si>
  <si>
    <t>Inorganic fertiliser applied</t>
  </si>
  <si>
    <t>💡You can add more rows to tables by right-clicking on the table and selecting "Insert &gt; Table rows above/below".</t>
  </si>
  <si>
    <t>💡The application area is the same as the area under pasture / cropping by default. You can edit it if the application area is different.</t>
  </si>
  <si>
    <t>Branded fertiliser products</t>
  </si>
  <si>
    <t>Product (select)</t>
  </si>
  <si>
    <r>
      <t xml:space="preserve">Amount applied </t>
    </r>
    <r>
      <rPr>
        <sz val="10"/>
        <color theme="1"/>
        <rFont val="Arial"/>
        <family val="1"/>
      </rPr>
      <t>per hectare</t>
    </r>
  </si>
  <si>
    <t>Application unit</t>
  </si>
  <si>
    <t>Application area (ha)</t>
  </si>
  <si>
    <t>Density</t>
  </si>
  <si>
    <t>Total applied (kg)</t>
  </si>
  <si>
    <t>Ingredient 1</t>
  </si>
  <si>
    <t>Ingredient 1 percent</t>
  </si>
  <si>
    <t>Ingredient 2</t>
  </si>
  <si>
    <t>Ingredient 2 percent</t>
  </si>
  <si>
    <t>Ingredient 3</t>
  </si>
  <si>
    <t>Ingredient 3 percent</t>
  </si>
  <si>
    <t>Ingredient 4</t>
  </si>
  <si>
    <t>Ingredient 4 percent</t>
  </si>
  <si>
    <t>Ingredient 5</t>
  </si>
  <si>
    <t>Ingredient 5 percent</t>
  </si>
  <si>
    <t>Ingredient 6</t>
  </si>
  <si>
    <t>Ingredient 6 percent</t>
  </si>
  <si>
    <t>% N (Ingredients)</t>
  </si>
  <si>
    <t>% N (declared)</t>
  </si>
  <si>
    <t>N application rate (kg/ha)</t>
  </si>
  <si>
    <t>Urea source</t>
  </si>
  <si>
    <t>Ammonia source</t>
  </si>
  <si>
    <t>Urea</t>
  </si>
  <si>
    <t>Boost-It</t>
  </si>
  <si>
    <t>Cal-Gran 50/50</t>
  </si>
  <si>
    <t>Custom fertiliser blends</t>
  </si>
  <si>
    <t>Custom blend name</t>
  </si>
  <si>
    <r>
      <t xml:space="preserve">Amount applied </t>
    </r>
    <r>
      <rPr>
        <sz val="10"/>
        <color theme="1"/>
        <rFont val="Arial"/>
        <family val="1"/>
      </rPr>
      <t>(kg / ha)</t>
    </r>
  </si>
  <si>
    <t>Ingredient 1 (select)</t>
  </si>
  <si>
    <t>Urea source (Select)</t>
  </si>
  <si>
    <t>Ammonia source (select)</t>
  </si>
  <si>
    <t>My first custom blend</t>
  </si>
  <si>
    <t>Calcium nitrate</t>
  </si>
  <si>
    <t>Zinc - Generic</t>
  </si>
  <si>
    <t>Potassium - Generic</t>
  </si>
  <si>
    <t>Sulfur - Generic</t>
  </si>
  <si>
    <t>My second custom blend</t>
  </si>
  <si>
    <t>My third custom blend</t>
  </si>
  <si>
    <t>Ammonia</t>
  </si>
  <si>
    <t>Lime applications</t>
  </si>
  <si>
    <t>💡 You can add more rows to the table by right-clicking on the table and selecting "Insert &gt; Table rows above/below".</t>
  </si>
  <si>
    <t>💡 'Lime' refers to calcium carbonate - CaCO3. 'Dolomite' refers to calcium magnesium carbonate - CaMg(CO3)2</t>
  </si>
  <si>
    <t>Amount applied (t/hectare)</t>
  </si>
  <si>
    <t>Total amount applied (t)</t>
  </si>
  <si>
    <r>
      <t>Percent Lime CaCO</t>
    </r>
    <r>
      <rPr>
        <b/>
        <vertAlign val="subscript"/>
        <sz val="10"/>
        <color rgb="FF533001"/>
        <rFont val="Arial"/>
        <family val="1"/>
      </rPr>
      <t>3</t>
    </r>
  </si>
  <si>
    <r>
      <t>Percent Dolomite CaMg(CO</t>
    </r>
    <r>
      <rPr>
        <b/>
        <vertAlign val="subscript"/>
        <sz val="10"/>
        <color rgb="FF533001"/>
        <rFont val="Arial"/>
        <family val="1"/>
      </rPr>
      <t>3</t>
    </r>
    <r>
      <rPr>
        <b/>
        <sz val="10"/>
        <color rgb="FF533001"/>
        <rFont val="Arial"/>
        <family val="1"/>
      </rPr>
      <t>)</t>
    </r>
    <r>
      <rPr>
        <b/>
        <vertAlign val="subscript"/>
        <sz val="10"/>
        <color rgb="FF533001"/>
        <rFont val="Arial"/>
        <family val="1"/>
      </rPr>
      <t>2</t>
    </r>
  </si>
  <si>
    <t>Percent Gypsum</t>
  </si>
  <si>
    <t>Lime product 1</t>
  </si>
  <si>
    <t>Lime product 2</t>
  </si>
  <si>
    <t>Lime product 3</t>
  </si>
  <si>
    <t>Organic fertiliser applications</t>
  </si>
  <si>
    <t>Organic fertiliser type (select)</t>
  </si>
  <si>
    <t>Percentage of N in fertiliser</t>
  </si>
  <si>
    <t>Amount applied (kg/hectare)</t>
  </si>
  <si>
    <t>Amount N applied (kg/hectare)</t>
  </si>
  <si>
    <t>Total organic fertliser applied</t>
  </si>
  <si>
    <t>Total nitrogen applied (kg)</t>
  </si>
  <si>
    <t>Manure - Other</t>
  </si>
  <si>
    <t>Manure - Poultry</t>
  </si>
  <si>
    <t>Other organic fertiliser</t>
  </si>
  <si>
    <t>5.1.1.1-2 Inorganic fertiliser application N2O emissions</t>
  </si>
  <si>
    <r>
      <t>ALERT: For method 2 the application rate (N) and mass of nitrogen (MN) is calculated per</t>
    </r>
    <r>
      <rPr>
        <b/>
        <i/>
        <sz val="10"/>
        <color rgb="FFCC6600"/>
        <rFont val="Arial"/>
        <family val="1"/>
      </rPr>
      <t xml:space="preserve"> fertiliser application instance</t>
    </r>
    <r>
      <rPr>
        <b/>
        <sz val="10"/>
        <color rgb="FFCC6600"/>
        <rFont val="Arial"/>
        <family val="1"/>
      </rPr>
      <t>, not per fertiliser type.</t>
    </r>
  </si>
  <si>
    <t>Method 2 prioritises the 'Declared N' value for branded fertiliser products, meaning the amount of N delcared by the manufacturer is used instead of the product ingredients and estimated amount of N for each ingredient.</t>
  </si>
  <si>
    <t>M2_Table_FertApplications</t>
  </si>
  <si>
    <t>Fertiliser product applications (Method 2)</t>
  </si>
  <si>
    <t>kg / hectare</t>
  </si>
  <si>
    <t>kg</t>
  </si>
  <si>
    <t>Product applied</t>
  </si>
  <si>
    <t>N Application rate</t>
  </si>
  <si>
    <t>Application area</t>
  </si>
  <si>
    <t>MN</t>
  </si>
  <si>
    <t>Branded product</t>
  </si>
  <si>
    <t>Table_MN_j_f</t>
  </si>
  <si>
    <t>Mass of nitrogen applied</t>
  </si>
  <si>
    <t>Fertiliser type f</t>
  </si>
  <si>
    <r>
      <t>TM</t>
    </r>
    <r>
      <rPr>
        <b/>
        <vertAlign val="subscript"/>
        <sz val="10"/>
        <color rgb="FF533001"/>
        <rFont val="Arial"/>
        <family val="1"/>
      </rPr>
      <t>jf</t>
    </r>
  </si>
  <si>
    <r>
      <t>FN</t>
    </r>
    <r>
      <rPr>
        <b/>
        <vertAlign val="subscript"/>
        <sz val="10"/>
        <color rgb="FF183C1B"/>
        <rFont val="Arial"/>
        <family val="1"/>
      </rPr>
      <t>inorganic,f</t>
    </r>
  </si>
  <si>
    <r>
      <t>MN</t>
    </r>
    <r>
      <rPr>
        <b/>
        <vertAlign val="subscript"/>
        <sz val="10"/>
        <color rgb="FF533001"/>
        <rFont val="Arial"/>
        <family val="1"/>
      </rPr>
      <t>jf</t>
    </r>
  </si>
  <si>
    <t>Custom blend</t>
  </si>
  <si>
    <t>MN total</t>
  </si>
  <si>
    <t>Application area total</t>
  </si>
  <si>
    <t>N application rate</t>
  </si>
  <si>
    <t>Not used - application rate calculated per product blend application</t>
  </si>
  <si>
    <r>
      <t>EF</t>
    </r>
    <r>
      <rPr>
        <b/>
        <vertAlign val="subscript"/>
        <sz val="10"/>
        <color theme="1" tint="0.24994659260841701"/>
        <rFont val="Arial"/>
        <family val="1"/>
      </rPr>
      <t>fj=irrigatedmaizeN2O</t>
    </r>
  </si>
  <si>
    <t>M1_Table_E_N2O</t>
  </si>
  <si>
    <t>Nitrous oxide emissions from inorganic fertiliser application (Method 1)</t>
  </si>
  <si>
    <r>
      <t>E</t>
    </r>
    <r>
      <rPr>
        <b/>
        <vertAlign val="subscript"/>
        <sz val="10"/>
        <color rgb="FF183C1B"/>
        <rFont val="Arial"/>
        <family val="1"/>
      </rPr>
      <t>N2O</t>
    </r>
  </si>
  <si>
    <r>
      <t>EF</t>
    </r>
    <r>
      <rPr>
        <b/>
        <vertAlign val="subscript"/>
        <sz val="10"/>
        <color theme="1" tint="0.24994659260841701"/>
        <rFont val="Arial"/>
        <family val="1"/>
      </rPr>
      <t>jf=nonirrigatedgrainsN2O</t>
    </r>
  </si>
  <si>
    <t>Capped cotton applicationj rate to 300 based on VEERG "application rate of inorganic fertiliser type f in the cotton crop (kg N/ha). This is capped at a maximum of 0.0183 kg CO2e/kg N, equivalent to N application rates of 300 kg N/ha "</t>
  </si>
  <si>
    <r>
      <t>E</t>
    </r>
    <r>
      <rPr>
        <b/>
        <vertAlign val="subscript"/>
        <sz val="14"/>
        <color theme="1" tint="0.24994659260841701"/>
        <rFont val="Arial"/>
        <family val="1"/>
      </rPr>
      <t>N2O</t>
    </r>
  </si>
  <si>
    <t>Not used</t>
  </si>
  <si>
    <t>M2_Table_EF</t>
  </si>
  <si>
    <t>Emission factor for nitrous oxide for inorganic fertilisers (Method 2)</t>
  </si>
  <si>
    <t>Is used</t>
  </si>
  <si>
    <t>EF</t>
  </si>
  <si>
    <t>Irrigated maize</t>
  </si>
  <si>
    <t>Non-irrigated crop, high rainfall</t>
  </si>
  <si>
    <t>Cotton</t>
  </si>
  <si>
    <t>All other production systems</t>
  </si>
  <si>
    <t>5.1.1.3-4 Inorganic fertiliser application CO2 emissions</t>
  </si>
  <si>
    <t>Table_MU_j_f</t>
  </si>
  <si>
    <t>Mass of urea applied</t>
  </si>
  <si>
    <r>
      <t>FU</t>
    </r>
    <r>
      <rPr>
        <b/>
        <vertAlign val="subscript"/>
        <sz val="10"/>
        <color rgb="FF183C1B"/>
        <rFont val="Arial"/>
        <family val="1"/>
      </rPr>
      <t>f</t>
    </r>
  </si>
  <si>
    <r>
      <t>MU</t>
    </r>
    <r>
      <rPr>
        <b/>
        <vertAlign val="subscript"/>
        <sz val="10"/>
        <color rgb="FF533001"/>
        <rFont val="Arial"/>
        <family val="1"/>
      </rPr>
      <t>jf</t>
    </r>
  </si>
  <si>
    <t>M1_Table_E_CO2</t>
  </si>
  <si>
    <t>Carbon dioxide oxide emissions from inorganic fertiliser application (Method 1)</t>
  </si>
  <si>
    <r>
      <t>E</t>
    </r>
    <r>
      <rPr>
        <b/>
        <vertAlign val="subscript"/>
        <sz val="14"/>
        <color theme="1" tint="0.24994659260841701"/>
        <rFont val="Arial"/>
        <family val="1"/>
      </rPr>
      <t>CO2</t>
    </r>
  </si>
  <si>
    <t>5.2.1.1 1-2 Organic fertiliser application N2O emissions</t>
  </si>
  <si>
    <t>Table_MNSoil_j_f</t>
  </si>
  <si>
    <t>Mass of nitrogen in organic fertilisers</t>
  </si>
  <si>
    <t>Organic fertiliser type (f)</t>
  </si>
  <si>
    <t>Amount applied (kg/ha)</t>
  </si>
  <si>
    <r>
      <t>M</t>
    </r>
    <r>
      <rPr>
        <b/>
        <vertAlign val="subscript"/>
        <sz val="10"/>
        <color rgb="FF183C1B"/>
        <rFont val="Arial"/>
        <family val="1"/>
      </rPr>
      <t>organicjf</t>
    </r>
  </si>
  <si>
    <t>FNorganicf</t>
  </si>
  <si>
    <r>
      <t>MNSoil</t>
    </r>
    <r>
      <rPr>
        <b/>
        <vertAlign val="subscript"/>
        <sz val="10"/>
        <color rgb="FF183C1B"/>
        <rFont val="Arial"/>
        <family val="1"/>
      </rPr>
      <t>jf</t>
    </r>
  </si>
  <si>
    <r>
      <t>MNSoil</t>
    </r>
    <r>
      <rPr>
        <b/>
        <vertAlign val="subscript"/>
        <sz val="10"/>
        <color theme="1" tint="0.24994659260841701"/>
        <rFont val="Arial"/>
        <family val="1"/>
      </rPr>
      <t>jf</t>
    </r>
  </si>
  <si>
    <t>5.3.1.1 1-2 Lime application CO2</t>
  </si>
  <si>
    <t>Table_E_lime</t>
  </si>
  <si>
    <t>Element</t>
  </si>
  <si>
    <t>M</t>
  </si>
  <si>
    <t>FracLime</t>
  </si>
  <si>
    <t>FracDol</t>
  </si>
  <si>
    <t>Elime</t>
  </si>
  <si>
    <r>
      <t>E</t>
    </r>
    <r>
      <rPr>
        <b/>
        <vertAlign val="subscript"/>
        <sz val="14"/>
        <color theme="1" tint="0.24994659260841701"/>
        <rFont val="Arial"/>
        <family val="1"/>
      </rPr>
      <t>lime</t>
    </r>
  </si>
  <si>
    <t>5.4.1.1-4  Atmospheric deposition resulting from fertiliser application</t>
  </si>
  <si>
    <t>Table_M_vol_inorganic_j_f</t>
  </si>
  <si>
    <t>Mass of nitrogen volatilised from inorganic fertiliser application</t>
  </si>
  <si>
    <t>Chemical compound</t>
  </si>
  <si>
    <r>
      <t>MN</t>
    </r>
    <r>
      <rPr>
        <b/>
        <vertAlign val="subscript"/>
        <sz val="10"/>
        <color rgb="FF183C1B"/>
        <rFont val="Arial"/>
        <family val="1"/>
      </rPr>
      <t>jf</t>
    </r>
  </si>
  <si>
    <t>Basis</t>
  </si>
  <si>
    <r>
      <t>FracGASF</t>
    </r>
    <r>
      <rPr>
        <b/>
        <vertAlign val="subscript"/>
        <sz val="10"/>
        <color rgb="FF183C1B"/>
        <rFont val="Arial"/>
        <family val="1"/>
      </rPr>
      <t>f</t>
    </r>
  </si>
  <si>
    <r>
      <t>M</t>
    </r>
    <r>
      <rPr>
        <b/>
        <vertAlign val="subscript"/>
        <sz val="10"/>
        <color rgb="FF183C1B"/>
        <rFont val="Arial"/>
        <family val="1"/>
      </rPr>
      <t>volinorganicjf</t>
    </r>
  </si>
  <si>
    <t>Table_E_ad_inorganic</t>
  </si>
  <si>
    <t>Atmospheric deposition emissions from inorganic fertiliser</t>
  </si>
  <si>
    <r>
      <t>E</t>
    </r>
    <r>
      <rPr>
        <b/>
        <vertAlign val="subscript"/>
        <sz val="10"/>
        <color rgb="FF183C1B"/>
        <rFont val="Arial"/>
        <family val="1"/>
      </rPr>
      <t>ad,inorganic</t>
    </r>
  </si>
  <si>
    <r>
      <t>E</t>
    </r>
    <r>
      <rPr>
        <b/>
        <vertAlign val="subscript"/>
        <sz val="14"/>
        <color theme="1" tint="0.24994659260841701"/>
        <rFont val="Arial"/>
        <family val="1"/>
      </rPr>
      <t>ad,inorganic</t>
    </r>
  </si>
  <si>
    <t>Table_M_vol_organic_j_f</t>
  </si>
  <si>
    <t>Mass of nitrogen volatilised from organic fertiliser applied</t>
  </si>
  <si>
    <r>
      <t>M</t>
    </r>
    <r>
      <rPr>
        <b/>
        <vertAlign val="subscript"/>
        <sz val="10"/>
        <color rgb="FF183C1B"/>
        <rFont val="Arial"/>
        <family val="1"/>
      </rPr>
      <t>vol,organic,jf</t>
    </r>
  </si>
  <si>
    <t>Table_E_ad_organic</t>
  </si>
  <si>
    <t>Atmospheric deposition emissions from organic fertiliser</t>
  </si>
  <si>
    <r>
      <t>E</t>
    </r>
    <r>
      <rPr>
        <b/>
        <vertAlign val="subscript"/>
        <sz val="10"/>
        <color rgb="FF183C1B"/>
        <rFont val="Arial"/>
        <family val="1"/>
      </rPr>
      <t>ad,organic</t>
    </r>
  </si>
  <si>
    <r>
      <t>E</t>
    </r>
    <r>
      <rPr>
        <b/>
        <vertAlign val="subscript"/>
        <sz val="14"/>
        <color theme="1" tint="0.24994659260841701"/>
        <rFont val="Arial"/>
        <family val="1"/>
      </rPr>
      <t>ad,organic</t>
    </r>
  </si>
  <si>
    <t>5.5.1.1-2  Leaching and runoff</t>
  </si>
  <si>
    <t>Table_M_leach_inorganic_j</t>
  </si>
  <si>
    <t>Mass of nitrogen from inorganic fertiliser lost through leaching and runoff</t>
  </si>
  <si>
    <r>
      <t>M</t>
    </r>
    <r>
      <rPr>
        <b/>
        <vertAlign val="subscript"/>
        <sz val="10"/>
        <color rgb="FF183C1B"/>
        <rFont val="Arial"/>
        <family val="1"/>
      </rPr>
      <t>leach,inorganic,j</t>
    </r>
  </si>
  <si>
    <r>
      <t>M</t>
    </r>
    <r>
      <rPr>
        <b/>
        <vertAlign val="subscript"/>
        <sz val="10"/>
        <color theme="1" tint="0.24994659260841701"/>
        <rFont val="Arial"/>
        <family val="1"/>
      </rPr>
      <t>leach,inorganic,j</t>
    </r>
  </si>
  <si>
    <t>Table_M_leach_organic_j</t>
  </si>
  <si>
    <t>Mass of nitrogen from organic fertiliser lost through leaching and runoff</t>
  </si>
  <si>
    <r>
      <t>M</t>
    </r>
    <r>
      <rPr>
        <b/>
        <vertAlign val="subscript"/>
        <sz val="10"/>
        <color rgb="FF183C1B"/>
        <rFont val="Arial"/>
        <family val="1"/>
      </rPr>
      <t>leach,organic,j</t>
    </r>
  </si>
  <si>
    <r>
      <t>M</t>
    </r>
    <r>
      <rPr>
        <b/>
        <vertAlign val="subscript"/>
        <sz val="10"/>
        <color theme="1" tint="0.24994659260841701"/>
        <rFont val="Arial"/>
        <family val="1"/>
      </rPr>
      <t>leach,organic,j</t>
    </r>
  </si>
  <si>
    <r>
      <t>E</t>
    </r>
    <r>
      <rPr>
        <b/>
        <vertAlign val="subscript"/>
        <sz val="14"/>
        <color theme="1" tint="0.24994659260841701"/>
        <rFont val="Arial"/>
        <family val="1"/>
      </rPr>
      <t>fert,leach</t>
    </r>
  </si>
  <si>
    <t>Constants - Fertiliser</t>
  </si>
  <si>
    <t>FNinorganic f</t>
  </si>
  <si>
    <t>FU f</t>
  </si>
  <si>
    <t>Lifecycles Scope 3 definition</t>
  </si>
  <si>
    <t>Production systems</t>
  </si>
  <si>
    <t>Crop types</t>
  </si>
  <si>
    <t>Organic fertiliser types</t>
  </si>
  <si>
    <t>Organic fertiliser type</t>
  </si>
  <si>
    <t>Pasture</t>
  </si>
  <si>
    <t>Manure - Cattle</t>
  </si>
  <si>
    <t>Grains</t>
  </si>
  <si>
    <t>Manure - Swine</t>
  </si>
  <si>
    <t>FracGASF f</t>
  </si>
  <si>
    <t>P</t>
  </si>
  <si>
    <t>Fertiliser products</t>
  </si>
  <si>
    <t>Company</t>
  </si>
  <si>
    <t>Contains inhibitor</t>
  </si>
  <si>
    <t>N declared</t>
  </si>
  <si>
    <t>P declared</t>
  </si>
  <si>
    <t>K declared</t>
  </si>
  <si>
    <t>S declared</t>
  </si>
  <si>
    <t>Ingredient 7</t>
  </si>
  <si>
    <t>Ingredient 7 percent</t>
  </si>
  <si>
    <t>Ingredient 8</t>
  </si>
  <si>
    <t>Ingredient 8 percent</t>
  </si>
  <si>
    <t>Ingredient 9</t>
  </si>
  <si>
    <t>Ingredient 9 percent</t>
  </si>
  <si>
    <t>Ingredient 10</t>
  </si>
  <si>
    <t>Ingredient 10 percent</t>
  </si>
  <si>
    <t>Input - Solid waste</t>
  </si>
  <si>
    <t>Solid waste treatment</t>
  </si>
  <si>
    <t>Treatment type (select)</t>
  </si>
  <si>
    <t>Waste type (select)</t>
  </si>
  <si>
    <t>Treatment location (select)</t>
  </si>
  <si>
    <t>Amount</t>
  </si>
  <si>
    <t>Amount unit (select)</t>
  </si>
  <si>
    <t>Compost paper and cardboard on site (tonnes)</t>
  </si>
  <si>
    <t>Composting</t>
  </si>
  <si>
    <t>Paper and cardboard</t>
  </si>
  <si>
    <t>Removed and treated off-site</t>
  </si>
  <si>
    <t>Compost paper and cardboard on site (m3)</t>
  </si>
  <si>
    <t>Treated on-site</t>
  </si>
  <si>
    <t>cubic metres m3</t>
  </si>
  <si>
    <t>Compost food waste on site (tonnes)</t>
  </si>
  <si>
    <t>Food waste (including animal carcasses, spoiled animal feed or crop)</t>
  </si>
  <si>
    <t>Compost food waste on site (m3)</t>
  </si>
  <si>
    <t>Landfill food waste offsite (tonnes)</t>
  </si>
  <si>
    <t>Landfill</t>
  </si>
  <si>
    <t>Landfill food waste offsite (m3)</t>
  </si>
  <si>
    <t>Landfill food waste on site (tonnes)</t>
  </si>
  <si>
    <t>Landfill food waste on site (m3)</t>
  </si>
  <si>
    <t>Landfill Paper offsite (tonnes)</t>
  </si>
  <si>
    <t>Landfill Paper waste offsite (m3)</t>
  </si>
  <si>
    <t>Landfill Paper waste on site (tonnes)</t>
  </si>
  <si>
    <t>Landfill Paper on site (m3)</t>
  </si>
  <si>
    <t>Landfill Green waste offsite (tonnes)</t>
  </si>
  <si>
    <t>Green waste (including crop residues or prunings)</t>
  </si>
  <si>
    <t>Landfill Green waste offsite (m3)</t>
  </si>
  <si>
    <t>Landfill Green waste on site (tonnes)</t>
  </si>
  <si>
    <t>Landfill Green waste on site (m3)</t>
  </si>
  <si>
    <t>Incineration paper and cardboard on site (tonnes)</t>
  </si>
  <si>
    <t>Incineration</t>
  </si>
  <si>
    <t>Incineration paper and cardboard on site (m3)</t>
  </si>
  <si>
    <t>Incineration green waste on site (tonnes)</t>
  </si>
  <si>
    <t>Incineration green waste on site (m3)</t>
  </si>
  <si>
    <t>Incineration green waste offsite (tonnes)</t>
  </si>
  <si>
    <t>Incineration green waste offsite (m3)</t>
  </si>
  <si>
    <t>Table_V_w_t_onsite</t>
  </si>
  <si>
    <t>Volume of solid waste treated on-site (scope 1)</t>
  </si>
  <si>
    <t>Treatment</t>
  </si>
  <si>
    <t>Waste type</t>
  </si>
  <si>
    <t>Vwt</t>
  </si>
  <si>
    <r>
      <t>VTM</t>
    </r>
    <r>
      <rPr>
        <b/>
        <vertAlign val="subscript"/>
        <sz val="10"/>
        <color rgb="FF183C1B"/>
        <rFont val="Arial"/>
        <family val="1"/>
      </rPr>
      <t>w</t>
    </r>
  </si>
  <si>
    <r>
      <t>Q</t>
    </r>
    <r>
      <rPr>
        <b/>
        <vertAlign val="subscript"/>
        <sz val="10"/>
        <color rgb="FF183C1B"/>
        <rFont val="Arial"/>
        <family val="1"/>
      </rPr>
      <t>wt</t>
    </r>
  </si>
  <si>
    <t>Table_V_w_t_offsite</t>
  </si>
  <si>
    <t>Volume of solid waste sent offsite for treatment by third party (scope 3)</t>
  </si>
  <si>
    <t>Table_E_g_onsite</t>
  </si>
  <si>
    <t>Emissions from waste management of waste treated on-site (scope 1)</t>
  </si>
  <si>
    <r>
      <t>Q</t>
    </r>
    <r>
      <rPr>
        <b/>
        <vertAlign val="subscript"/>
        <sz val="10"/>
        <color rgb="FF533001"/>
        <rFont val="Arial"/>
        <family val="1"/>
      </rPr>
      <t>masswt</t>
    </r>
  </si>
  <si>
    <r>
      <t>Q</t>
    </r>
    <r>
      <rPr>
        <b/>
        <vertAlign val="subscript"/>
        <sz val="10"/>
        <color rgb="FF183C1B"/>
        <rFont val="Arial"/>
        <family val="1"/>
      </rPr>
      <t>volwt</t>
    </r>
  </si>
  <si>
    <r>
      <t>EF</t>
    </r>
    <r>
      <rPr>
        <b/>
        <vertAlign val="subscript"/>
        <sz val="10"/>
        <color rgb="FF183C1B"/>
        <rFont val="Arial"/>
        <family val="1"/>
      </rPr>
      <t>wtg</t>
    </r>
  </si>
  <si>
    <r>
      <t>E</t>
    </r>
    <r>
      <rPr>
        <b/>
        <vertAlign val="subscript"/>
        <sz val="10"/>
        <color rgb="FF183C1B"/>
        <rFont val="Arial"/>
        <family val="1"/>
      </rPr>
      <t>g</t>
    </r>
  </si>
  <si>
    <t>Summed above</t>
  </si>
  <si>
    <r>
      <rPr>
        <b/>
        <sz val="14"/>
        <color theme="1" tint="0.24994659260841701"/>
        <rFont val="Arial"/>
        <family val="1"/>
      </rPr>
      <t>E</t>
    </r>
    <r>
      <rPr>
        <b/>
        <vertAlign val="subscript"/>
        <sz val="14"/>
        <color theme="1" tint="0.24994659260841701"/>
        <rFont val="Arial"/>
        <family val="1"/>
      </rPr>
      <t>g</t>
    </r>
  </si>
  <si>
    <t>Table_E_g_offsite</t>
  </si>
  <si>
    <t>Emissions from waste management of waste taken off-site (scope 3)</t>
  </si>
  <si>
    <t>Constants - Solid Waste</t>
  </si>
  <si>
    <t>Table_WasteTypes_Landfill</t>
  </si>
  <si>
    <t>Table_WasteTypes_Incineration</t>
  </si>
  <si>
    <t>Table_WasteTypes_Composting</t>
  </si>
  <si>
    <t>Table_WasteTypes_Anaerobicdigestion</t>
  </si>
  <si>
    <t>Treatment type t</t>
  </si>
  <si>
    <t>Waste type w</t>
  </si>
  <si>
    <t>EFwt</t>
  </si>
  <si>
    <t>EF source</t>
  </si>
  <si>
    <t>VTMw</t>
  </si>
  <si>
    <t>Input - Poultry Purchases</t>
  </si>
  <si>
    <t>⚠️ Livestock sales and purchases are not automatically reflected in the duration and head count tables - you will need to manually adjust head count, duration and average liveweight</t>
  </si>
  <si>
    <t>Quantity (head)</t>
  </si>
  <si>
    <t>Liveweight (kg/head) Method 1</t>
  </si>
  <si>
    <t>Liveweight (kg/head) Method 2</t>
  </si>
  <si>
    <t>Chooks from Carolyn</t>
  </si>
  <si>
    <t>Chicken</t>
  </si>
  <si>
    <t>Roosters from Raj</t>
  </si>
  <si>
    <t>Pullets</t>
  </si>
  <si>
    <t>Input - Common farm inputs</t>
  </si>
  <si>
    <t>Cleaning chemicals</t>
  </si>
  <si>
    <t>Product name</t>
  </si>
  <si>
    <t>Type (select)</t>
  </si>
  <si>
    <t>Quantity purchased (kg)</t>
  </si>
  <si>
    <t>Acid kleen</t>
  </si>
  <si>
    <t>Phosphoric acid</t>
  </si>
  <si>
    <t>Kleen alk</t>
  </si>
  <si>
    <t>Alkaline cleaner</t>
  </si>
  <si>
    <t>White king</t>
  </si>
  <si>
    <t>Bleach</t>
  </si>
  <si>
    <t>Services and contractors</t>
  </si>
  <si>
    <t>Service provider / contractor</t>
  </si>
  <si>
    <t>Activity</t>
  </si>
  <si>
    <t>Total amount</t>
  </si>
  <si>
    <t>Pete's Pickers</t>
  </si>
  <si>
    <t>Fruit picking</t>
  </si>
  <si>
    <t>Hour</t>
  </si>
  <si>
    <t>Harini's Harvesting Services Pty Ltd</t>
  </si>
  <si>
    <t>Wheat harvesting</t>
  </si>
  <si>
    <t>Hectare</t>
  </si>
  <si>
    <t>Uncategorised products</t>
  </si>
  <si>
    <t>Product / service name</t>
  </si>
  <si>
    <t>Something</t>
  </si>
  <si>
    <t>Input - Livestock farm inputs</t>
  </si>
  <si>
    <t>Feed</t>
  </si>
  <si>
    <t>Lick blocks</t>
  </si>
  <si>
    <t>Feed rations</t>
  </si>
  <si>
    <t>Purchased feed blends for livestock</t>
  </si>
  <si>
    <t>Feed blend name</t>
  </si>
  <si>
    <t>Amount fed (kg)</t>
  </si>
  <si>
    <t>Ingredient 1 source region</t>
  </si>
  <si>
    <t>Ingredient 2 (select)</t>
  </si>
  <si>
    <t>Ingredient 2 source region</t>
  </si>
  <si>
    <t>Ingredient 3 (select)</t>
  </si>
  <si>
    <t>Ingredient 3 source region</t>
  </si>
  <si>
    <t>Ingredient 4 (select)</t>
  </si>
  <si>
    <t>Ingredient 4 source region</t>
  </si>
  <si>
    <t>Cereal silage</t>
  </si>
  <si>
    <t>Cereal hay</t>
  </si>
  <si>
    <t>Canola oil</t>
  </si>
  <si>
    <t>Australia</t>
  </si>
  <si>
    <t>Molasses</t>
  </si>
  <si>
    <t>Lucerne hay</t>
  </si>
  <si>
    <t>Hay bales in paddock</t>
  </si>
  <si>
    <t>Wheat grain</t>
  </si>
  <si>
    <t>Soybean meal</t>
  </si>
  <si>
    <t>Brazil</t>
  </si>
  <si>
    <t>Pasture hay</t>
  </si>
  <si>
    <t>Livestock pharmacy chemicals</t>
  </si>
  <si>
    <t>Number of head treated</t>
  </si>
  <si>
    <t>Cow bug off</t>
  </si>
  <si>
    <t>Parasite control for cattle (external), dipping</t>
  </si>
  <si>
    <t>Cow worm-away</t>
  </si>
  <si>
    <t>Parasite control for cattle (internal)</t>
  </si>
  <si>
    <t>Sheep bug off</t>
  </si>
  <si>
    <t>Parasite control for sheep (external)</t>
  </si>
  <si>
    <t>Sheep worm-away</t>
  </si>
  <si>
    <t>Parasite control for sheep (internal)</t>
  </si>
  <si>
    <t>Miscellaneous inputs</t>
  </si>
  <si>
    <t>tags</t>
  </si>
  <si>
    <t>Input - Freight</t>
  </si>
  <si>
    <t>Incoming freight</t>
  </si>
  <si>
    <t>Route name</t>
  </si>
  <si>
    <t>Freight type (select)</t>
  </si>
  <si>
    <t>Route distance (km)</t>
  </si>
  <si>
    <t>Average weight of freight per trip (t)</t>
  </si>
  <si>
    <t>Number of trips taken</t>
  </si>
  <si>
    <t>Melbourne depot to farm depot weekly</t>
  </si>
  <si>
    <t>Transport in truck</t>
  </si>
  <si>
    <t>Fertiliser supplier to farm</t>
  </si>
  <si>
    <t>Rail</t>
  </si>
  <si>
    <t>Outgoing freight</t>
  </si>
  <si>
    <t>Farm to bulk handler</t>
  </si>
  <si>
    <t>Input - Manure sent off-site</t>
  </si>
  <si>
    <t>Manure sent off-site</t>
  </si>
  <si>
    <t>For each relevant livestock type:</t>
  </si>
  <si>
    <r>
      <t>Use the 'Mass of nitrogen applied to soil for scope 3 emissions (MNSoil</t>
    </r>
    <r>
      <rPr>
        <vertAlign val="subscript"/>
        <sz val="10"/>
        <color theme="1" tint="0.24994659260841701"/>
        <rFont val="Arial"/>
        <family val="1"/>
      </rPr>
      <t>scope3</t>
    </r>
    <r>
      <rPr>
        <sz val="10"/>
        <color theme="1" tint="0.24994659260841701"/>
        <rFont val="Arial"/>
        <family val="1"/>
      </rPr>
      <t>)' value calculated in the 'Manure applied to soils' equations (Chapter 4 of VEERG)</t>
    </r>
  </si>
  <si>
    <t>Mass of Nitrogen from manure sent offsite (MNSoil) - Method 1</t>
  </si>
  <si>
    <t>Mass of Nitrogen from manure sent offsite (MNSoil) - Method 2</t>
  </si>
  <si>
    <t>Production system where manure is anticipated to be deposited</t>
  </si>
  <si>
    <t>Irrigation method where manure is anticipated to be deposited</t>
  </si>
  <si>
    <t>15 Scope 3 emissions</t>
  </si>
  <si>
    <t>Scope 3 emissions are calculated on a maximum of 10 livestock purchases for each category</t>
  </si>
  <si>
    <t>Beef cattle</t>
  </si>
  <si>
    <t>Transaction description</t>
  </si>
  <si>
    <t>Livestock type c</t>
  </si>
  <si>
    <t>Origin o</t>
  </si>
  <si>
    <r>
      <t>N</t>
    </r>
    <r>
      <rPr>
        <b/>
        <vertAlign val="subscript"/>
        <sz val="10"/>
        <color theme="1"/>
        <rFont val="Arial"/>
        <family val="1"/>
      </rPr>
      <t>co</t>
    </r>
  </si>
  <si>
    <r>
      <t>W</t>
    </r>
    <r>
      <rPr>
        <b/>
        <vertAlign val="subscript"/>
        <sz val="10"/>
        <color theme="1"/>
        <rFont val="Arial"/>
        <family val="1"/>
      </rPr>
      <t>co</t>
    </r>
    <r>
      <rPr>
        <b/>
        <sz val="10"/>
        <color theme="1"/>
        <rFont val="Arial"/>
        <family val="2"/>
      </rPr>
      <t xml:space="preserve"> - Method 1 (kg/head)</t>
    </r>
  </si>
  <si>
    <r>
      <t>EF</t>
    </r>
    <r>
      <rPr>
        <b/>
        <vertAlign val="subscript"/>
        <sz val="10"/>
        <color rgb="FF183C1B"/>
        <rFont val="Arial"/>
        <family val="1"/>
      </rPr>
      <t>co</t>
    </r>
    <r>
      <rPr>
        <b/>
        <sz val="10"/>
        <color rgb="FF183C1B"/>
        <rFont val="Arial"/>
        <family val="1"/>
      </rPr>
      <t xml:space="preserve"> (Method 1)</t>
    </r>
  </si>
  <si>
    <t>E (Method 1)</t>
  </si>
  <si>
    <r>
      <t>W</t>
    </r>
    <r>
      <rPr>
        <b/>
        <vertAlign val="subscript"/>
        <sz val="10"/>
        <color theme="1"/>
        <rFont val="Arial"/>
        <family val="1"/>
      </rPr>
      <t>co</t>
    </r>
    <r>
      <rPr>
        <b/>
        <sz val="10"/>
        <color theme="1"/>
        <rFont val="Arial"/>
        <family val="2"/>
      </rPr>
      <t xml:space="preserve"> - Method 2 (kg/head)</t>
    </r>
  </si>
  <si>
    <r>
      <t>EF</t>
    </r>
    <r>
      <rPr>
        <b/>
        <vertAlign val="subscript"/>
        <sz val="10"/>
        <color rgb="FF533001"/>
        <rFont val="Arial"/>
        <family val="1"/>
      </rPr>
      <t>co</t>
    </r>
    <r>
      <rPr>
        <b/>
        <sz val="10"/>
        <color rgb="FF533001"/>
        <rFont val="Arial"/>
        <family val="1"/>
      </rPr>
      <t xml:space="preserve"> (Method 2)</t>
    </r>
  </si>
  <si>
    <t>E (Method 2)</t>
  </si>
  <si>
    <t>Method 2 EF source</t>
  </si>
  <si>
    <t>Method 2 EF source type (Select)</t>
  </si>
  <si>
    <t>Method 2 EF proof link</t>
  </si>
  <si>
    <t>Denise did a full LCA</t>
  </si>
  <si>
    <t>Verified credential matching ISO14067</t>
  </si>
  <si>
    <t>http://denisesdairy.com/LCA2024.pdf</t>
  </si>
  <si>
    <t>E - Beef cattle (Method 1)</t>
  </si>
  <si>
    <t>E - Beef cattle (Method 2)</t>
  </si>
  <si>
    <t>Dairy cattle</t>
  </si>
  <si>
    <r>
      <t>EF</t>
    </r>
    <r>
      <rPr>
        <vertAlign val="subscript"/>
        <sz val="9"/>
        <color theme="1" tint="0.34998626667073579"/>
        <rFont val="Arial"/>
        <family val="1"/>
      </rPr>
      <t>co</t>
    </r>
    <r>
      <rPr>
        <sz val="9"/>
        <color theme="1" tint="0.34998626667073579"/>
        <rFont val="Arial"/>
        <family val="1"/>
      </rPr>
      <t xml:space="preserve"> (Method 1)</t>
    </r>
  </si>
  <si>
    <t>E - Dairy cattle (Method 1)</t>
  </si>
  <si>
    <t>E - Dairy cattle (Method 2)</t>
  </si>
  <si>
    <t>Pigs</t>
  </si>
  <si>
    <t>E - Pigs (Method 1)</t>
  </si>
  <si>
    <t>E - Pigs (Method 2)</t>
  </si>
  <si>
    <t>Poultry</t>
  </si>
  <si>
    <t>E - Poultry (Method 1)</t>
  </si>
  <si>
    <t>E - Poultry (Method 2)</t>
  </si>
  <si>
    <t>Feed blends</t>
  </si>
  <si>
    <t xml:space="preserve">The method 1 product EF is calculated by multiplying the EF of each ingredient by the fraction of that ingredient in the product, then adding them all together. </t>
  </si>
  <si>
    <t>This is to allow for comparison with a method 2 product EF that might be provided by the supplier.</t>
  </si>
  <si>
    <t>If using an EF value from the manufacturer, make sure theirs is derived from the ingredients only to ensure a valid comparison with method 1 EF</t>
  </si>
  <si>
    <t>Scope 3 emissions are calculated on a maximum of 10 feed blends</t>
  </si>
  <si>
    <t>Blend name</t>
  </si>
  <si>
    <r>
      <t>Q</t>
    </r>
    <r>
      <rPr>
        <b/>
        <vertAlign val="subscript"/>
        <sz val="10"/>
        <color rgb="FF533001"/>
        <rFont val="Arial"/>
        <family val="1"/>
      </rPr>
      <t>j</t>
    </r>
  </si>
  <si>
    <r>
      <t>EF</t>
    </r>
    <r>
      <rPr>
        <b/>
        <vertAlign val="subscript"/>
        <sz val="10"/>
        <color rgb="FF183C1B"/>
        <rFont val="Arial"/>
        <family val="1"/>
      </rPr>
      <t>j</t>
    </r>
    <r>
      <rPr>
        <b/>
        <sz val="10"/>
        <color rgb="FF183C1B"/>
        <rFont val="Arial"/>
        <family val="1"/>
      </rPr>
      <t xml:space="preserve"> (Method 1)</t>
    </r>
  </si>
  <si>
    <r>
      <t>EF</t>
    </r>
    <r>
      <rPr>
        <b/>
        <vertAlign val="subscript"/>
        <sz val="10"/>
        <color rgb="FF533001"/>
        <rFont val="Arial"/>
        <family val="1"/>
      </rPr>
      <t>j</t>
    </r>
    <r>
      <rPr>
        <b/>
        <sz val="10"/>
        <color rgb="FF533001"/>
        <rFont val="Arial"/>
        <family val="1"/>
      </rPr>
      <t xml:space="preserve"> (Method 2)</t>
    </r>
  </si>
  <si>
    <t>Ingredient 1 source</t>
  </si>
  <si>
    <t>Ingredient 1 EF</t>
  </si>
  <si>
    <t>Ingredient 2 source</t>
  </si>
  <si>
    <t>Ingredient 2 EF</t>
  </si>
  <si>
    <t>Ingredient 3 source</t>
  </si>
  <si>
    <t>Ingredient 3 EF</t>
  </si>
  <si>
    <t>Ingredient 4 source</t>
  </si>
  <si>
    <t>Ingredient 4 EF</t>
  </si>
  <si>
    <t>Aquaculture and wild catch fieshery feed and bait</t>
  </si>
  <si>
    <r>
      <t>Q</t>
    </r>
    <r>
      <rPr>
        <b/>
        <vertAlign val="subscript"/>
        <sz val="10"/>
        <color rgb="FF533001"/>
        <rFont val="Arial"/>
        <family val="1"/>
      </rPr>
      <t>m</t>
    </r>
  </si>
  <si>
    <r>
      <t>EF</t>
    </r>
    <r>
      <rPr>
        <b/>
        <vertAlign val="subscript"/>
        <sz val="10"/>
        <color rgb="FF183C1B"/>
        <rFont val="Arial"/>
        <family val="1"/>
      </rPr>
      <t>m</t>
    </r>
    <r>
      <rPr>
        <b/>
        <sz val="10"/>
        <color rgb="FF183C1B"/>
        <rFont val="Arial"/>
        <family val="1"/>
      </rPr>
      <t xml:space="preserve"> (Method 1)</t>
    </r>
  </si>
  <si>
    <r>
      <t>EF</t>
    </r>
    <r>
      <rPr>
        <b/>
        <vertAlign val="subscript"/>
        <sz val="10"/>
        <color rgb="FF533001"/>
        <rFont val="Arial"/>
        <family val="1"/>
      </rPr>
      <t>m</t>
    </r>
    <r>
      <rPr>
        <b/>
        <sz val="10"/>
        <color rgb="FF533001"/>
        <rFont val="Arial"/>
        <family val="1"/>
      </rPr>
      <t xml:space="preserve"> (Method 2)</t>
    </r>
  </si>
  <si>
    <t>Branded fertiliser product purchases</t>
  </si>
  <si>
    <t>Scope 3 emissions are calculated on a maximum of 20 branded fertiliser product purchases</t>
  </si>
  <si>
    <t>Total amount (kg)</t>
  </si>
  <si>
    <r>
      <t>EF</t>
    </r>
    <r>
      <rPr>
        <b/>
        <vertAlign val="subscript"/>
        <sz val="10"/>
        <color rgb="FF183C1B"/>
        <rFont val="Arial"/>
        <family val="1"/>
      </rPr>
      <t>f</t>
    </r>
    <r>
      <rPr>
        <b/>
        <sz val="10"/>
        <color rgb="FF183C1B"/>
        <rFont val="Arial"/>
        <family val="1"/>
      </rPr>
      <t xml:space="preserve"> (Method 1)</t>
    </r>
  </si>
  <si>
    <t>E- Product (Method 1)</t>
  </si>
  <si>
    <t>E - Fertiliser components (Method 1)</t>
  </si>
  <si>
    <r>
      <t>EF</t>
    </r>
    <r>
      <rPr>
        <b/>
        <vertAlign val="subscript"/>
        <sz val="10"/>
        <color rgb="FF533001"/>
        <rFont val="Arial"/>
        <family val="1"/>
      </rPr>
      <t>f</t>
    </r>
    <r>
      <rPr>
        <b/>
        <sz val="10"/>
        <color rgb="FF533001"/>
        <rFont val="Arial"/>
        <family val="1"/>
      </rPr>
      <t xml:space="preserve"> (Method 2)</t>
    </r>
  </si>
  <si>
    <t>E- Product (Method 2)</t>
  </si>
  <si>
    <t>E - Fertiliser components (Method 2)</t>
  </si>
  <si>
    <r>
      <t>EF</t>
    </r>
    <r>
      <rPr>
        <b/>
        <vertAlign val="subscript"/>
        <sz val="10"/>
        <color rgb="FF183C1B"/>
        <rFont val="Arial"/>
        <family val="1"/>
      </rPr>
      <t xml:space="preserve">c - </t>
    </r>
    <r>
      <rPr>
        <b/>
        <sz val="10"/>
        <color rgb="FF183C1B"/>
        <rFont val="Arial"/>
        <family val="1"/>
      </rPr>
      <t>Ingredient 1 (Method 1)</t>
    </r>
  </si>
  <si>
    <r>
      <t>EF</t>
    </r>
    <r>
      <rPr>
        <b/>
        <vertAlign val="subscript"/>
        <sz val="10"/>
        <color rgb="FF533001"/>
        <rFont val="Arial"/>
        <family val="1"/>
      </rPr>
      <t>c</t>
    </r>
    <r>
      <rPr>
        <b/>
        <sz val="10"/>
        <color rgb="FF533001"/>
        <rFont val="Arial"/>
        <family val="1"/>
      </rPr>
      <t xml:space="preserve"> - Ingredient 1 (Method 2)</t>
    </r>
  </si>
  <si>
    <r>
      <t>EF</t>
    </r>
    <r>
      <rPr>
        <b/>
        <vertAlign val="subscript"/>
        <sz val="10"/>
        <color rgb="FF183C1B"/>
        <rFont val="Arial"/>
        <family val="1"/>
      </rPr>
      <t xml:space="preserve">c - </t>
    </r>
    <r>
      <rPr>
        <b/>
        <sz val="10"/>
        <color rgb="FF183C1B"/>
        <rFont val="Arial"/>
        <family val="1"/>
      </rPr>
      <t>Ingredient 2 (Method 1)</t>
    </r>
  </si>
  <si>
    <r>
      <t>EF</t>
    </r>
    <r>
      <rPr>
        <b/>
        <vertAlign val="subscript"/>
        <sz val="10"/>
        <color rgb="FF533001"/>
        <rFont val="Arial"/>
        <family val="1"/>
      </rPr>
      <t>c</t>
    </r>
    <r>
      <rPr>
        <b/>
        <sz val="10"/>
        <color rgb="FF533001"/>
        <rFont val="Arial"/>
        <family val="1"/>
      </rPr>
      <t xml:space="preserve"> - Ingredient 2 (Method 2)</t>
    </r>
  </si>
  <si>
    <r>
      <t>EF</t>
    </r>
    <r>
      <rPr>
        <b/>
        <vertAlign val="subscript"/>
        <sz val="10"/>
        <color rgb="FF183C1B"/>
        <rFont val="Arial"/>
        <family val="1"/>
      </rPr>
      <t xml:space="preserve">c - </t>
    </r>
    <r>
      <rPr>
        <b/>
        <sz val="10"/>
        <color rgb="FF183C1B"/>
        <rFont val="Arial"/>
        <family val="1"/>
      </rPr>
      <t>Ingredient 3 (Method 1)</t>
    </r>
  </si>
  <si>
    <r>
      <t>EF</t>
    </r>
    <r>
      <rPr>
        <b/>
        <vertAlign val="subscript"/>
        <sz val="10"/>
        <color rgb="FF533001"/>
        <rFont val="Arial"/>
        <family val="1"/>
      </rPr>
      <t>c</t>
    </r>
    <r>
      <rPr>
        <b/>
        <sz val="10"/>
        <color rgb="FF533001"/>
        <rFont val="Arial"/>
        <family val="1"/>
      </rPr>
      <t xml:space="preserve"> - Ingredient 3 (Method 2)</t>
    </r>
  </si>
  <si>
    <r>
      <t>EF</t>
    </r>
    <r>
      <rPr>
        <b/>
        <vertAlign val="subscript"/>
        <sz val="10"/>
        <color rgb="FF183C1B"/>
        <rFont val="Arial"/>
        <family val="1"/>
      </rPr>
      <t xml:space="preserve">c - </t>
    </r>
    <r>
      <rPr>
        <b/>
        <sz val="10"/>
        <color rgb="FF183C1B"/>
        <rFont val="Arial"/>
        <family val="1"/>
      </rPr>
      <t>Ingredient 4 (Method 1)</t>
    </r>
  </si>
  <si>
    <r>
      <t>EF</t>
    </r>
    <r>
      <rPr>
        <b/>
        <vertAlign val="subscript"/>
        <sz val="10"/>
        <color rgb="FF533001"/>
        <rFont val="Arial"/>
        <family val="1"/>
      </rPr>
      <t>c</t>
    </r>
    <r>
      <rPr>
        <b/>
        <sz val="10"/>
        <color rgb="FF533001"/>
        <rFont val="Arial"/>
        <family val="1"/>
      </rPr>
      <t xml:space="preserve"> - Ingredient 4 (Method 2)</t>
    </r>
  </si>
  <si>
    <r>
      <t>EF</t>
    </r>
    <r>
      <rPr>
        <b/>
        <vertAlign val="subscript"/>
        <sz val="10"/>
        <color rgb="FF183C1B"/>
        <rFont val="Arial"/>
        <family val="1"/>
      </rPr>
      <t xml:space="preserve">c - </t>
    </r>
    <r>
      <rPr>
        <b/>
        <sz val="10"/>
        <color rgb="FF183C1B"/>
        <rFont val="Arial"/>
        <family val="1"/>
      </rPr>
      <t>Ingredient 5 (Method 1)</t>
    </r>
  </si>
  <si>
    <r>
      <t>EF</t>
    </r>
    <r>
      <rPr>
        <b/>
        <vertAlign val="subscript"/>
        <sz val="10"/>
        <color rgb="FF533001"/>
        <rFont val="Arial"/>
        <family val="1"/>
      </rPr>
      <t>c</t>
    </r>
    <r>
      <rPr>
        <b/>
        <sz val="10"/>
        <color rgb="FF533001"/>
        <rFont val="Arial"/>
        <family val="1"/>
      </rPr>
      <t xml:space="preserve"> - Ingredient 5 (Method 2)</t>
    </r>
  </si>
  <si>
    <r>
      <t>EF</t>
    </r>
    <r>
      <rPr>
        <b/>
        <vertAlign val="subscript"/>
        <sz val="10"/>
        <color rgb="FF183C1B"/>
        <rFont val="Arial"/>
        <family val="1"/>
      </rPr>
      <t xml:space="preserve">c - </t>
    </r>
    <r>
      <rPr>
        <b/>
        <sz val="10"/>
        <color rgb="FF183C1B"/>
        <rFont val="Arial"/>
        <family val="1"/>
      </rPr>
      <t>Ingredient 6 (Method 1)</t>
    </r>
  </si>
  <si>
    <r>
      <t>EF</t>
    </r>
    <r>
      <rPr>
        <b/>
        <vertAlign val="subscript"/>
        <sz val="10"/>
        <color rgb="FF533001"/>
        <rFont val="Arial"/>
        <family val="1"/>
      </rPr>
      <t>c</t>
    </r>
    <r>
      <rPr>
        <b/>
        <sz val="10"/>
        <color rgb="FF533001"/>
        <rFont val="Arial"/>
        <family val="1"/>
      </rPr>
      <t xml:space="preserve"> - Ingredient 6 (Method 2)</t>
    </r>
  </si>
  <si>
    <t>Fertiliser custom blends</t>
  </si>
  <si>
    <t>Scope 3 emissions are calculated on a maximum of 20 custom fertiliser blends</t>
  </si>
  <si>
    <t>E (Method 1) - Product EF</t>
  </si>
  <si>
    <t>E (Method 2) - Product EF</t>
  </si>
  <si>
    <t>E (Method 1) - Component EF</t>
  </si>
  <si>
    <t>E (Method 2) - Component EF</t>
  </si>
  <si>
    <t>Active ingredient type</t>
  </si>
  <si>
    <r>
      <t>EF</t>
    </r>
    <r>
      <rPr>
        <b/>
        <vertAlign val="subscript"/>
        <sz val="10"/>
        <color rgb="FF183C1B"/>
        <rFont val="Arial"/>
        <family val="1"/>
      </rPr>
      <t>h</t>
    </r>
    <r>
      <rPr>
        <b/>
        <sz val="10"/>
        <color rgb="FF183C1B"/>
        <rFont val="Arial"/>
        <family val="1"/>
      </rPr>
      <t xml:space="preserve"> (Method 1)</t>
    </r>
  </si>
  <si>
    <r>
      <t>EF</t>
    </r>
    <r>
      <rPr>
        <b/>
        <vertAlign val="subscript"/>
        <sz val="10"/>
        <color rgb="FF533001"/>
        <rFont val="Arial"/>
        <family val="1"/>
      </rPr>
      <t>h</t>
    </r>
    <r>
      <rPr>
        <b/>
        <sz val="10"/>
        <color rgb="FF533001"/>
        <rFont val="Arial"/>
        <family val="1"/>
      </rPr>
      <t xml:space="preserve"> (Method 2)</t>
    </r>
  </si>
  <si>
    <r>
      <t>EF</t>
    </r>
    <r>
      <rPr>
        <vertAlign val="subscript"/>
        <sz val="10"/>
        <color theme="1" tint="0.24994659260841701"/>
        <rFont val="Arial"/>
        <family val="1"/>
      </rPr>
      <t>l</t>
    </r>
    <r>
      <rPr>
        <sz val="10"/>
        <color theme="1" tint="0.24994659260841701"/>
        <rFont val="Arial"/>
        <family val="1"/>
      </rPr>
      <t xml:space="preserve"> - Lime</t>
    </r>
  </si>
  <si>
    <r>
      <t>EF</t>
    </r>
    <r>
      <rPr>
        <vertAlign val="subscript"/>
        <sz val="10"/>
        <color theme="1" tint="0.24994659260841701"/>
        <rFont val="Arial"/>
        <family val="1"/>
      </rPr>
      <t>l</t>
    </r>
    <r>
      <rPr>
        <sz val="10"/>
        <color theme="1" tint="0.24994659260841701"/>
        <rFont val="Arial"/>
        <family val="1"/>
      </rPr>
      <t xml:space="preserve"> - Dolomite</t>
    </r>
  </si>
  <si>
    <r>
      <t>EF</t>
    </r>
    <r>
      <rPr>
        <vertAlign val="subscript"/>
        <sz val="10"/>
        <color theme="1" tint="0.24994659260841701"/>
        <rFont val="Arial"/>
        <family val="1"/>
      </rPr>
      <t>l</t>
    </r>
    <r>
      <rPr>
        <sz val="10"/>
        <color theme="1" tint="0.24994659260841701"/>
        <rFont val="Arial"/>
        <family val="1"/>
      </rPr>
      <t xml:space="preserve"> - Gypsum</t>
    </r>
  </si>
  <si>
    <t>Total amount (t)</t>
  </si>
  <si>
    <r>
      <t>M</t>
    </r>
    <r>
      <rPr>
        <b/>
        <vertAlign val="subscript"/>
        <sz val="10"/>
        <color rgb="FF533001"/>
        <rFont val="Arial"/>
        <family val="1"/>
      </rPr>
      <t>lime</t>
    </r>
    <r>
      <rPr>
        <b/>
        <sz val="10"/>
        <color rgb="FF533001"/>
        <rFont val="Arial"/>
        <family val="1"/>
      </rPr>
      <t xml:space="preserve"> - Lime</t>
    </r>
  </si>
  <si>
    <r>
      <t>M</t>
    </r>
    <r>
      <rPr>
        <b/>
        <vertAlign val="subscript"/>
        <sz val="10"/>
        <color rgb="FF533001"/>
        <rFont val="Arial"/>
        <family val="1"/>
      </rPr>
      <t>lime</t>
    </r>
    <r>
      <rPr>
        <b/>
        <sz val="10"/>
        <color rgb="FF533001"/>
        <rFont val="Arial"/>
        <family val="1"/>
      </rPr>
      <t xml:space="preserve"> - Dolomite</t>
    </r>
  </si>
  <si>
    <r>
      <t>M</t>
    </r>
    <r>
      <rPr>
        <b/>
        <vertAlign val="subscript"/>
        <sz val="10"/>
        <color rgb="FF533001"/>
        <rFont val="Arial"/>
        <family val="1"/>
      </rPr>
      <t>lime</t>
    </r>
    <r>
      <rPr>
        <b/>
        <sz val="10"/>
        <color rgb="FF533001"/>
        <rFont val="Arial"/>
        <family val="1"/>
      </rPr>
      <t xml:space="preserve"> - Gypsum</t>
    </r>
  </si>
  <si>
    <t>E(Method 2)</t>
  </si>
  <si>
    <t>VEERG_15_7_1_1__1_EmissionsFromPurchasedServices_Result_Method1</t>
  </si>
  <si>
    <r>
      <t xml:space="preserve">⚠️ </t>
    </r>
    <r>
      <rPr>
        <b/>
        <sz val="10"/>
        <color rgb="FFC44340"/>
        <rFont val="Arial"/>
        <family val="1"/>
      </rPr>
      <t>ALERT:</t>
    </r>
    <r>
      <rPr>
        <sz val="10"/>
        <color rgb="FFC44340"/>
        <rFont val="Arial"/>
        <family val="1"/>
      </rPr>
      <t xml:space="preserve"> No Method 1 EF data for purchased services and contractor operations is in </t>
    </r>
    <r>
      <rPr>
        <i/>
        <sz val="10"/>
        <color rgb="FFC44340"/>
        <rFont val="Arial"/>
        <family val="1"/>
      </rPr>
      <t>Greenhouse Gas Emission Intensities for Material Inputs to Australian Agriculture, Fisheries and Forestry</t>
    </r>
    <r>
      <rPr>
        <sz val="10"/>
        <color rgb="FFC44340"/>
        <rFont val="Arial"/>
        <family val="1"/>
      </rPr>
      <t>. Use method 2 EF values from your chosen data source.</t>
    </r>
  </si>
  <si>
    <t>Product EF (Method 1)</t>
  </si>
  <si>
    <t>Scope 3 (Method 1)</t>
  </si>
  <si>
    <t>Product EF (Method 2)</t>
  </si>
  <si>
    <t>Scope 3 (Method 2)</t>
  </si>
  <si>
    <t>Scope 3 unit</t>
  </si>
  <si>
    <t>Primary material</t>
  </si>
  <si>
    <r>
      <t>Q</t>
    </r>
    <r>
      <rPr>
        <b/>
        <vertAlign val="subscript"/>
        <sz val="10"/>
        <color theme="1"/>
        <rFont val="Arial"/>
        <family val="1"/>
      </rPr>
      <t>p</t>
    </r>
    <r>
      <rPr>
        <b/>
        <sz val="10"/>
        <color theme="1"/>
        <rFont val="Arial"/>
        <family val="2"/>
      </rPr>
      <t xml:space="preserve"> (kg)</t>
    </r>
  </si>
  <si>
    <r>
      <t>EF</t>
    </r>
    <r>
      <rPr>
        <b/>
        <vertAlign val="subscript"/>
        <sz val="10"/>
        <color rgb="FF183C1B"/>
        <rFont val="Arial"/>
        <family val="1"/>
      </rPr>
      <t xml:space="preserve">p </t>
    </r>
    <r>
      <rPr>
        <b/>
        <sz val="10"/>
        <color rgb="FF183C1B"/>
        <rFont val="Arial"/>
        <family val="1"/>
      </rPr>
      <t>(Method 1)</t>
    </r>
  </si>
  <si>
    <r>
      <t>EF</t>
    </r>
    <r>
      <rPr>
        <b/>
        <vertAlign val="subscript"/>
        <sz val="10"/>
        <color rgb="FF533001"/>
        <rFont val="Arial"/>
        <family val="1"/>
      </rPr>
      <t>p</t>
    </r>
    <r>
      <rPr>
        <b/>
        <sz val="10"/>
        <color rgb="FF533001"/>
        <rFont val="Arial"/>
        <family val="1"/>
      </rPr>
      <t xml:space="preserve"> (Method 2)</t>
    </r>
  </si>
  <si>
    <t>Grow media type</t>
  </si>
  <si>
    <t>VARIATION ON SOURCE: In order for result to be in t CO2e, convert known EF kg values to tonnes by multiplying by 10^-3, and added a check for EF unit where EF is not constant.</t>
  </si>
  <si>
    <t>Cleaning chemical purchases</t>
  </si>
  <si>
    <t>Type</t>
  </si>
  <si>
    <t>Amount purcahsed (kg)</t>
  </si>
  <si>
    <t>Pharmacy chemical purchases</t>
  </si>
  <si>
    <t>EF (Method 1)</t>
  </si>
  <si>
    <t>EF (Method 2)</t>
  </si>
  <si>
    <t>Seed</t>
  </si>
  <si>
    <t>Amount (kg)</t>
  </si>
  <si>
    <t>Miscellaneous Inputs</t>
  </si>
  <si>
    <t>Uncategorised products with no Method 1 EF data</t>
  </si>
  <si>
    <t>EF (Method 2) Unit</t>
  </si>
  <si>
    <t>t / amount unit</t>
  </si>
  <si>
    <t>E</t>
  </si>
  <si>
    <r>
      <t>E</t>
    </r>
    <r>
      <rPr>
        <b/>
        <vertAlign val="subscript"/>
        <sz val="12"/>
        <color theme="1" tint="0.24994659260841701"/>
        <rFont val="Arial"/>
        <family val="1"/>
      </rPr>
      <t>3,elec</t>
    </r>
  </si>
  <si>
    <t>Route</t>
  </si>
  <si>
    <r>
      <t>W</t>
    </r>
    <r>
      <rPr>
        <b/>
        <vertAlign val="subscript"/>
        <sz val="10"/>
        <color rgb="FF533001"/>
        <rFont val="Arial"/>
        <family val="1"/>
      </rPr>
      <t>f</t>
    </r>
    <r>
      <rPr>
        <b/>
        <sz val="10"/>
        <color rgb="FF533001"/>
        <rFont val="Arial"/>
        <family val="1"/>
      </rPr>
      <t xml:space="preserve"> (t)</t>
    </r>
  </si>
  <si>
    <r>
      <t>D</t>
    </r>
    <r>
      <rPr>
        <b/>
        <vertAlign val="subscript"/>
        <sz val="10"/>
        <color rgb="FF533001"/>
        <rFont val="Arial"/>
        <family val="1"/>
      </rPr>
      <t>f</t>
    </r>
    <r>
      <rPr>
        <b/>
        <sz val="10"/>
        <color rgb="FF533001"/>
        <rFont val="Arial"/>
        <family val="1"/>
      </rPr>
      <t xml:space="preserve"> (km)</t>
    </r>
  </si>
  <si>
    <r>
      <t>EF</t>
    </r>
    <r>
      <rPr>
        <b/>
        <vertAlign val="superscript"/>
        <sz val="10"/>
        <color rgb="FF183C1B"/>
        <rFont val="Arial"/>
        <family val="1"/>
      </rPr>
      <t>f</t>
    </r>
    <r>
      <rPr>
        <b/>
        <sz val="10"/>
        <color rgb="FF183C1B"/>
        <rFont val="Arial"/>
        <family val="1"/>
      </rPr>
      <t xml:space="preserve"> (Method 1)</t>
    </r>
  </si>
  <si>
    <t>E - Incoming freight (Method 1)</t>
  </si>
  <si>
    <t>E - Incoming freight (Method 2)</t>
  </si>
  <si>
    <t>E - Outgoing freight (Method 1)</t>
  </si>
  <si>
    <t>E - Outgoing freight (Method 2)</t>
  </si>
  <si>
    <t>Calcs - Manure sent off-site</t>
  </si>
  <si>
    <r>
      <t>M</t>
    </r>
    <r>
      <rPr>
        <b/>
        <vertAlign val="subscript"/>
        <sz val="10"/>
        <color theme="1" tint="0.24994659260841701"/>
        <rFont val="Arial"/>
        <family val="1"/>
      </rPr>
      <t>vol,inorganic,jf</t>
    </r>
  </si>
  <si>
    <r>
      <t>M</t>
    </r>
    <r>
      <rPr>
        <b/>
        <vertAlign val="subscript"/>
        <sz val="10"/>
        <color theme="1" tint="0.24994659260841701"/>
        <rFont val="Arial"/>
        <family val="1"/>
      </rPr>
      <t>leach,inorganic,jf</t>
    </r>
  </si>
  <si>
    <t>Animals</t>
  </si>
  <si>
    <t>Table_ProductRegions_Beefcattle</t>
  </si>
  <si>
    <t>Category</t>
  </si>
  <si>
    <t>Region of origin</t>
  </si>
  <si>
    <t>Quantity Unit</t>
  </si>
  <si>
    <t>Emissions intensity</t>
  </si>
  <si>
    <t>System boundary</t>
  </si>
  <si>
    <t>Region</t>
  </si>
  <si>
    <t>Scope3 region</t>
  </si>
  <si>
    <t>GHGEI-MIAFF</t>
  </si>
  <si>
    <t>WA - South west</t>
  </si>
  <si>
    <t>WA - Pilbara</t>
  </si>
  <si>
    <t>WA - Kimberley</t>
  </si>
  <si>
    <t>NT - Alice Springs</t>
  </si>
  <si>
    <t>NT - Barkly</t>
  </si>
  <si>
    <t>NT - Northern</t>
  </si>
  <si>
    <t>QLD - High</t>
  </si>
  <si>
    <t>QLD - Moderate/High</t>
  </si>
  <si>
    <t>QLD - Moderate/Low</t>
  </si>
  <si>
    <t>QLD - Low</t>
  </si>
  <si>
    <t>Chemicals</t>
  </si>
  <si>
    <t>Inorganic fertilisers</t>
  </si>
  <si>
    <t>Quantity</t>
  </si>
  <si>
    <t>Other agricultural inputs</t>
  </si>
  <si>
    <t>Packaging</t>
  </si>
  <si>
    <t>Pesticides</t>
  </si>
  <si>
    <t>Soil ameliorants</t>
  </si>
  <si>
    <t>Fish feed and bait</t>
  </si>
  <si>
    <t>VEERG</t>
  </si>
  <si>
    <t>Constants - Livestock</t>
  </si>
  <si>
    <t>Symbol</t>
  </si>
  <si>
    <t>Manure management system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</si>
</sst>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43" formatCode="_-* #,##0.00_-;\-* #,##0.00_-;_-* &quot;-&quot;??_-;_-@_-"/>
    <numFmt numFmtId="164" formatCode="0.000"/>
    <numFmt numFmtId="165" formatCode="#,##0.000"/>
    <numFmt numFmtId="166" formatCode="d/mm/yyyy;@"/>
    <numFmt numFmtId="167" formatCode="[$-C09]dd\-mmmm\-yyyy;@"/>
    <numFmt numFmtId="168" formatCode="#,##0.000000"/>
    <numFmt numFmtId="169" formatCode="_-* #,##0_-;\-* #,##0_-;_-* &quot;-&quot;??_-;_-@_-"/>
    <numFmt numFmtId="170" formatCode="0.00000000000"/>
    <numFmt numFmtId="171" formatCode="[$-F800]dddd\,\ mmmm\ dd\,\ yyyy"/>
    <numFmt numFmtId="172" formatCode="[$-C09]d\ mmmm\ yyyy;@"/>
    <numFmt numFmtId="173" formatCode="0.00000"/>
    <numFmt numFmtId="174" formatCode="0.000000E+00"/>
  </numFmts>
  <fonts count="83" x14ac:knownFonts="1">
    <font>
      <sz val="10"/>
      <color theme="1"/>
      <name val="Arial"/>
      <family val="2"/>
    </font>
    <font>
      <i/>
      <sz val="10"/>
      <color theme="1" tint="0.499984740745262"/>
      <name val="Arial"/>
      <family val="1"/>
    </font>
    <font>
      <sz val="10"/>
      <color theme="1" tint="0.14999847407452621"/>
      <name val="Arial"/>
      <family val="1"/>
    </font>
    <font>
      <b/>
      <sz val="10"/>
      <color theme="1" tint="0.14999847407452621"/>
      <name val="Arial"/>
      <family val="1"/>
    </font>
    <font>
      <b/>
      <sz val="18"/>
      <color rgb="FF183C1B"/>
      <name val="Arial"/>
      <family val="1"/>
    </font>
    <font>
      <b/>
      <sz val="10"/>
      <color rgb="FF183C1B"/>
      <name val="Arial"/>
      <family val="1"/>
    </font>
    <font>
      <i/>
      <sz val="10"/>
      <color theme="1" tint="0.34998626667073579"/>
      <name val="Arial"/>
      <family val="1"/>
    </font>
    <font>
      <sz val="10"/>
      <color theme="1" tint="0.34998626667073579"/>
      <name val="Arial"/>
      <family val="1"/>
    </font>
    <font>
      <sz val="10"/>
      <color theme="1" tint="0.14996795556505021"/>
      <name val="Arial"/>
      <family val="1"/>
    </font>
    <font>
      <sz val="10"/>
      <color theme="1"/>
      <name val="Arial"/>
      <family val="2"/>
    </font>
    <font>
      <b/>
      <sz val="18"/>
      <color rgb="FFCC6600"/>
      <name val="Arial"/>
      <family val="1"/>
    </font>
    <font>
      <i/>
      <sz val="10"/>
      <color rgb="FFCC6600"/>
      <name val="Arial"/>
      <family val="1"/>
    </font>
    <font>
      <b/>
      <sz val="10"/>
      <color rgb="FF533001"/>
      <name val="Arial"/>
      <family val="1"/>
    </font>
    <font>
      <i/>
      <strike/>
      <sz val="10"/>
      <color theme="1" tint="0.499984740745262"/>
      <name val="Arial"/>
      <family val="1"/>
    </font>
    <font>
      <b/>
      <i/>
      <strike/>
      <sz val="10"/>
      <color theme="1" tint="0.499984740745262"/>
      <name val="Arial"/>
      <family val="1"/>
    </font>
    <font>
      <sz val="9"/>
      <color theme="1" tint="0.499984740745262"/>
      <name val="Courier New"/>
      <family val="3"/>
    </font>
    <font>
      <b/>
      <sz val="14"/>
      <color theme="0"/>
      <name val="Arial"/>
      <family val="1"/>
    </font>
    <font>
      <sz val="9"/>
      <color theme="1" tint="0.249977111117893"/>
      <name val="Arial"/>
      <family val="1"/>
    </font>
    <font>
      <sz val="9"/>
      <color rgb="FF008000"/>
      <name val="Arial"/>
      <family val="1"/>
    </font>
    <font>
      <sz val="9"/>
      <color rgb="FFCC6600"/>
      <name val="Arial"/>
      <family val="1"/>
    </font>
    <font>
      <sz val="10"/>
      <color theme="0"/>
      <name val="Arial"/>
      <family val="1"/>
    </font>
    <font>
      <sz val="10"/>
      <color theme="1" tint="0.499984740745262"/>
      <name val="Arial"/>
      <family val="1"/>
    </font>
    <font>
      <sz val="10"/>
      <color theme="0" tint="-4.9989318521683403E-2"/>
      <name val="Arial"/>
      <family val="1"/>
    </font>
    <font>
      <sz val="9"/>
      <color theme="1" tint="0.34998626667073579"/>
      <name val="Arial"/>
      <family val="1"/>
    </font>
    <font>
      <sz val="9"/>
      <name val="Arial"/>
      <family val="2"/>
    </font>
    <font>
      <sz val="16"/>
      <color theme="1" tint="0.14996795556505021"/>
      <name val="Arial"/>
      <family val="1"/>
    </font>
    <font>
      <sz val="9"/>
      <color theme="1" tint="0.34998626667073579"/>
      <name val="Arial"/>
      <family val="2"/>
    </font>
    <font>
      <sz val="10"/>
      <color theme="1" tint="0.24994659260841701"/>
      <name val="Arial"/>
      <family val="1"/>
    </font>
    <font>
      <sz val="10"/>
      <color rgb="FFC44340"/>
      <name val="Arial"/>
      <family val="1"/>
    </font>
    <font>
      <sz val="10"/>
      <color rgb="FF008000"/>
      <name val="Arial"/>
      <family val="1"/>
    </font>
    <font>
      <sz val="10"/>
      <color rgb="FF0070C0"/>
      <name val="Arial"/>
      <family val="1"/>
    </font>
    <font>
      <b/>
      <sz val="10"/>
      <color theme="0"/>
      <name val="Arial"/>
      <family val="1"/>
    </font>
    <font>
      <b/>
      <sz val="10"/>
      <color theme="0" tint="-0.499984740745262"/>
      <name val="Arial"/>
      <family val="1"/>
    </font>
    <font>
      <sz val="9"/>
      <color theme="0" tint="-0.499984740745262"/>
      <name val="Arial"/>
      <family val="1"/>
    </font>
    <font>
      <sz val="12"/>
      <color theme="1" tint="0.34998626667073579"/>
      <name val="Arial"/>
      <family val="1"/>
    </font>
    <font>
      <b/>
      <sz val="10"/>
      <color rgb="FFCC6600"/>
      <name val="Arial"/>
      <family val="1"/>
    </font>
    <font>
      <u/>
      <sz val="9"/>
      <color theme="1" tint="0.34998626667073579"/>
      <name val="Arial"/>
      <family val="1"/>
    </font>
    <font>
      <i/>
      <sz val="9"/>
      <color theme="6" tint="-0.499984740745262"/>
      <name val="Arial"/>
      <family val="1"/>
    </font>
    <font>
      <i/>
      <sz val="9"/>
      <color theme="5" tint="-0.499984740745262"/>
      <name val="Arial"/>
      <family val="1"/>
    </font>
    <font>
      <u/>
      <sz val="10"/>
      <color theme="10"/>
      <name val="Arial"/>
      <family val="2"/>
    </font>
    <font>
      <b/>
      <sz val="10"/>
      <color theme="1" tint="0.24994659260841701"/>
      <name val="Arial"/>
      <family val="1"/>
    </font>
    <font>
      <i/>
      <sz val="9"/>
      <color theme="1" tint="0.34998626667073579"/>
      <name val="Arial"/>
      <family val="1"/>
    </font>
    <font>
      <b/>
      <sz val="10"/>
      <color rgb="FF0070C0"/>
      <name val="Arial"/>
      <family val="1"/>
    </font>
    <font>
      <sz val="10"/>
      <color theme="1"/>
      <name val="Arial"/>
      <family val="1"/>
    </font>
    <font>
      <sz val="10"/>
      <color theme="1"/>
      <name val="Arial"/>
      <family val="1"/>
    </font>
    <font>
      <b/>
      <sz val="10"/>
      <color theme="1"/>
      <name val="Arial"/>
      <family val="1"/>
    </font>
    <font>
      <b/>
      <sz val="10"/>
      <color theme="1" tint="0.249977111117893"/>
      <name val="Arial"/>
      <family val="1"/>
    </font>
    <font>
      <sz val="10"/>
      <color theme="1" tint="0.249977111117893"/>
      <name val="Arial"/>
      <family val="1"/>
    </font>
    <font>
      <b/>
      <sz val="10"/>
      <color theme="1" tint="0.249977111117893"/>
      <name val="Arial"/>
      <family val="1"/>
    </font>
    <font>
      <sz val="10"/>
      <color rgb="FF242424"/>
      <name val="Consolas"/>
      <family val="3"/>
    </font>
    <font>
      <sz val="9"/>
      <color rgb="FF404040"/>
      <name val="Arial"/>
      <family val="1"/>
    </font>
    <font>
      <b/>
      <sz val="14"/>
      <color theme="1" tint="0.24994659260841701"/>
      <name val="Arial"/>
      <family val="1"/>
    </font>
    <font>
      <sz val="14"/>
      <color theme="1" tint="0.24994659260841701"/>
      <name val="Arial"/>
      <family val="1"/>
    </font>
    <font>
      <b/>
      <sz val="18"/>
      <color rgb="FF0C769E"/>
      <name val="Arial"/>
      <family val="1"/>
    </font>
    <font>
      <i/>
      <sz val="14"/>
      <color theme="1" tint="0.34998626667073579"/>
      <name val="Arial"/>
      <family val="1"/>
    </font>
    <font>
      <b/>
      <sz val="10"/>
      <color theme="5" tint="-0.499984740745262"/>
      <name val="Arial"/>
      <family val="1"/>
    </font>
    <font>
      <b/>
      <sz val="20"/>
      <color theme="5" tint="-0.499984740745262"/>
      <name val="Arial"/>
      <family val="1"/>
    </font>
    <font>
      <b/>
      <sz val="10"/>
      <color theme="1" tint="0.499984740745262"/>
      <name val="Arial"/>
      <family val="1"/>
    </font>
    <font>
      <sz val="9"/>
      <color theme="1" tint="0.499984740745262"/>
      <name val="Arial"/>
      <family val="1"/>
    </font>
    <font>
      <b/>
      <vertAlign val="subscript"/>
      <sz val="10"/>
      <color rgb="FF183C1B"/>
      <name val="Arial"/>
      <family val="1"/>
    </font>
    <font>
      <b/>
      <vertAlign val="subscript"/>
      <sz val="14"/>
      <color theme="1" tint="0.24994659260841701"/>
      <name val="Arial"/>
      <family val="1"/>
    </font>
    <font>
      <vertAlign val="subscript"/>
      <sz val="10"/>
      <color theme="1" tint="0.24994659260841701"/>
      <name val="Arial"/>
      <family val="1"/>
    </font>
    <font>
      <i/>
      <sz val="10"/>
      <color rgb="FF0070C0"/>
      <name val="Arial"/>
      <family val="1"/>
    </font>
    <font>
      <b/>
      <vertAlign val="subscript"/>
      <sz val="10"/>
      <color theme="1" tint="0.24994659260841701"/>
      <name val="Arial"/>
      <family val="1"/>
    </font>
    <font>
      <b/>
      <sz val="10"/>
      <color theme="1"/>
      <name val="Arial"/>
      <family val="2"/>
    </font>
    <font>
      <sz val="9"/>
      <color theme="1"/>
      <name val="Arial"/>
      <family val="2"/>
    </font>
    <font>
      <sz val="9"/>
      <name val="Arial"/>
      <family val="1"/>
    </font>
    <font>
      <b/>
      <vertAlign val="subscript"/>
      <sz val="10"/>
      <color rgb="FF533001"/>
      <name val="Arial"/>
      <family val="1"/>
    </font>
    <font>
      <b/>
      <sz val="9"/>
      <color theme="1" tint="0.34998626667073579"/>
      <name val="Arial"/>
      <family val="1"/>
    </font>
    <font>
      <sz val="14"/>
      <name val="Arial"/>
      <family val="1"/>
    </font>
    <font>
      <b/>
      <sz val="9"/>
      <name val="Arial"/>
      <family val="1"/>
    </font>
    <font>
      <sz val="10"/>
      <name val="Arial"/>
      <family val="1"/>
    </font>
    <font>
      <b/>
      <sz val="9"/>
      <color theme="1" tint="0.14999847407452621"/>
      <name val="Arial"/>
      <family val="1"/>
    </font>
    <font>
      <b/>
      <i/>
      <sz val="10"/>
      <color rgb="FFCC6600"/>
      <name val="Arial"/>
      <family val="1"/>
    </font>
    <font>
      <sz val="10"/>
      <color theme="1"/>
      <name val="Arial"/>
      <family val="2"/>
      <scheme val="minor"/>
    </font>
    <font>
      <sz val="12"/>
      <color theme="5"/>
      <name val="Arial"/>
      <family val="1"/>
    </font>
    <font>
      <b/>
      <vertAlign val="subscript"/>
      <sz val="10"/>
      <color theme="1"/>
      <name val="Arial"/>
      <family val="1"/>
    </font>
    <font>
      <vertAlign val="subscript"/>
      <sz val="9"/>
      <color theme="1" tint="0.34998626667073579"/>
      <name val="Arial"/>
      <family val="1"/>
    </font>
    <font>
      <b/>
      <sz val="12"/>
      <color theme="1" tint="0.24994659260841701"/>
      <name val="Arial"/>
      <family val="1"/>
    </font>
    <font>
      <b/>
      <sz val="10"/>
      <color rgb="FFC44340"/>
      <name val="Arial"/>
      <family val="1"/>
    </font>
    <font>
      <i/>
      <sz val="10"/>
      <color rgb="FFC44340"/>
      <name val="Arial"/>
      <family val="1"/>
    </font>
    <font>
      <b/>
      <vertAlign val="subscript"/>
      <sz val="12"/>
      <color theme="1" tint="0.24994659260841701"/>
      <name val="Arial"/>
      <family val="1"/>
    </font>
    <font>
      <b/>
      <vertAlign val="superscript"/>
      <sz val="10"/>
      <color rgb="FF183C1B"/>
      <name val="Arial"/>
      <family val="1"/>
    </font>
  </fonts>
  <fills count="17">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rgb="FFDCECD0"/>
        <bgColor indexed="64"/>
      </patternFill>
    </fill>
    <fill>
      <patternFill patternType="solid">
        <fgColor theme="9" tint="0.59999389629810485"/>
        <bgColor indexed="64"/>
      </patternFill>
    </fill>
    <fill>
      <patternFill patternType="solid">
        <fgColor rgb="FFFFEBC1"/>
        <bgColor indexed="64"/>
      </patternFill>
    </fill>
  </fills>
  <borders count="29">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top/>
      <bottom style="thin">
        <color theme="3" tint="0.749961851863155"/>
      </bottom>
      <diagonal/>
    </border>
    <border>
      <left/>
      <right style="thin">
        <color theme="3" tint="0.749961851863155"/>
      </right>
      <top/>
      <bottom style="thin">
        <color theme="3" tint="0.749961851863155"/>
      </bottom>
      <diagonal/>
    </border>
    <border>
      <left style="thin">
        <color theme="0" tint="-0.34998626667073579"/>
      </left>
      <right style="thin">
        <color theme="0" tint="-0.34998626667073579"/>
      </right>
      <top style="thin">
        <color theme="0" tint="-0.34998626667073579"/>
      </top>
      <bottom/>
      <diagonal/>
    </border>
    <border>
      <left/>
      <right/>
      <top/>
      <bottom style="thin">
        <color indexed="64"/>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style="thin">
        <color theme="3" tint="0.749961851863155"/>
      </left>
      <right/>
      <top/>
      <bottom/>
      <diagonal/>
    </border>
    <border>
      <left/>
      <right style="thin">
        <color theme="3" tint="0.749961851863155"/>
      </right>
      <top/>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bottom/>
      <diagonal/>
    </border>
    <border>
      <left/>
      <right/>
      <top style="thin">
        <color theme="0" tint="-0.499984740745262"/>
      </top>
      <bottom/>
      <diagonal/>
    </border>
  </borders>
  <cellStyleXfs count="72">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5" fillId="4" borderId="0">
      <alignment horizontal="left" vertical="center"/>
    </xf>
    <xf numFmtId="0" fontId="29" fillId="4" borderId="0">
      <alignment vertical="center"/>
    </xf>
    <xf numFmtId="0" fontId="3" fillId="4" borderId="0">
      <alignment horizontal="left" vertical="center"/>
    </xf>
    <xf numFmtId="0" fontId="2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1" fillId="0" borderId="0">
      <alignment horizontal="left" vertical="center" indent="2"/>
    </xf>
    <xf numFmtId="0" fontId="30" fillId="13" borderId="5">
      <alignment horizontal="left" vertical="center"/>
    </xf>
    <xf numFmtId="3" fontId="23" fillId="4" borderId="2">
      <alignment horizontal="center" vertical="center"/>
    </xf>
    <xf numFmtId="167" fontId="2" fillId="0" borderId="2">
      <alignment horizontal="center" vertical="center"/>
    </xf>
    <xf numFmtId="0" fontId="24" fillId="0" borderId="0"/>
    <xf numFmtId="0" fontId="9" fillId="0" borderId="0"/>
    <xf numFmtId="0" fontId="24" fillId="0" borderId="0"/>
    <xf numFmtId="166" fontId="23" fillId="4" borderId="2">
      <alignment horizontal="center" vertical="center"/>
    </xf>
    <xf numFmtId="4" fontId="23" fillId="4" borderId="2">
      <alignment horizontal="center" vertical="center"/>
    </xf>
    <xf numFmtId="0" fontId="34" fillId="4" borderId="0">
      <alignment horizontal="left" vertical="center"/>
    </xf>
    <xf numFmtId="0" fontId="26" fillId="4" borderId="0" applyNumberFormat="0">
      <alignment horizontal="center" vertical="center"/>
    </xf>
    <xf numFmtId="165" fontId="23" fillId="4" borderId="2">
      <alignment horizontal="center" vertical="center"/>
    </xf>
    <xf numFmtId="0" fontId="22" fillId="4" borderId="0">
      <alignment horizontal="left" vertical="center"/>
    </xf>
    <xf numFmtId="168" fontId="23" fillId="4" borderId="2">
      <alignment horizontal="center" vertical="center"/>
    </xf>
    <xf numFmtId="0" fontId="23" fillId="4" borderId="2">
      <alignment horizontal="center" vertical="center"/>
    </xf>
    <xf numFmtId="0" fontId="6" fillId="4" borderId="0">
      <alignment horizontal="left" vertical="center"/>
    </xf>
    <xf numFmtId="0" fontId="28" fillId="4" borderId="0">
      <alignment horizontal="left" vertical="center"/>
    </xf>
    <xf numFmtId="0" fontId="9" fillId="0" borderId="0"/>
    <xf numFmtId="0" fontId="2" fillId="0" borderId="2">
      <alignment horizontal="center" vertical="center"/>
    </xf>
    <xf numFmtId="0" fontId="32" fillId="4" borderId="0">
      <alignment horizontal="left" vertical="center"/>
    </xf>
    <xf numFmtId="0" fontId="33" fillId="4" borderId="0">
      <alignment horizontal="left" vertical="center"/>
    </xf>
    <xf numFmtId="0" fontId="35" fillId="4" borderId="0">
      <alignment horizontal="left" vertical="center"/>
    </xf>
    <xf numFmtId="0" fontId="31" fillId="11" borderId="0">
      <alignment horizontal="center" vertical="center"/>
    </xf>
    <xf numFmtId="0" fontId="20" fillId="11" borderId="0">
      <alignment horizontal="left" vertical="center" indent="1"/>
    </xf>
    <xf numFmtId="0" fontId="36" fillId="4" borderId="2">
      <alignment horizontal="left" vertical="center"/>
    </xf>
    <xf numFmtId="0" fontId="23" fillId="4" borderId="2">
      <alignment horizontal="left" vertical="center"/>
    </xf>
    <xf numFmtId="0" fontId="37" fillId="14" borderId="2">
      <alignment horizontal="center" vertical="center"/>
    </xf>
    <xf numFmtId="0" fontId="38" fillId="15" borderId="2">
      <alignment horizontal="center" vertical="center"/>
    </xf>
    <xf numFmtId="0" fontId="39"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xf numFmtId="0" fontId="74" fillId="0" borderId="0"/>
    <xf numFmtId="0" fontId="75" fillId="4" borderId="0">
      <alignment horizontal="left" vertical="center"/>
    </xf>
    <xf numFmtId="0" fontId="38" fillId="16" borderId="2">
      <alignment horizontal="center" vertical="center"/>
    </xf>
  </cellStyleXfs>
  <cellXfs count="256">
    <xf numFmtId="0" fontId="0" fillId="0" borderId="0" xfId="0"/>
    <xf numFmtId="0" fontId="27" fillId="4" borderId="0" xfId="8">
      <alignment horizontal="left" vertical="center"/>
    </xf>
    <xf numFmtId="0" fontId="25" fillId="4" borderId="0" xfId="5">
      <alignment horizontal="left" vertical="center"/>
    </xf>
    <xf numFmtId="0" fontId="1" fillId="0" borderId="0" xfId="3">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0" fillId="4" borderId="0" xfId="0" applyFill="1"/>
    <xf numFmtId="0" fontId="6" fillId="4" borderId="0" xfId="53">
      <alignment horizontal="left" vertical="center"/>
    </xf>
    <xf numFmtId="0" fontId="10" fillId="0" borderId="0" xfId="32"/>
    <xf numFmtId="0" fontId="31" fillId="11" borderId="0" xfId="60">
      <alignment horizontal="center" vertical="center"/>
    </xf>
    <xf numFmtId="0" fontId="2" fillId="4" borderId="0" xfId="7" applyFont="1">
      <alignment horizontal="left" vertical="center"/>
    </xf>
    <xf numFmtId="0" fontId="3" fillId="12" borderId="2" xfId="15">
      <alignment horizontal="center" vertical="center"/>
    </xf>
    <xf numFmtId="167" fontId="2" fillId="0" borderId="2" xfId="41">
      <alignment horizontal="center" vertical="center"/>
    </xf>
    <xf numFmtId="0" fontId="23" fillId="4" borderId="2" xfId="52">
      <alignment horizontal="center" vertical="center"/>
    </xf>
    <xf numFmtId="0" fontId="6" fillId="4" borderId="0" xfId="12">
      <alignment horizontal="left" vertical="center" indent="1"/>
    </xf>
    <xf numFmtId="0" fontId="29" fillId="4" borderId="0" xfId="6">
      <alignment vertical="center"/>
    </xf>
    <xf numFmtId="9" fontId="2" fillId="0" borderId="2" xfId="16">
      <alignment horizontal="center" vertical="center"/>
    </xf>
    <xf numFmtId="0" fontId="0" fillId="0" borderId="0" xfId="8" applyFont="1" applyFill="1">
      <alignment horizontal="left" vertical="center"/>
    </xf>
    <xf numFmtId="0" fontId="4" fillId="0" borderId="0" xfId="2"/>
    <xf numFmtId="0" fontId="3" fillId="0" borderId="0" xfId="7" applyFill="1">
      <alignment horizontal="left" vertical="center"/>
    </xf>
    <xf numFmtId="0" fontId="16" fillId="3" borderId="0" xfId="4">
      <alignment vertical="center"/>
    </xf>
    <xf numFmtId="0" fontId="16" fillId="0" borderId="0" xfId="4" applyFill="1">
      <alignment vertical="center"/>
    </xf>
    <xf numFmtId="0" fontId="3" fillId="4" borderId="0" xfId="7">
      <alignment horizontal="left" vertical="center"/>
    </xf>
    <xf numFmtId="0" fontId="28" fillId="4" borderId="0" xfId="54">
      <alignment horizontal="left" vertical="center"/>
    </xf>
    <xf numFmtId="0" fontId="0" fillId="0" borderId="0" xfId="7" applyFont="1" applyFill="1">
      <alignment horizontal="left" vertical="center"/>
    </xf>
    <xf numFmtId="0" fontId="10" fillId="0" borderId="0" xfId="2" applyFont="1"/>
    <xf numFmtId="0" fontId="16" fillId="7" borderId="0" xfId="31">
      <alignment vertical="center"/>
    </xf>
    <xf numFmtId="0" fontId="3" fillId="4" borderId="6" xfId="7" applyBorder="1">
      <alignment horizontal="left" vertical="center"/>
    </xf>
    <xf numFmtId="0" fontId="25" fillId="0" borderId="0" xfId="5" applyFill="1">
      <alignment horizontal="left" vertical="center"/>
    </xf>
    <xf numFmtId="0" fontId="11" fillId="4" borderId="0" xfId="30">
      <alignment vertical="center"/>
    </xf>
    <xf numFmtId="0" fontId="29" fillId="0" borderId="0" xfId="6" applyFill="1">
      <alignment vertical="center"/>
    </xf>
    <xf numFmtId="0" fontId="2" fillId="0" borderId="2" xfId="14">
      <alignment horizontal="center" vertical="center"/>
    </xf>
    <xf numFmtId="0" fontId="27" fillId="0" borderId="0" xfId="8" applyFill="1">
      <alignment horizontal="left" vertical="center"/>
    </xf>
    <xf numFmtId="0" fontId="30" fillId="13" borderId="7" xfId="39" applyBorder="1">
      <alignment horizontal="left" vertical="center"/>
    </xf>
    <xf numFmtId="0" fontId="30" fillId="13" borderId="8" xfId="39" applyBorder="1">
      <alignment horizontal="left" vertical="center"/>
    </xf>
    <xf numFmtId="0" fontId="30" fillId="13" borderId="9" xfId="39" applyBorder="1">
      <alignment horizontal="left" vertical="center"/>
    </xf>
    <xf numFmtId="0" fontId="30" fillId="13" borderId="10" xfId="39" applyBorder="1">
      <alignment horizontal="left" vertical="center"/>
    </xf>
    <xf numFmtId="0" fontId="41" fillId="0" borderId="0" xfId="12" applyFont="1" applyFill="1" applyAlignment="1">
      <alignment horizontal="left" vertical="center"/>
    </xf>
    <xf numFmtId="166" fontId="23" fillId="4" borderId="2" xfId="40" applyNumberFormat="1">
      <alignment horizontal="center" vertical="center"/>
    </xf>
    <xf numFmtId="0" fontId="2" fillId="0" borderId="0" xfId="7" applyFont="1" applyFill="1">
      <alignment horizontal="left" vertical="center"/>
    </xf>
    <xf numFmtId="0" fontId="42" fillId="13" borderId="11" xfId="39" applyFont="1" applyBorder="1">
      <alignment horizontal="left" vertical="center"/>
    </xf>
    <xf numFmtId="0" fontId="30" fillId="13" borderId="12" xfId="39" applyBorder="1">
      <alignment horizontal="left" vertical="center"/>
    </xf>
    <xf numFmtId="0" fontId="30" fillId="13" borderId="13" xfId="39" applyBorder="1">
      <alignment horizontal="left" vertical="center"/>
    </xf>
    <xf numFmtId="0" fontId="30" fillId="13" borderId="14" xfId="39" applyBorder="1">
      <alignment horizontal="left" vertical="center"/>
    </xf>
    <xf numFmtId="0" fontId="30" fillId="13" borderId="15" xfId="39" applyBorder="1">
      <alignment horizontal="left" vertical="center"/>
    </xf>
    <xf numFmtId="0" fontId="30" fillId="13" borderId="16" xfId="39"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3" fillId="0" borderId="0" xfId="0" applyFont="1" applyAlignment="1" applyProtection="1">
      <alignment horizontal="center" vertical="center"/>
      <protection locked="0"/>
    </xf>
    <xf numFmtId="4" fontId="44" fillId="0" borderId="0" xfId="17" applyFont="1" applyBorder="1">
      <alignment horizontal="center" vertical="center"/>
    </xf>
    <xf numFmtId="164" fontId="8" fillId="4" borderId="0" xfId="26" applyBorder="1">
      <alignment horizontal="center" vertical="center"/>
    </xf>
    <xf numFmtId="4" fontId="44" fillId="4" borderId="0" xfId="17" applyFont="1" applyFill="1" applyBorder="1">
      <alignment horizontal="center" vertical="center"/>
    </xf>
    <xf numFmtId="0" fontId="44" fillId="4" borderId="0" xfId="12" applyFont="1" applyAlignment="1">
      <alignment horizontal="center" vertical="center"/>
    </xf>
    <xf numFmtId="0" fontId="44" fillId="4" borderId="0" xfId="8" applyFont="1" applyAlignment="1">
      <alignment horizontal="center" vertical="center"/>
    </xf>
    <xf numFmtId="166" fontId="44" fillId="4" borderId="0" xfId="8" applyNumberFormat="1" applyFont="1" applyAlignment="1">
      <alignment horizontal="center" vertical="center"/>
    </xf>
    <xf numFmtId="9" fontId="44" fillId="4" borderId="0" xfId="68" applyFont="1" applyFill="1" applyBorder="1" applyAlignment="1">
      <alignment horizontal="center" vertical="center"/>
    </xf>
    <xf numFmtId="0" fontId="45" fillId="4" borderId="0" xfId="0" applyFont="1" applyFill="1" applyAlignment="1">
      <alignment horizontal="center" vertical="center"/>
    </xf>
    <xf numFmtId="0" fontId="45" fillId="4" borderId="0" xfId="0" applyFont="1" applyFill="1"/>
    <xf numFmtId="0" fontId="44" fillId="4" borderId="0" xfId="0" applyFont="1" applyFill="1"/>
    <xf numFmtId="0" fontId="44" fillId="0" borderId="0" xfId="0" applyFont="1"/>
    <xf numFmtId="0" fontId="46" fillId="4" borderId="0" xfId="7" applyFont="1" applyAlignment="1">
      <alignment horizontal="center" vertical="center"/>
    </xf>
    <xf numFmtId="0" fontId="47" fillId="4" borderId="0" xfId="7" applyFont="1" applyAlignment="1">
      <alignment horizontal="center" vertical="center"/>
    </xf>
    <xf numFmtId="166" fontId="47" fillId="4" borderId="0" xfId="7" applyNumberFormat="1" applyFont="1" applyAlignment="1">
      <alignment horizontal="center" vertical="center"/>
    </xf>
    <xf numFmtId="0" fontId="47" fillId="4" borderId="0" xfId="0" applyFont="1" applyFill="1" applyAlignment="1">
      <alignment horizontal="center" vertical="center"/>
    </xf>
    <xf numFmtId="0" fontId="48" fillId="4" borderId="0" xfId="0" applyFont="1" applyFill="1" applyAlignment="1">
      <alignment horizontal="center" vertical="center"/>
    </xf>
    <xf numFmtId="0" fontId="48" fillId="4" borderId="0" xfId="0" applyFont="1" applyFill="1" applyAlignment="1">
      <alignment horizontal="left" vertical="center"/>
    </xf>
    <xf numFmtId="14" fontId="3" fillId="4" borderId="0" xfId="7" applyNumberFormat="1">
      <alignment horizontal="left" vertical="center"/>
    </xf>
    <xf numFmtId="0" fontId="39" fillId="4" borderId="0" xfId="66" applyFill="1" applyBorder="1"/>
    <xf numFmtId="166" fontId="2" fillId="4" borderId="0" xfId="18" applyNumberFormat="1" applyFill="1" applyBorder="1">
      <alignment horizontal="center" vertical="center"/>
    </xf>
    <xf numFmtId="169" fontId="3" fillId="4" borderId="0" xfId="67" applyNumberFormat="1" applyFont="1" applyFill="1" applyBorder="1" applyAlignment="1">
      <alignment horizontal="center" vertical="center"/>
    </xf>
    <xf numFmtId="0" fontId="0" fillId="4" borderId="0" xfId="7" applyFont="1">
      <alignment horizontal="left" vertical="center"/>
    </xf>
    <xf numFmtId="0" fontId="49" fillId="4" borderId="0" xfId="0" applyFont="1" applyFill="1"/>
    <xf numFmtId="0" fontId="2" fillId="0" borderId="2" xfId="56">
      <alignment horizontal="center" vertical="center"/>
    </xf>
    <xf numFmtId="0" fontId="40" fillId="4" borderId="0" xfId="8" applyFont="1">
      <alignment horizontal="left" vertical="center"/>
    </xf>
    <xf numFmtId="0" fontId="23" fillId="4" borderId="2" xfId="52" quotePrefix="1">
      <alignment horizontal="center" vertical="center"/>
    </xf>
    <xf numFmtId="0" fontId="34" fillId="4" borderId="0" xfId="47">
      <alignment horizontal="left" vertical="center"/>
    </xf>
    <xf numFmtId="0" fontId="12" fillId="6" borderId="0" xfId="29">
      <alignment horizontal="center" vertical="center"/>
      <protection locked="0"/>
    </xf>
    <xf numFmtId="0" fontId="39" fillId="0" borderId="0" xfId="66"/>
    <xf numFmtId="0" fontId="50" fillId="9" borderId="4" xfId="34" applyFont="1">
      <alignment horizontal="left" vertical="center" indent="1"/>
    </xf>
    <xf numFmtId="0" fontId="20" fillId="10" borderId="0" xfId="35">
      <alignment horizontal="left" vertical="center" indent="1"/>
    </xf>
    <xf numFmtId="49" fontId="0" fillId="0" borderId="0" xfId="14" applyNumberFormat="1" applyFont="1" applyBorder="1">
      <alignment horizontal="center" vertical="center"/>
    </xf>
    <xf numFmtId="0" fontId="27" fillId="4" borderId="1" xfId="8" applyBorder="1">
      <alignment horizontal="left" vertical="center"/>
    </xf>
    <xf numFmtId="0" fontId="3" fillId="12" borderId="17" xfId="15" applyBorder="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35" fillId="4" borderId="0" xfId="59">
      <alignment horizontal="left" vertical="center"/>
    </xf>
    <xf numFmtId="0" fontId="40" fillId="4" borderId="1" xfId="8" applyFont="1" applyBorder="1">
      <alignment horizontal="left" vertical="center"/>
    </xf>
    <xf numFmtId="0" fontId="6" fillId="4" borderId="1" xfId="53" applyBorder="1">
      <alignment horizontal="left" vertical="center"/>
    </xf>
    <xf numFmtId="0" fontId="53" fillId="0" borderId="0" xfId="32" applyFont="1"/>
    <xf numFmtId="0" fontId="27" fillId="11" borderId="0" xfId="8" applyFill="1">
      <alignment horizontal="left" vertical="center"/>
    </xf>
    <xf numFmtId="0" fontId="52" fillId="4" borderId="0" xfId="8" applyFont="1">
      <alignment horizontal="left" vertical="center"/>
    </xf>
    <xf numFmtId="0" fontId="54" fillId="4" borderId="0" xfId="53" applyFont="1">
      <alignment horizontal="left" vertical="center"/>
    </xf>
    <xf numFmtId="0" fontId="51" fillId="4" borderId="0" xfId="8" applyFont="1">
      <alignment horizontal="left" vertical="center"/>
    </xf>
    <xf numFmtId="0" fontId="54" fillId="4" borderId="1" xfId="53" applyFont="1" applyBorder="1">
      <alignment horizontal="left" vertical="center"/>
    </xf>
    <xf numFmtId="170" fontId="27" fillId="4" borderId="0" xfId="8" applyNumberFormat="1">
      <alignment horizontal="left" vertical="center"/>
    </xf>
    <xf numFmtId="171" fontId="0" fillId="0" borderId="0" xfId="8" applyNumberFormat="1" applyFont="1" applyFill="1">
      <alignment horizontal="left" vertical="center"/>
    </xf>
    <xf numFmtId="0" fontId="9" fillId="0" borderId="0" xfId="55"/>
    <xf numFmtId="0" fontId="55" fillId="6" borderId="0" xfId="29" applyFont="1" applyProtection="1">
      <alignment horizontal="center" vertical="center"/>
    </xf>
    <xf numFmtId="0" fontId="20" fillId="5" borderId="0" xfId="36">
      <alignment horizontal="left" vertical="center" indent="1"/>
    </xf>
    <xf numFmtId="0" fontId="12" fillId="6" borderId="0" xfId="28">
      <alignment horizontal="left" vertical="center" indent="1"/>
    </xf>
    <xf numFmtId="0" fontId="40" fillId="4" borderId="0" xfId="8" applyFont="1" applyAlignment="1">
      <alignment horizontal="left" vertical="center" indent="3"/>
    </xf>
    <xf numFmtId="0" fontId="27" fillId="4" borderId="0" xfId="8" applyAlignment="1">
      <alignment horizontal="left" vertical="center" indent="3"/>
    </xf>
    <xf numFmtId="9" fontId="23" fillId="4" borderId="2" xfId="68" applyFont="1" applyFill="1" applyBorder="1" applyAlignment="1">
      <alignment horizontal="center" vertical="center"/>
    </xf>
    <xf numFmtId="0" fontId="56" fillId="4" borderId="0" xfId="59" applyFont="1" applyAlignment="1">
      <alignment horizontal="left" vertical="center" indent="6"/>
    </xf>
    <xf numFmtId="0" fontId="12" fillId="6" borderId="0" xfId="28" applyAlignment="1">
      <alignment horizontal="left" vertical="center" indent="6"/>
    </xf>
    <xf numFmtId="0" fontId="56" fillId="4" borderId="0" xfId="59" applyFont="1">
      <alignment horizontal="left" vertical="center"/>
    </xf>
    <xf numFmtId="0" fontId="40" fillId="4" borderId="0" xfId="8" applyFont="1" applyAlignment="1">
      <alignment horizontal="left" vertical="center" indent="9"/>
    </xf>
    <xf numFmtId="0" fontId="27" fillId="4" borderId="0" xfId="8" applyAlignment="1">
      <alignment horizontal="center" vertical="center"/>
    </xf>
    <xf numFmtId="0" fontId="27" fillId="4" borderId="0" xfId="8" applyAlignment="1">
      <alignment horizontal="left" vertical="center" indent="9"/>
    </xf>
    <xf numFmtId="0" fontId="27" fillId="4" borderId="0" xfId="8" applyAlignment="1">
      <alignment horizontal="left" vertical="center" indent="6"/>
    </xf>
    <xf numFmtId="0" fontId="15" fillId="4" borderId="0" xfId="24">
      <alignment horizontal="left" vertical="center"/>
    </xf>
    <xf numFmtId="0" fontId="23" fillId="4" borderId="2" xfId="63">
      <alignment horizontal="left" vertical="center"/>
    </xf>
    <xf numFmtId="0" fontId="38" fillId="15" borderId="2" xfId="65">
      <alignment horizontal="center" vertical="center"/>
    </xf>
    <xf numFmtId="0" fontId="37" fillId="14" borderId="2" xfId="64">
      <alignment horizontal="center" vertical="center"/>
    </xf>
    <xf numFmtId="0" fontId="36" fillId="4" borderId="2" xfId="62">
      <alignment horizontal="left" vertical="center"/>
    </xf>
    <xf numFmtId="0" fontId="20" fillId="8" borderId="0" xfId="37">
      <alignment horizontal="left" vertical="center" indent="1"/>
    </xf>
    <xf numFmtId="0" fontId="32" fillId="4" borderId="0" xfId="57">
      <alignment horizontal="left" vertical="center"/>
    </xf>
    <xf numFmtId="0" fontId="33" fillId="4" borderId="0" xfId="58">
      <alignment horizontal="left" vertical="center"/>
    </xf>
    <xf numFmtId="0" fontId="5" fillId="2" borderId="0" xfId="9">
      <alignment horizontal="center" vertical="center"/>
    </xf>
    <xf numFmtId="0" fontId="27" fillId="4" borderId="18" xfId="8" applyBorder="1">
      <alignment horizontal="left" vertical="center"/>
    </xf>
    <xf numFmtId="0" fontId="23" fillId="4" borderId="19" xfId="63" applyBorder="1">
      <alignment horizontal="left" vertical="center"/>
    </xf>
    <xf numFmtId="0" fontId="23" fillId="4" borderId="20" xfId="63" applyBorder="1">
      <alignment horizontal="left" vertical="center"/>
    </xf>
    <xf numFmtId="0" fontId="57" fillId="4" borderId="0" xfId="8" applyFont="1">
      <alignment horizontal="left" vertical="center"/>
    </xf>
    <xf numFmtId="0" fontId="58" fillId="4" borderId="0" xfId="8" applyFont="1">
      <alignment horizontal="left" vertical="center"/>
    </xf>
    <xf numFmtId="0" fontId="23" fillId="4" borderId="2" xfId="52" applyAlignment="1">
      <alignment horizontal="left" vertical="center"/>
    </xf>
    <xf numFmtId="0" fontId="32" fillId="4" borderId="0" xfId="8" applyFont="1">
      <alignment horizontal="left" vertical="center"/>
    </xf>
    <xf numFmtId="0" fontId="33" fillId="4" borderId="0" xfId="8" applyFont="1">
      <alignment horizontal="left" vertical="center"/>
    </xf>
    <xf numFmtId="0" fontId="23" fillId="4" borderId="19" xfId="52" applyBorder="1" applyAlignment="1">
      <alignment horizontal="left" vertical="center"/>
    </xf>
    <xf numFmtId="0" fontId="23" fillId="4" borderId="21" xfId="52" applyBorder="1">
      <alignment horizontal="center" vertical="center"/>
    </xf>
    <xf numFmtId="0" fontId="30" fillId="13" borderId="11" xfId="39" applyBorder="1">
      <alignment horizontal="left" vertical="center"/>
    </xf>
    <xf numFmtId="0" fontId="30" fillId="13" borderId="22" xfId="39" applyBorder="1">
      <alignment horizontal="left" vertical="center"/>
    </xf>
    <xf numFmtId="0" fontId="30" fillId="13" borderId="0" xfId="39" applyBorder="1">
      <alignment horizontal="left" vertical="center"/>
    </xf>
    <xf numFmtId="0" fontId="30" fillId="13" borderId="23" xfId="39" applyBorder="1">
      <alignment horizontal="left" vertical="center"/>
    </xf>
    <xf numFmtId="0" fontId="0" fillId="0" borderId="1" xfId="0" applyBorder="1"/>
    <xf numFmtId="0" fontId="23" fillId="4" borderId="21" xfId="63" applyBorder="1">
      <alignment horizontal="left" vertical="center"/>
    </xf>
    <xf numFmtId="0" fontId="0" fillId="0" borderId="0" xfId="1" applyFont="1" applyFill="1">
      <alignment horizontal="left" vertical="center" indent="1"/>
      <protection locked="0"/>
    </xf>
    <xf numFmtId="4" fontId="2" fillId="0" borderId="2" xfId="17">
      <alignment horizontal="center" vertical="center"/>
    </xf>
    <xf numFmtId="166" fontId="23" fillId="4" borderId="2" xfId="45">
      <alignment horizontal="center" vertical="center"/>
    </xf>
    <xf numFmtId="0" fontId="0" fillId="0" borderId="0" xfId="0" applyAlignment="1">
      <alignment wrapText="1"/>
    </xf>
    <xf numFmtId="172" fontId="0" fillId="0" borderId="0" xfId="8" applyNumberFormat="1" applyFont="1" applyFill="1">
      <alignment horizontal="left" vertical="center"/>
    </xf>
    <xf numFmtId="0" fontId="27" fillId="4" borderId="0" xfId="8" applyAlignment="1">
      <alignment horizontal="left" vertical="center" wrapText="1"/>
    </xf>
    <xf numFmtId="0" fontId="26" fillId="4" borderId="0" xfId="48">
      <alignment horizontal="center" vertical="center"/>
    </xf>
    <xf numFmtId="17" fontId="0" fillId="0" borderId="0" xfId="8" applyNumberFormat="1" applyFont="1" applyFill="1">
      <alignment horizontal="left" vertical="center"/>
    </xf>
    <xf numFmtId="43" fontId="27" fillId="4" borderId="0" xfId="8" applyNumberFormat="1">
      <alignment horizontal="left" vertical="center"/>
    </xf>
    <xf numFmtId="9" fontId="23" fillId="4" borderId="2" xfId="63" applyNumberFormat="1">
      <alignment horizontal="left" vertical="center"/>
    </xf>
    <xf numFmtId="0" fontId="65" fillId="0" borderId="0" xfId="0" applyFont="1" applyAlignment="1">
      <alignment vertical="center"/>
    </xf>
    <xf numFmtId="0" fontId="0" fillId="0" borderId="0" xfId="0" applyAlignment="1">
      <alignment vertical="center"/>
    </xf>
    <xf numFmtId="0" fontId="0" fillId="0" borderId="0" xfId="7" applyFont="1" applyFill="1" applyAlignment="1">
      <alignment horizontal="center" vertical="center"/>
    </xf>
    <xf numFmtId="9" fontId="0" fillId="0" borderId="0" xfId="16" applyFont="1" applyBorder="1">
      <alignment horizontal="center" vertical="center"/>
    </xf>
    <xf numFmtId="9" fontId="0" fillId="0" borderId="2" xfId="16" applyFont="1">
      <alignment horizontal="center" vertical="center"/>
    </xf>
    <xf numFmtId="0" fontId="23" fillId="4" borderId="17" xfId="52" applyBorder="1">
      <alignment horizontal="center" vertical="center"/>
    </xf>
    <xf numFmtId="9" fontId="0" fillId="0" borderId="17" xfId="16" applyFont="1" applyBorder="1">
      <alignment horizontal="center" vertical="center"/>
    </xf>
    <xf numFmtId="0" fontId="66" fillId="4" borderId="0" xfId="0" applyFont="1" applyFill="1"/>
    <xf numFmtId="0" fontId="26" fillId="4" borderId="0" xfId="48" applyAlignment="1">
      <alignment horizontal="left" vertical="center"/>
    </xf>
    <xf numFmtId="4" fontId="23" fillId="4" borderId="2" xfId="46">
      <alignment horizontal="center" vertical="center"/>
    </xf>
    <xf numFmtId="173" fontId="68" fillId="4" borderId="2" xfId="52" applyNumberFormat="1" applyFont="1">
      <alignment horizontal="center" vertical="center"/>
    </xf>
    <xf numFmtId="0" fontId="22" fillId="4" borderId="0" xfId="50">
      <alignment horizontal="left" vertical="center"/>
    </xf>
    <xf numFmtId="4" fontId="23" fillId="4" borderId="17" xfId="46" applyBorder="1">
      <alignment horizontal="center" vertical="center"/>
    </xf>
    <xf numFmtId="173" fontId="68" fillId="4" borderId="17" xfId="52" applyNumberFormat="1" applyFont="1" applyBorder="1">
      <alignment horizontal="center" vertical="center"/>
    </xf>
    <xf numFmtId="0" fontId="3" fillId="4" borderId="1" xfId="7" applyBorder="1">
      <alignment horizontal="left" vertical="center"/>
    </xf>
    <xf numFmtId="0" fontId="26" fillId="4" borderId="1" xfId="48" applyBorder="1" applyAlignment="1">
      <alignment horizontal="left" vertical="center"/>
    </xf>
    <xf numFmtId="0" fontId="23" fillId="4" borderId="24" xfId="52" applyBorder="1">
      <alignment horizontal="center" vertical="center"/>
    </xf>
    <xf numFmtId="0" fontId="23" fillId="4" borderId="25" xfId="52" applyBorder="1">
      <alignment horizontal="center" vertical="center"/>
    </xf>
    <xf numFmtId="4" fontId="23" fillId="4" borderId="24" xfId="46" applyBorder="1">
      <alignment horizontal="center" vertical="center"/>
    </xf>
    <xf numFmtId="4" fontId="23" fillId="4" borderId="26" xfId="46" applyBorder="1">
      <alignment horizontal="center" vertical="center"/>
    </xf>
    <xf numFmtId="173" fontId="68" fillId="4" borderId="26" xfId="52" applyNumberFormat="1" applyFont="1" applyBorder="1">
      <alignment horizontal="center" vertical="center"/>
    </xf>
    <xf numFmtId="173" fontId="68" fillId="4" borderId="24" xfId="52" applyNumberFormat="1" applyFont="1" applyBorder="1">
      <alignment horizontal="center" vertical="center"/>
    </xf>
    <xf numFmtId="0" fontId="23" fillId="4" borderId="26" xfId="52" applyBorder="1">
      <alignment horizontal="center" vertical="center"/>
    </xf>
    <xf numFmtId="0" fontId="68" fillId="4" borderId="26" xfId="52" applyFont="1" applyBorder="1">
      <alignment horizontal="center" vertical="center"/>
    </xf>
    <xf numFmtId="0" fontId="3" fillId="4" borderId="18" xfId="7" applyBorder="1">
      <alignment horizontal="left" vertical="center"/>
    </xf>
    <xf numFmtId="165" fontId="66" fillId="4" borderId="18" xfId="0" applyNumberFormat="1" applyFont="1" applyFill="1" applyBorder="1"/>
    <xf numFmtId="0" fontId="6" fillId="4" borderId="18" xfId="12" applyBorder="1">
      <alignment horizontal="left" vertical="center" indent="1"/>
    </xf>
    <xf numFmtId="168" fontId="66" fillId="4" borderId="0" xfId="0" applyNumberFormat="1" applyFont="1" applyFill="1" applyAlignment="1">
      <alignment vertical="center"/>
    </xf>
    <xf numFmtId="165" fontId="66" fillId="4" borderId="18" xfId="0" applyNumberFormat="1" applyFont="1" applyFill="1" applyBorder="1" applyAlignment="1">
      <alignment vertical="center"/>
    </xf>
    <xf numFmtId="0" fontId="66" fillId="4" borderId="0" xfId="0" applyFont="1" applyFill="1" applyAlignment="1">
      <alignment vertical="center"/>
    </xf>
    <xf numFmtId="165" fontId="69" fillId="4" borderId="18" xfId="0" applyNumberFormat="1" applyFont="1" applyFill="1" applyBorder="1" applyAlignment="1">
      <alignment vertical="center"/>
    </xf>
    <xf numFmtId="168" fontId="68" fillId="4" borderId="2" xfId="46" applyNumberFormat="1" applyFont="1">
      <alignment horizontal="center" vertical="center"/>
    </xf>
    <xf numFmtId="168" fontId="68" fillId="4" borderId="17" xfId="46" applyNumberFormat="1" applyFont="1" applyBorder="1">
      <alignment horizontal="center" vertical="center"/>
    </xf>
    <xf numFmtId="168" fontId="68" fillId="4" borderId="26" xfId="46" applyNumberFormat="1" applyFont="1" applyBorder="1">
      <alignment horizontal="center" vertical="center"/>
    </xf>
    <xf numFmtId="0" fontId="65" fillId="0" borderId="0" xfId="0" applyFont="1" applyAlignment="1">
      <alignment vertical="center" wrapText="1"/>
    </xf>
    <xf numFmtId="0" fontId="65" fillId="0" borderId="0" xfId="0" applyFont="1" applyAlignment="1">
      <alignment horizontal="left" vertical="center"/>
    </xf>
    <xf numFmtId="0" fontId="65" fillId="0" borderId="0" xfId="8" applyFont="1" applyFill="1">
      <alignment horizontal="left" vertical="center"/>
    </xf>
    <xf numFmtId="0" fontId="0" fillId="0" borderId="0" xfId="0" applyAlignment="1">
      <alignment horizontal="left" vertical="center"/>
    </xf>
    <xf numFmtId="0" fontId="27" fillId="4" borderId="0" xfId="8" applyAlignment="1">
      <alignment horizontal="right" vertical="center"/>
    </xf>
    <xf numFmtId="0" fontId="65" fillId="4" borderId="0" xfId="0" applyFont="1" applyFill="1" applyAlignment="1">
      <alignment horizontal="left" vertical="center"/>
    </xf>
    <xf numFmtId="0" fontId="40" fillId="4" borderId="0" xfId="8" applyFont="1" applyAlignment="1">
      <alignment horizontal="right" vertical="center"/>
    </xf>
    <xf numFmtId="0" fontId="70" fillId="4" borderId="0" xfId="0" applyFont="1" applyFill="1"/>
    <xf numFmtId="0" fontId="65" fillId="0" borderId="0" xfId="0" applyFont="1"/>
    <xf numFmtId="0" fontId="65" fillId="0" borderId="0" xfId="7" applyFont="1" applyFill="1">
      <alignment horizontal="left" vertical="center"/>
    </xf>
    <xf numFmtId="0" fontId="65" fillId="4" borderId="0" xfId="0" applyFont="1" applyFill="1"/>
    <xf numFmtId="0" fontId="65" fillId="4" borderId="0" xfId="7" applyFont="1">
      <alignment horizontal="left" vertical="center"/>
    </xf>
    <xf numFmtId="0" fontId="71" fillId="4" borderId="0" xfId="0" applyFont="1" applyFill="1" applyAlignment="1">
      <alignment horizontal="center" vertical="center"/>
    </xf>
    <xf numFmtId="0" fontId="71" fillId="4" borderId="0" xfId="0" applyFont="1" applyFill="1"/>
    <xf numFmtId="0" fontId="0" fillId="0" borderId="0" xfId="0" applyAlignment="1" applyProtection="1">
      <alignment horizontal="center" vertical="center" wrapText="1"/>
      <protection locked="0"/>
    </xf>
    <xf numFmtId="0" fontId="0" fillId="0" borderId="0" xfId="0" applyAlignment="1">
      <alignment horizontal="center" vertical="center" wrapText="1"/>
    </xf>
    <xf numFmtId="0" fontId="9" fillId="0" borderId="0" xfId="55" applyAlignment="1">
      <alignment horizontal="center" vertical="center" wrapText="1"/>
    </xf>
    <xf numFmtId="0" fontId="3" fillId="12" borderId="2" xfId="15" applyAlignment="1">
      <alignment horizontal="center" vertical="center" wrapText="1"/>
    </xf>
    <xf numFmtId="4" fontId="0" fillId="0" borderId="0" xfId="17" applyFont="1" applyBorder="1" applyAlignment="1">
      <alignment horizontal="center" vertical="center" wrapText="1"/>
    </xf>
    <xf numFmtId="0" fontId="0" fillId="4" borderId="2" xfId="52" applyFont="1" applyAlignment="1">
      <alignment horizontal="center" vertical="center" wrapText="1"/>
    </xf>
    <xf numFmtId="0" fontId="23" fillId="4" borderId="2" xfId="52" applyAlignment="1">
      <alignment horizontal="center" vertical="center" wrapText="1"/>
    </xf>
    <xf numFmtId="0" fontId="27" fillId="4" borderId="0" xfId="8" applyAlignment="1">
      <alignment horizontal="center" vertical="center" wrapText="1"/>
    </xf>
    <xf numFmtId="0" fontId="43" fillId="4" borderId="0" xfId="43" applyFont="1" applyFill="1" applyAlignment="1">
      <alignment horizontal="left" vertical="center" wrapText="1"/>
    </xf>
    <xf numFmtId="2" fontId="71" fillId="4" borderId="0" xfId="67" applyNumberFormat="1" applyFont="1" applyFill="1" applyBorder="1" applyAlignment="1" applyProtection="1">
      <alignment horizontal="center" wrapText="1"/>
      <protection locked="0"/>
    </xf>
    <xf numFmtId="1" fontId="71" fillId="4" borderId="0" xfId="67" applyNumberFormat="1" applyFont="1" applyFill="1" applyBorder="1" applyAlignment="1" applyProtection="1">
      <alignment horizontal="center" wrapText="1"/>
      <protection locked="0"/>
    </xf>
    <xf numFmtId="0" fontId="71" fillId="4" borderId="0" xfId="0" applyFont="1" applyFill="1" applyAlignment="1">
      <alignment horizontal="left" wrapText="1"/>
    </xf>
    <xf numFmtId="0" fontId="71" fillId="4" borderId="0" xfId="0" applyFont="1" applyFill="1" applyAlignment="1">
      <alignment wrapText="1"/>
    </xf>
    <xf numFmtId="0" fontId="34" fillId="4" borderId="0" xfId="47" applyAlignment="1">
      <alignment horizontal="left" vertical="center" wrapText="1"/>
    </xf>
    <xf numFmtId="0" fontId="0" fillId="4" borderId="0" xfId="0" applyFill="1" applyAlignment="1">
      <alignment wrapText="1"/>
    </xf>
    <xf numFmtId="0" fontId="9" fillId="0" borderId="0" xfId="55" applyAlignment="1" applyProtection="1">
      <alignment horizontal="center" vertical="center" wrapText="1"/>
      <protection locked="0"/>
    </xf>
    <xf numFmtId="0" fontId="72" fillId="12" borderId="2" xfId="15" applyFont="1" applyAlignment="1">
      <alignment horizontal="center" vertical="center" wrapText="1"/>
    </xf>
    <xf numFmtId="9" fontId="0" fillId="0" borderId="0" xfId="68" applyFont="1" applyFill="1" applyBorder="1" applyAlignment="1">
      <alignment horizontal="center" vertical="center" wrapText="1"/>
    </xf>
    <xf numFmtId="0" fontId="72" fillId="12" borderId="2" xfId="15" applyFont="1">
      <alignment horizontal="center" vertical="center"/>
    </xf>
    <xf numFmtId="9" fontId="0" fillId="0" borderId="27" xfId="68" applyFont="1" applyFill="1" applyBorder="1" applyAlignment="1">
      <alignment horizontal="center" vertical="center" wrapText="1"/>
    </xf>
    <xf numFmtId="4" fontId="9" fillId="0" borderId="2" xfId="17" applyFont="1" applyAlignment="1">
      <alignment horizontal="center" vertical="center" wrapText="1"/>
    </xf>
    <xf numFmtId="0" fontId="12" fillId="6" borderId="0" xfId="29" applyAlignment="1">
      <alignment horizontal="center" vertical="center" wrapText="1"/>
      <protection locked="0"/>
    </xf>
    <xf numFmtId="0" fontId="0" fillId="0" borderId="0" xfId="14" applyFont="1" applyBorder="1" applyAlignment="1">
      <alignment horizontal="center" vertical="center" wrapText="1"/>
    </xf>
    <xf numFmtId="9" fontId="0" fillId="0" borderId="0" xfId="16" applyFont="1" applyBorder="1" applyAlignment="1">
      <alignment horizontal="center" vertical="center" wrapText="1"/>
    </xf>
    <xf numFmtId="9" fontId="3" fillId="4" borderId="0" xfId="68" applyFont="1" applyFill="1" applyAlignment="1">
      <alignment horizontal="center" vertical="center" wrapText="1"/>
    </xf>
    <xf numFmtId="9" fontId="0" fillId="4" borderId="0" xfId="0" applyNumberFormat="1" applyFill="1"/>
    <xf numFmtId="0" fontId="30" fillId="13" borderId="5" xfId="39">
      <alignment horizontal="left" vertical="center"/>
    </xf>
    <xf numFmtId="0" fontId="6" fillId="4" borderId="0" xfId="12" applyAlignment="1">
      <alignment horizontal="center" vertical="center"/>
    </xf>
    <xf numFmtId="0" fontId="23" fillId="4" borderId="20" xfId="52" applyBorder="1" applyAlignment="1">
      <alignment horizontal="left" vertical="center"/>
    </xf>
    <xf numFmtId="0" fontId="23" fillId="4" borderId="21" xfId="52" applyBorder="1" applyAlignment="1">
      <alignment horizontal="left" vertical="center"/>
    </xf>
    <xf numFmtId="0" fontId="23" fillId="4" borderId="20" xfId="52" applyBorder="1">
      <alignment horizontal="center" vertical="center"/>
    </xf>
    <xf numFmtId="174" fontId="23" fillId="4" borderId="2" xfId="52" applyNumberFormat="1">
      <alignment horizontal="center" vertical="center"/>
    </xf>
    <xf numFmtId="0" fontId="5" fillId="2" borderId="0" xfId="1">
      <alignment horizontal="left" vertical="center" indent="1"/>
      <protection locked="0"/>
    </xf>
    <xf numFmtId="4" fontId="23" fillId="4" borderId="2" xfId="52" applyNumberFormat="1">
      <alignment horizontal="center" vertical="center"/>
    </xf>
    <xf numFmtId="9" fontId="23" fillId="4" borderId="2" xfId="52" applyNumberFormat="1">
      <alignment horizontal="center" vertical="center"/>
    </xf>
    <xf numFmtId="0" fontId="6" fillId="4" borderId="1" xfId="12" applyBorder="1">
      <alignment horizontal="left" vertical="center" indent="1"/>
    </xf>
    <xf numFmtId="0" fontId="27" fillId="4" borderId="28" xfId="8" applyBorder="1">
      <alignment horizontal="left" vertical="center"/>
    </xf>
    <xf numFmtId="3" fontId="23" fillId="4" borderId="2" xfId="52" applyNumberFormat="1">
      <alignment horizontal="center" vertical="center"/>
    </xf>
    <xf numFmtId="0" fontId="54" fillId="4" borderId="1" xfId="12" applyFont="1" applyBorder="1">
      <alignment horizontal="left" vertical="center" indent="1"/>
    </xf>
    <xf numFmtId="0" fontId="5" fillId="2" borderId="0" xfId="9" applyAlignment="1">
      <alignment horizontal="center" vertical="center" wrapText="1"/>
    </xf>
    <xf numFmtId="0" fontId="5" fillId="2" borderId="0" xfId="1" applyAlignment="1">
      <alignment horizontal="center" vertical="center"/>
      <protection locked="0"/>
    </xf>
    <xf numFmtId="0" fontId="0" fillId="0" borderId="0" xfId="0" applyAlignment="1">
      <alignment vertical="center" wrapText="1"/>
    </xf>
    <xf numFmtId="0" fontId="64" fillId="2" borderId="0" xfId="8" applyFont="1" applyFill="1">
      <alignment horizontal="left" vertical="center"/>
    </xf>
    <xf numFmtId="0" fontId="64" fillId="0" borderId="0" xfId="8" applyFont="1" applyFill="1">
      <alignment horizontal="left" vertical="center"/>
    </xf>
    <xf numFmtId="0" fontId="74" fillId="4" borderId="0" xfId="69" applyFill="1"/>
    <xf numFmtId="0" fontId="0" fillId="0" borderId="0" xfId="8" applyFont="1" applyFill="1" applyAlignment="1">
      <alignment horizontal="left" vertical="center" wrapText="1"/>
    </xf>
    <xf numFmtId="0" fontId="74" fillId="0" borderId="0" xfId="69"/>
    <xf numFmtId="0" fontId="2" fillId="0" borderId="17" xfId="56" applyBorder="1">
      <alignment horizontal="center" vertical="center"/>
    </xf>
    <xf numFmtId="0" fontId="0" fillId="0" borderId="0" xfId="29" applyFont="1" applyFill="1" applyProtection="1">
      <alignment horizontal="center" vertical="center"/>
    </xf>
    <xf numFmtId="0" fontId="75" fillId="4" borderId="0" xfId="70">
      <alignment horizontal="left" vertical="center"/>
    </xf>
    <xf numFmtId="0" fontId="71" fillId="4" borderId="0" xfId="69" applyFont="1" applyFill="1" applyAlignment="1" applyProtection="1">
      <alignment horizontal="center"/>
      <protection locked="0"/>
    </xf>
    <xf numFmtId="0" fontId="71" fillId="4" borderId="0" xfId="69" applyFont="1" applyFill="1" applyAlignment="1">
      <alignment horizontal="center" vertical="center"/>
    </xf>
    <xf numFmtId="0" fontId="0" fillId="0" borderId="0" xfId="17" applyNumberFormat="1" applyFont="1" applyBorder="1">
      <alignment horizontal="center" vertical="center"/>
    </xf>
    <xf numFmtId="0" fontId="3" fillId="12" borderId="17" xfId="15" applyBorder="1" applyAlignment="1">
      <alignment horizontal="center" vertical="center" wrapText="1"/>
    </xf>
    <xf numFmtId="0" fontId="38" fillId="16" borderId="2" xfId="71">
      <alignment horizontal="center" vertical="center"/>
    </xf>
    <xf numFmtId="0" fontId="64" fillId="6" borderId="0" xfId="8" applyFont="1" applyFill="1">
      <alignment horizontal="left" vertical="center"/>
    </xf>
    <xf numFmtId="0" fontId="68" fillId="4" borderId="2" xfId="52" applyFont="1">
      <alignment horizontal="center" vertical="center"/>
    </xf>
    <xf numFmtId="49" fontId="23" fillId="4" borderId="2" xfId="52" applyNumberFormat="1">
      <alignment horizontal="center" vertical="center"/>
    </xf>
    <xf numFmtId="0" fontId="78" fillId="4" borderId="1" xfId="8" applyFont="1" applyBorder="1">
      <alignment horizontal="left" vertical="center"/>
    </xf>
    <xf numFmtId="4" fontId="23" fillId="4" borderId="2" xfId="63" applyNumberFormat="1">
      <alignment horizontal="left" vertical="center"/>
    </xf>
    <xf numFmtId="0" fontId="20" fillId="11" borderId="0" xfId="61">
      <alignment horizontal="left" vertical="center" indent="1"/>
    </xf>
  </cellXfs>
  <cellStyles count="72">
    <cellStyle name="Alert" xfId="59" xr:uid="{34EFE908-8095-4010-8F93-8CFE88055637}"/>
    <cellStyle name="Arguments" xfId="63" xr:uid="{D74147AB-B374-43DE-928A-C20FDAA7023A}"/>
    <cellStyle name="Arguments hyperlink" xfId="62" xr:uid="{E9A63CA8-EB4E-4FD6-930A-AD1711340AFB}"/>
    <cellStyle name="Block heading" xfId="5" xr:uid="{74527274-3B4A-494A-B37C-EA50686E114C}"/>
    <cellStyle name="Block subheading" xfId="47" xr:uid="{34E62905-A3E0-4883-B81A-BDB58FC88DA7}"/>
    <cellStyle name="Block subheading 2" xfId="70" xr:uid="{D280069D-B687-4142-BD17-FAAE786A0152}"/>
    <cellStyle name="Code" xfId="24" xr:uid="{99B3520F-01DD-4F8E-A8D0-24EAA04E90EB}"/>
    <cellStyle name="Comma" xfId="67"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6"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2 3" xfId="69" xr:uid="{3393E595-172F-4F48-90F2-ED492355A46D}"/>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8"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5" xr:uid="{69904D21-1566-4CAB-9A42-C86AC6535120}"/>
    <cellStyle name="Variable type input 2" xfId="71" xr:uid="{C4D972F8-2805-4771-8791-00B84FBA06D3}"/>
    <cellStyle name="Variable type other" xfId="64" xr:uid="{105BD9DE-B567-4DA0-87E6-C60A0ECC1C65}"/>
  </cellStyles>
  <dxfs count="451">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alignment textRotation="0" wrapText="1" indent="0" justifyLastLine="0" shrinkToFit="0" readingOrder="0"/>
    </dxf>
    <dxf>
      <alignment textRotation="0" wrapText="1" indent="0" justifyLastLine="0" shrinkToFit="0" readingOrder="0"/>
    </dxf>
    <dxf>
      <font>
        <sz val="10"/>
        <color theme="1"/>
        <family val="2"/>
      </font>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font>
        <strike val="0"/>
        <outline val="0"/>
        <shadow val="0"/>
        <u val="none"/>
        <vertAlign val="baseline"/>
        <sz val="9"/>
        <color theme="1" tint="0.14999847407452621"/>
        <name val="Arial"/>
        <family val="1"/>
      </font>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horizontal="center" vertical="center" textRotation="0" wrapText="1" indent="0" justifyLastLine="0" shrinkToFit="0" readingOrder="0"/>
    </dxf>
    <dxf>
      <alignment horizontal="center" vertical="center" textRotation="0" wrapText="1" indent="0" justifyLastLine="0" shrinkToFit="0" readingOrder="0"/>
      <border outline="0">
        <left style="thin">
          <color theme="0" tint="-0.34998626667073579"/>
        </left>
        <right style="thin">
          <color theme="0" tint="-0.34998626667073579"/>
        </right>
      </border>
    </dxf>
    <dxf>
      <font>
        <strike val="0"/>
        <outline val="0"/>
        <shadow val="0"/>
        <u val="none"/>
        <vertAlign val="baseline"/>
        <sz val="9"/>
        <color theme="1" tint="0.14999847407452621"/>
        <name val="Arial"/>
        <family val="1"/>
      </font>
      <alignment textRotation="0" wrapText="1" indent="0" justifyLastLine="0" shrinkToFit="0" readingOrder="0"/>
    </dxf>
    <dxf>
      <alignment textRotation="0" wrapText="1" indent="0" justifyLastLine="0" shrinkToFit="0" readingOrder="0"/>
      <border outline="0">
        <right style="thin">
          <color theme="0" tint="-0.34998626667073579"/>
        </right>
      </border>
    </dxf>
    <dxf>
      <font>
        <sz val="10"/>
        <color theme="1"/>
        <family val="2"/>
      </font>
      <alignment horizontal="center" vertical="center"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alignment textRotation="0" wrapText="1" indent="0" justifyLastLine="0" shrinkToFit="0" readingOrder="0"/>
    </dxf>
    <dxf>
      <alignment horizontal="center" vertical="center" textRotation="0" wrapText="1" indent="0" justifyLastLine="0" shrinkToFit="0" readingOrder="0"/>
    </dxf>
    <dxf>
      <fill>
        <patternFill>
          <bgColor theme="0" tint="-4.9989318521683403E-2"/>
        </patternFill>
      </fill>
    </dxf>
    <dxf>
      <alignment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fill>
        <patternFill patternType="solid">
          <fgColor indexed="64"/>
          <bgColor theme="0" tint="-0.14999847407452621"/>
        </patternFill>
      </fill>
      <border diagonalUp="0" diagonalDown="0" outline="0">
        <left/>
        <right/>
        <top/>
        <bottom/>
      </border>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ont>
        <b val="0"/>
        <i val="0"/>
        <strike val="0"/>
        <condense val="0"/>
        <extend val="0"/>
        <outline val="0"/>
        <shadow val="0"/>
        <u val="none"/>
        <vertAlign val="baseline"/>
        <sz val="10"/>
        <color theme="1"/>
        <name val="Arial"/>
        <family val="1"/>
      </font>
      <border diagonalUp="0" diagonalDown="0" outline="0">
        <left/>
        <right/>
        <top/>
        <bottom/>
      </border>
    </dxf>
    <dxf>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10"/>
        <color theme="1"/>
        <name val="Arial"/>
        <family val="2"/>
      </font>
      <alignment horizontal="center" vertical="center" textRotation="0" wrapText="1" indent="0" justifyLastLine="0" shrinkToFit="0" readingOrder="0"/>
    </dxf>
    <dxf>
      <font>
        <b/>
        <i val="0"/>
        <strike val="0"/>
        <condense val="0"/>
        <extend val="0"/>
        <outline val="0"/>
        <shadow val="0"/>
        <u val="none"/>
        <vertAlign val="baseline"/>
        <sz val="10"/>
        <color theme="1"/>
        <name val="Arial"/>
        <family val="1"/>
      </font>
      <alignment horizontal="center" vertical="center" textRotation="0" wrapText="0" indent="0" justifyLastLine="0" shrinkToFit="0" readingOrder="0"/>
      <border diagonalUp="0" diagonalDown="0" outline="0">
        <left/>
        <right/>
        <top/>
        <bottom/>
      </border>
    </dxf>
    <dxf>
      <alignment textRotation="0" wrapText="1" indent="0" justifyLastLine="0" shrinkToFit="0" readingOrder="0"/>
    </dxf>
    <dxf>
      <font>
        <b/>
        <i val="0"/>
        <strike val="0"/>
        <condense val="0"/>
        <extend val="0"/>
        <outline val="0"/>
        <shadow val="0"/>
        <u val="none"/>
        <vertAlign val="baseline"/>
        <sz val="10"/>
        <color theme="1"/>
        <name val="Arial"/>
        <family val="1"/>
      </font>
      <border diagonalUp="0" diagonalDown="0" outline="0">
        <left/>
        <right/>
        <top/>
        <bottom/>
      </border>
    </dxf>
    <dxf>
      <alignment textRotation="0" wrapText="1" indent="0" justifyLastLine="0" shrinkToFit="0" readingOrder="0"/>
    </dxf>
    <dxf>
      <fill>
        <patternFill>
          <bgColor theme="0" tint="-4.9989318521683403E-2"/>
        </patternFill>
      </fill>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tint="0.24994659260841701"/>
        <name val="Arial"/>
        <family val="1"/>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sz val="10"/>
        <color theme="1"/>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i val="0"/>
        <strike val="0"/>
        <condense val="0"/>
        <extend val="0"/>
        <outline val="0"/>
        <shadow val="0"/>
        <u val="none"/>
        <vertAlign val="baseline"/>
        <sz val="10"/>
        <color theme="1"/>
        <name val="Arial"/>
        <family val="2"/>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numFmt numFmtId="0" formatCode="General"/>
      <fill>
        <patternFill patternType="none">
          <fgColor indexed="64"/>
          <bgColor indexed="65"/>
        </patternFill>
      </fill>
      <alignment horizontal="left" vertical="center"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Arial"/>
        <family val="1"/>
      </font>
    </dxf>
    <dxf>
      <fill>
        <patternFill>
          <fgColor indexed="64"/>
          <bgColor theme="0" tint="-4.9989318521683403E-2"/>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9"/>
        <color theme="1"/>
        <name val="Arial"/>
        <family val="2"/>
      </font>
      <fill>
        <patternFill patternType="none">
          <fgColor indexed="64"/>
          <bgColor indexed="65"/>
        </patternFill>
      </fill>
    </dxf>
    <dxf>
      <font>
        <b val="0"/>
        <i val="0"/>
        <strike val="0"/>
        <condense val="0"/>
        <extend val="0"/>
        <outline val="0"/>
        <shadow val="0"/>
        <u val="none"/>
        <vertAlign val="baseline"/>
        <sz val="9"/>
        <color theme="1"/>
        <name val="Arial"/>
        <family val="2"/>
      </font>
      <fill>
        <patternFill patternType="none">
          <fgColor indexed="64"/>
          <bgColor indexed="65"/>
        </patternFill>
      </fill>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alignment horizontal="general" vertical="center" textRotation="0" wrapText="0" indent="0" justifyLastLine="0" shrinkToFit="0" readingOrder="0"/>
      <border diagonalUp="0" diagonalDown="0" outline="0">
        <left/>
        <right/>
        <top/>
        <bottom/>
      </border>
    </dxf>
    <dxf>
      <font>
        <strike val="0"/>
        <outline val="0"/>
        <shadow val="0"/>
        <u val="none"/>
        <vertAlign val="baseline"/>
        <sz val="9"/>
        <color theme="1"/>
        <name val="Arial"/>
        <family val="2"/>
      </font>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font>
        <b val="0"/>
        <i val="0"/>
        <strike val="0"/>
        <condense val="0"/>
        <extend val="0"/>
        <outline val="0"/>
        <shadow val="0"/>
        <u val="none"/>
        <vertAlign val="baseline"/>
        <sz val="10"/>
        <color theme="1"/>
        <name val="Arial"/>
        <family val="2"/>
      </font>
      <fill>
        <patternFill patternType="none">
          <fgColor indexed="64"/>
          <bgColor indexed="65"/>
        </patternFill>
      </fill>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border outline="0">
        <left style="thin">
          <color theme="0" tint="-0.34998626667073579"/>
        </left>
      </border>
    </dxf>
    <dxf>
      <alignment horizontal="center" vertical="center" textRotation="0" wrapText="1" indent="0" justifyLastLine="0" shrinkToFit="0" readingOrder="0"/>
    </dxf>
    <dxf>
      <numFmt numFmtId="172" formatCode="[$-C09]d\ mmmm\ yyyy;@"/>
    </dxf>
    <dxf>
      <numFmt numFmtId="172" formatCode="[$-C09]d\ mmmm\ yyyy;@"/>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0"/>
        <color theme="1" tint="0.249977111117893"/>
        <name val="Arial"/>
        <family val="1"/>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0"/>
        <color theme="1" tint="0.14999847407452621"/>
        <name val="Arial"/>
        <family val="1"/>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border diagonalUp="0" diagonalDown="0">
        <left style="thin">
          <color theme="0" tint="-0.34998626667073579"/>
        </left>
        <right style="thin">
          <color theme="0" tint="-0.34998626667073579"/>
        </right>
        <top style="thin">
          <color theme="0" tint="-0.34998626667073579"/>
        </top>
        <bottom/>
        <vertical/>
        <horizontal/>
      </border>
    </dxf>
    <dxf>
      <numFmt numFmtId="171" formatCode="[$-F800]dddd\,\ mmmm\ dd\,\ yyyy"/>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450"/>
      <tableStyleElement type="headerRow" dxfId="449"/>
      <tableStyleElement type="totalRow" dxfId="448"/>
      <tableStyleElement type="firstColumn" dxfId="447"/>
      <tableStyleElement type="firstRowStripe" dxfId="446"/>
      <tableStyleElement type="secondRowStripe" dxfId="445"/>
    </tableStyle>
    <tableStyle name="Equation table" pivot="0" count="6" xr9:uid="{B247698E-E41D-4CCD-AA0A-C14817E9DE65}">
      <tableStyleElement type="wholeTable" dxfId="444"/>
      <tableStyleElement type="headerRow" dxfId="443"/>
      <tableStyleElement type="totalRow" dxfId="442"/>
      <tableStyleElement type="firstColumn" dxfId="441"/>
      <tableStyleElement type="firstRowStripe" dxfId="440"/>
      <tableStyleElement type="secondRowStripe" dxfId="439"/>
    </tableStyle>
    <tableStyle name="Table Style 1" pivot="0" count="0" xr9:uid="{97B370DB-5463-4A31-9160-5A96BD6A559D}"/>
  </tableStyles>
  <colors>
    <mruColors>
      <color rgb="FF0C769E"/>
      <color rgb="FFCC6600"/>
      <color rgb="FFC44340"/>
      <color rgb="FF008000"/>
      <color rgb="FFFFCCCC"/>
      <color rgb="FFC4433F"/>
      <color rgb="FFE9F2FB"/>
      <color rgb="FF183C1B"/>
      <color rgb="FFB2D498"/>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 /><Relationship Id="rId21" Type="http://schemas.openxmlformats.org/officeDocument/2006/relationships/worksheet" Target="worksheets/sheet21.xml" /><Relationship Id="rId34" Type="http://schemas.openxmlformats.org/officeDocument/2006/relationships/worksheet" Target="worksheets/sheet34.xml" /><Relationship Id="rId42" Type="http://schemas.openxmlformats.org/officeDocument/2006/relationships/worksheet" Target="worksheets/sheet42.xml" /><Relationship Id="rId55" Type="http://schemas.openxmlformats.org/officeDocument/2006/relationships/sharedStrings" Target="sharedStrings.xml" /><Relationship Id="rId63" Type="http://schemas.openxmlformats.org/officeDocument/2006/relationships/customXml" Target="../customXml/item2.xml" /><Relationship Id="rId7" Type="http://schemas.openxmlformats.org/officeDocument/2006/relationships/worksheet" Target="worksheets/sheet7.xml" /><Relationship Id="rId2" Type="http://schemas.openxmlformats.org/officeDocument/2006/relationships/worksheet" Target="worksheets/sheet2.xml" /><Relationship Id="rId16" Type="http://schemas.openxmlformats.org/officeDocument/2006/relationships/worksheet" Target="worksheets/sheet16.xml" /><Relationship Id="rId29" Type="http://schemas.openxmlformats.org/officeDocument/2006/relationships/worksheet" Target="worksheets/sheet29.xml" /><Relationship Id="rId11" Type="http://schemas.openxmlformats.org/officeDocument/2006/relationships/worksheet" Target="worksheets/sheet11.xml" /><Relationship Id="rId24" Type="http://schemas.openxmlformats.org/officeDocument/2006/relationships/worksheet" Target="worksheets/sheet24.xml" /><Relationship Id="rId32" Type="http://schemas.openxmlformats.org/officeDocument/2006/relationships/worksheet" Target="worksheets/sheet32.xml" /><Relationship Id="rId37" Type="http://schemas.openxmlformats.org/officeDocument/2006/relationships/worksheet" Target="worksheets/sheet37.xml" /><Relationship Id="rId40" Type="http://schemas.openxmlformats.org/officeDocument/2006/relationships/worksheet" Target="worksheets/sheet40.xml" /><Relationship Id="rId45" Type="http://schemas.openxmlformats.org/officeDocument/2006/relationships/worksheet" Target="worksheets/sheet45.xml" /><Relationship Id="rId53" Type="http://schemas.openxmlformats.org/officeDocument/2006/relationships/theme" Target="theme/theme1.xml" /><Relationship Id="rId58" Type="http://schemas.microsoft.com/office/2017/06/relationships/rdRichValue" Target="richData/rdrichvalue.xml" /><Relationship Id="rId5" Type="http://schemas.openxmlformats.org/officeDocument/2006/relationships/worksheet" Target="worksheets/sheet5.xml" /><Relationship Id="rId61" Type="http://schemas.openxmlformats.org/officeDocument/2006/relationships/calcChain" Target="calcChain.xml" /><Relationship Id="rId19" Type="http://schemas.openxmlformats.org/officeDocument/2006/relationships/worksheet" Target="worksheets/sheet19.xml" /><Relationship Id="rId14" Type="http://schemas.openxmlformats.org/officeDocument/2006/relationships/worksheet" Target="worksheets/sheet14.xml" /><Relationship Id="rId22" Type="http://schemas.openxmlformats.org/officeDocument/2006/relationships/worksheet" Target="worksheets/sheet22.xml" /><Relationship Id="rId27" Type="http://schemas.openxmlformats.org/officeDocument/2006/relationships/worksheet" Target="worksheets/sheet27.xml" /><Relationship Id="rId30" Type="http://schemas.openxmlformats.org/officeDocument/2006/relationships/worksheet" Target="worksheets/sheet30.xml" /><Relationship Id="rId35" Type="http://schemas.openxmlformats.org/officeDocument/2006/relationships/worksheet" Target="worksheets/sheet35.xml" /><Relationship Id="rId43" Type="http://schemas.openxmlformats.org/officeDocument/2006/relationships/worksheet" Target="worksheets/sheet43.xml" /><Relationship Id="rId56" Type="http://schemas.openxmlformats.org/officeDocument/2006/relationships/sheetMetadata" Target="metadata.xml" /><Relationship Id="rId64" Type="http://schemas.openxmlformats.org/officeDocument/2006/relationships/customXml" Target="../customXml/item3.xml" /><Relationship Id="rId8" Type="http://schemas.openxmlformats.org/officeDocument/2006/relationships/worksheet" Target="worksheets/sheet8.xml" /><Relationship Id="rId3" Type="http://schemas.openxmlformats.org/officeDocument/2006/relationships/worksheet" Target="worksheets/sheet3.xml" /><Relationship Id="rId12" Type="http://schemas.openxmlformats.org/officeDocument/2006/relationships/worksheet" Target="worksheets/sheet12.xml" /><Relationship Id="rId17" Type="http://schemas.openxmlformats.org/officeDocument/2006/relationships/worksheet" Target="worksheets/sheet17.xml" /><Relationship Id="rId25" Type="http://schemas.openxmlformats.org/officeDocument/2006/relationships/worksheet" Target="worksheets/sheet25.xml" /><Relationship Id="rId33" Type="http://schemas.openxmlformats.org/officeDocument/2006/relationships/worksheet" Target="worksheets/sheet33.xml" /><Relationship Id="rId38" Type="http://schemas.openxmlformats.org/officeDocument/2006/relationships/worksheet" Target="worksheets/sheet38.xml" /><Relationship Id="rId46" Type="http://schemas.openxmlformats.org/officeDocument/2006/relationships/worksheet" Target="worksheets/sheet46.xml" /><Relationship Id="rId59" Type="http://schemas.microsoft.com/office/2017/06/relationships/rdRichValueStructure" Target="richData/rdrichvaluestructure.xml" /><Relationship Id="rId20" Type="http://schemas.openxmlformats.org/officeDocument/2006/relationships/worksheet" Target="worksheets/sheet20.xml" /><Relationship Id="rId41" Type="http://schemas.openxmlformats.org/officeDocument/2006/relationships/worksheet" Target="worksheets/sheet41.xml" /><Relationship Id="rId54" Type="http://schemas.openxmlformats.org/officeDocument/2006/relationships/styles" Target="styles.xml" /><Relationship Id="rId62" Type="http://schemas.openxmlformats.org/officeDocument/2006/relationships/customXml" Target="../customXml/item1.xml" /><Relationship Id="rId1" Type="http://schemas.openxmlformats.org/officeDocument/2006/relationships/worksheet" Target="worksheets/sheet1.xml" /><Relationship Id="rId6" Type="http://schemas.openxmlformats.org/officeDocument/2006/relationships/worksheet" Target="worksheets/sheet6.xml" /><Relationship Id="rId15" Type="http://schemas.openxmlformats.org/officeDocument/2006/relationships/worksheet" Target="worksheets/sheet15.xml" /><Relationship Id="rId23" Type="http://schemas.openxmlformats.org/officeDocument/2006/relationships/worksheet" Target="worksheets/sheet23.xml" /><Relationship Id="rId28" Type="http://schemas.openxmlformats.org/officeDocument/2006/relationships/worksheet" Target="worksheets/sheet28.xml" /><Relationship Id="rId36" Type="http://schemas.openxmlformats.org/officeDocument/2006/relationships/worksheet" Target="worksheets/sheet36.xml" /><Relationship Id="rId57" Type="http://schemas.microsoft.com/office/2022/10/relationships/richValueRel" Target="richData/richValueRel.xml" /><Relationship Id="rId10" Type="http://schemas.openxmlformats.org/officeDocument/2006/relationships/worksheet" Target="worksheets/sheet10.xml" /><Relationship Id="rId31" Type="http://schemas.openxmlformats.org/officeDocument/2006/relationships/worksheet" Target="worksheets/sheet31.xml" /><Relationship Id="rId44" Type="http://schemas.openxmlformats.org/officeDocument/2006/relationships/worksheet" Target="worksheets/sheet44.xml" /><Relationship Id="rId60" Type="http://schemas.microsoft.com/office/2017/06/relationships/rdRichValueTypes" Target="richData/rdRichValueTypes.xml" /><Relationship Id="rId65" Type="http://schemas.openxmlformats.org/officeDocument/2006/relationships/customXml" Target="../customXml/item4.xml" /><Relationship Id="rId4" Type="http://schemas.openxmlformats.org/officeDocument/2006/relationships/worksheet" Target="worksheets/sheet4.xml" /><Relationship Id="rId9" Type="http://schemas.openxmlformats.org/officeDocument/2006/relationships/worksheet" Target="worksheets/sheet9.xml" /><Relationship Id="rId13" Type="http://schemas.openxmlformats.org/officeDocument/2006/relationships/worksheet" Target="worksheets/sheet13.xml" /><Relationship Id="rId18" Type="http://schemas.openxmlformats.org/officeDocument/2006/relationships/worksheet" Target="worksheets/sheet18.xml" /><Relationship Id="rId39" Type="http://schemas.openxmlformats.org/officeDocument/2006/relationships/worksheet" Target="worksheets/sheet39.xml" /></Relationships>
</file>

<file path=xl/charts/_rels/chart3.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4.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1 sources CO2-e: Method 2</a:t>
            </a:r>
          </a:p>
        </c:rich>
      </c:tx>
      <c:overlay val="0"/>
      <c:spPr>
        <a:noFill/>
        <a:ln>
          <a:noFill/>
        </a:ln>
        <a:effectLst/>
      </c:spPr>
    </c:title>
    <c:autoTitleDeleted val="0"/>
    <c:plotArea>
      <c:layout/>
      <c:ofPieChart>
        <c:ofPieType val="bar"/>
        <c:varyColors val="1"/>
        <c:ser>
          <c:idx val="1"/>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0-64C2-43EC-A71A-E7C288A256BA}"/>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1-64C2-43EC-A71A-E7C288A256BA}"/>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2-64C2-43EC-A71A-E7C288A256BA}"/>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3-64C2-43EC-A71A-E7C288A256B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64C2-43EC-A71A-E7C288A256BA}"/>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7-64C2-43EC-A71A-E7C288A256BA}"/>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08-64C2-43EC-A71A-E7C288A256BA}"/>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09-64C2-43EC-A71A-E7C288A256BA}"/>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0A-64C2-43EC-A71A-E7C288A256BA}"/>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0B-64C2-43EC-A71A-E7C288A256BA}"/>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5-CF9E-45FD-98BF-ACD51C794B3C}"/>
              </c:ext>
            </c:extLst>
          </c:dPt>
          <c:cat>
            <c:strRef>
              <c:f>'Results - Activity period'!$D$9:$D$22</c:f>
              <c:strCache>
                <c:ptCount val="14"/>
                <c:pt idx="0">
                  <c:v>4.6.1.1-2 Manure Methane </c:v>
                </c:pt>
                <c:pt idx="1">
                  <c:v>4.6.1.3-4 Manure Direct N20 </c:v>
                </c:pt>
                <c:pt idx="2">
                  <c:v>4.6.1.5-6 Manure Atmospheric Deposition</c:v>
                </c:pt>
                <c:pt idx="3">
                  <c:v>4.6.1.7-8 Manure Leaching and runoff</c:v>
                </c:pt>
                <c:pt idx="4">
                  <c:v>4.6.1.10-11 Soil direct N2O</c:v>
                </c:pt>
                <c:pt idx="5">
                  <c:v>4.6.1.12-13 Soil atmos dep</c:v>
                </c:pt>
                <c:pt idx="6">
                  <c:v>4.6.1.14-15 Soil leach runoff</c:v>
                </c:pt>
                <c:pt idx="7">
                  <c:v>8.1.1.1-2 Transport fuel CO2</c:v>
                </c:pt>
                <c:pt idx="8">
                  <c:v>8.1.1.1-2 Transport fuel CH4</c:v>
                </c:pt>
                <c:pt idx="9">
                  <c:v>8.1.1.1-2 Transport fuel N2O</c:v>
                </c:pt>
                <c:pt idx="10">
                  <c:v>8.2.1.1-2 Stationary fuel CO2</c:v>
                </c:pt>
                <c:pt idx="11">
                  <c:v>8.2.1.1-2 Stationary fuel CH4</c:v>
                </c:pt>
                <c:pt idx="12">
                  <c:v>8.2.1.1-2 Stationary fuel N2O</c:v>
                </c:pt>
                <c:pt idx="13">
                  <c:v>10.1.1-2 Solid waste treatment</c:v>
                </c:pt>
              </c:strCache>
            </c:strRef>
          </c:cat>
          <c:val>
            <c:numRef>
              <c:f>'Results - Activity period'!$I$9:$I$22</c:f>
              <c:numCache>
                <c:formatCode>General</c:formatCode>
                <c:ptCount val="14"/>
                <c:pt idx="0">
                  <c:v>#N/A</c:v>
                </c:pt>
                <c:pt idx="1">
                  <c:v>0.15283863010491425</c:v>
                </c:pt>
                <c:pt idx="2">
                  <c:v>6.0625482787584034E-2</c:v>
                </c:pt>
                <c:pt idx="3">
                  <c:v>9.2096274188159999E-4</c:v>
                </c:pt>
                <c:pt idx="4">
                  <c:v>6.2100493714285721E-2</c:v>
                </c:pt>
                <c:pt idx="5">
                  <c:v>4.5643862879999999E-3</c:v>
                </c:pt>
                <c:pt idx="6">
                  <c:v>6.8310543085714286E-4</c:v>
                </c:pt>
                <c:pt idx="7">
                  <c:v>0.19906000000000001</c:v>
                </c:pt>
                <c:pt idx="8">
                  <c:v>16.366</c:v>
                </c:pt>
                <c:pt idx="9">
                  <c:v>7703.7620000000006</c:v>
                </c:pt>
                <c:pt idx="10">
                  <c:v>7.2400000000000006E-2</c:v>
                </c:pt>
                <c:pt idx="11">
                  <c:v>1.9992000000000001</c:v>
                </c:pt>
                <c:pt idx="12">
                  <c:v>116289.43325</c:v>
                </c:pt>
                <c:pt idx="13">
                  <c:v>438.82805000000002</c:v>
                </c:pt>
              </c:numCache>
            </c:numRef>
          </c:val>
          <c:extLst>
            <c:ext xmlns:c16="http://schemas.microsoft.com/office/drawing/2014/chart" uri="{C3380CC4-5D6E-409C-BE32-E72D297353CC}">
              <c16:uniqueId val="{00000013-64C2-43EC-A71A-E7C288A256BA}"/>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r>
              <a:rPr lang="en-AU"/>
              <a:t>Scope 3 sources CO2-e: Method 2</a:t>
            </a:r>
          </a:p>
        </c:rich>
      </c:tx>
      <c:overlay val="0"/>
      <c:spPr>
        <a:noFill/>
        <a:ln>
          <a:noFill/>
        </a:ln>
        <a:effectLst/>
      </c:spPr>
    </c:title>
    <c:autoTitleDeleted val="0"/>
    <c:plotArea>
      <c:layout/>
      <c:ofPieChart>
        <c:ofPieType val="bar"/>
        <c:varyColors val="1"/>
        <c:ser>
          <c:idx val="1"/>
          <c:order val="0"/>
          <c:cat>
            <c:strRef>
              <c:f>'Results - Activity period'!$D$36:$D$46</c:f>
              <c:strCache>
                <c:ptCount val="11"/>
                <c:pt idx="0">
                  <c:v>15.1.1.1 Total emissions from purchased livestock - Pigs</c:v>
                </c:pt>
                <c:pt idx="1">
                  <c:v>15.2.1.1 Emissions from purchased feed</c:v>
                </c:pt>
                <c:pt idx="2">
                  <c:v>15.7.1.1 Services and contractor operations</c:v>
                </c:pt>
                <c:pt idx="3">
                  <c:v>15.10.1.1 Other: Cleaning chemicals</c:v>
                </c:pt>
                <c:pt idx="4">
                  <c:v>15.10.1.1 Other: Pharmacy chemicals</c:v>
                </c:pt>
                <c:pt idx="5">
                  <c:v>15.10.1.1 Other: Uncategorised</c:v>
                </c:pt>
                <c:pt idx="6">
                  <c:v>15.11.1.1 Fuel</c:v>
                </c:pt>
                <c:pt idx="7">
                  <c:v>15.12.1.1 Purchased electricity (Location-based)</c:v>
                </c:pt>
                <c:pt idx="8">
                  <c:v>15.13.1.1 Waste sent to treatment facility</c:v>
                </c:pt>
                <c:pt idx="9">
                  <c:v>15.14.1.1 Incoming freight</c:v>
                </c:pt>
                <c:pt idx="10">
                  <c:v>15.14.1.1 Outgoing freight</c:v>
                </c:pt>
              </c:strCache>
            </c:strRef>
          </c:cat>
          <c:val>
            <c:numRef>
              <c:f>'Results - Activity period'!$I$36:$I$46</c:f>
              <c:numCache>
                <c:formatCode>General</c:formatCode>
                <c:ptCount val="11"/>
                <c:pt idx="0">
                  <c:v>0</c:v>
                </c:pt>
                <c:pt idx="1">
                  <c:v>0.78505200000000008</c:v>
                </c:pt>
                <c:pt idx="2">
                  <c:v>42</c:v>
                </c:pt>
                <c:pt idx="3">
                  <c:v>2.73</c:v>
                </c:pt>
                <c:pt idx="4">
                  <c:v>1.5636000000000001E-2</c:v>
                </c:pt>
                <c:pt idx="5">
                  <c:v>4000</c:v>
                </c:pt>
                <c:pt idx="6">
                  <c:v>26.384</c:v>
                </c:pt>
                <c:pt idx="7">
                  <c:v>2.7</c:v>
                </c:pt>
                <c:pt idx="8">
                  <c:v>441.15000000000003</c:v>
                </c:pt>
                <c:pt idx="9">
                  <c:v>5146700</c:v>
                </c:pt>
                <c:pt idx="10">
                  <c:v>432640</c:v>
                </c:pt>
              </c:numCache>
            </c:numRef>
          </c:val>
          <c:extLst>
            <c:ext xmlns:c16="http://schemas.microsoft.com/office/drawing/2014/chart" uri="{C3380CC4-5D6E-409C-BE32-E72D297353CC}">
              <c16:uniqueId val="{00000000-62DD-44E7-A95F-7E5222B2A855}"/>
            </c:ext>
          </c:extLst>
        </c:ser>
        <c:dLbls>
          <c:showLegendKey val="0"/>
          <c:showVal val="0"/>
          <c:showCatName val="0"/>
          <c:showSerName val="0"/>
          <c:showPercent val="0"/>
          <c:showBubbleSize val="0"/>
          <c:showLeaderLines val="1"/>
        </c:dLbls>
        <c:gapWidth val="150"/>
        <c:splitType val="percent"/>
        <c:splitPos val="10"/>
        <c:secondPieSize val="75"/>
        <c:serLines>
          <c:spPr>
            <a:ln w="9525" cap="flat" cmpd="sng" algn="ctr">
              <a:solidFill>
                <a:schemeClr val="tx1">
                  <a:lumMod val="35000"/>
                  <a:lumOff val="65000"/>
                </a:schemeClr>
              </a:solidFill>
              <a:round/>
            </a:ln>
            <a:effectLst/>
          </c:spPr>
        </c:serLines>
      </c:ofPieChart>
    </c:plotArea>
    <c:legend>
      <c:legendPos val="r"/>
      <c:overlay val="0"/>
      <c:spPr>
        <a:noFill/>
        <a:ln>
          <a:noFill/>
        </a:ln>
        <a:effectLst/>
      </c:spPr>
      <c:txPr>
        <a:bodyPr rot="0" spcFirstLastPara="1" vertOverflow="ellipsis" vert="horz" wrap="square" anchor="ctr" anchorCtr="1"/>
        <a:lstStyle/>
        <a:p>
          <a:pPr rtl="0">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2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chart" Target="../charts/chart3.xml"/><Relationship Id="rId5" Type="http://schemas.openxmlformats.org/officeDocument/2006/relationships/image" Target="../media/image4.pn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12</xdr:col>
      <xdr:colOff>247650</xdr:colOff>
      <xdr:row>5</xdr:row>
      <xdr:rowOff>114300</xdr:rowOff>
    </xdr:from>
    <xdr:to>
      <xdr:col>16</xdr:col>
      <xdr:colOff>1276351</xdr:colOff>
      <xdr:row>27</xdr:row>
      <xdr:rowOff>104775</xdr:rowOff>
    </xdr:to>
    <xdr:graphicFrame macro="">
      <xdr:nvGraphicFramePr>
        <xdr:cNvPr id="2" name="Chart 1">
          <a:extLst>
            <a:ext uri="{FF2B5EF4-FFF2-40B4-BE49-F238E27FC236}">
              <a16:creationId xmlns:a16="http://schemas.microsoft.com/office/drawing/2014/main" id="{3A344E95-6082-45A2-A851-64587AA6628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76200</xdr:colOff>
      <xdr:row>36</xdr:row>
      <xdr:rowOff>161925</xdr:rowOff>
    </xdr:from>
    <xdr:to>
      <xdr:col>16</xdr:col>
      <xdr:colOff>1104901</xdr:colOff>
      <xdr:row>58</xdr:row>
      <xdr:rowOff>152400</xdr:rowOff>
    </xdr:to>
    <xdr:graphicFrame macro="">
      <xdr:nvGraphicFramePr>
        <xdr:cNvPr id="3" name="Chart 2">
          <a:extLst>
            <a:ext uri="{FF2B5EF4-FFF2-40B4-BE49-F238E27FC236}">
              <a16:creationId xmlns:a16="http://schemas.microsoft.com/office/drawing/2014/main" id="{4C21FA99-C640-465F-AAB2-47EB9C58796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46</xdr:row>
      <xdr:rowOff>200025</xdr:rowOff>
    </xdr:from>
    <xdr:to>
      <xdr:col>9</xdr:col>
      <xdr:colOff>1443037</xdr:colOff>
      <xdr:row>58</xdr:row>
      <xdr:rowOff>85725</xdr:rowOff>
    </xdr:to>
    <xdr:graphicFrame macro="">
      <xdr:nvGraphicFramePr>
        <xdr:cNvPr id="2" name="Chart 1">
          <a:extLst>
            <a:ext uri="{FF2B5EF4-FFF2-40B4-BE49-F238E27FC236}">
              <a16:creationId xmlns:a16="http://schemas.microsoft.com/office/drawing/2014/main" id="{561CA646-3BD8-4FFD-B6ED-B2FA1E51FB4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9525</xdr:colOff>
      <xdr:row>14</xdr:row>
      <xdr:rowOff>71157</xdr:rowOff>
    </xdr:from>
    <xdr:to>
      <xdr:col>3</xdr:col>
      <xdr:colOff>1875865</xdr:colOff>
      <xdr:row>16</xdr:row>
      <xdr:rowOff>144555</xdr:rowOff>
    </xdr:to>
    <xdr:sp macro="" textlink="$H$44">
      <xdr:nvSpPr>
        <xdr:cNvPr id="3" name="TextBox 2">
          <a:extLst>
            <a:ext uri="{FF2B5EF4-FFF2-40B4-BE49-F238E27FC236}">
              <a16:creationId xmlns:a16="http://schemas.microsoft.com/office/drawing/2014/main" id="{DF048040-93E8-4701-94EF-7D2C2408321B}"/>
            </a:ext>
          </a:extLst>
        </xdr:cNvPr>
        <xdr:cNvSpPr txBox="1"/>
      </xdr:nvSpPr>
      <xdr:spPr>
        <a:xfrm>
          <a:off x="2686050" y="2995332"/>
          <a:ext cx="1866340"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496CA75-FED4-4E21-A81D-BDC20736B7B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5</xdr:col>
      <xdr:colOff>180414</xdr:colOff>
      <xdr:row>14</xdr:row>
      <xdr:rowOff>42582</xdr:rowOff>
    </xdr:from>
    <xdr:to>
      <xdr:col>6</xdr:col>
      <xdr:colOff>43141</xdr:colOff>
      <xdr:row>16</xdr:row>
      <xdr:rowOff>144555</xdr:rowOff>
    </xdr:to>
    <xdr:sp macro="" textlink="$I$44">
      <xdr:nvSpPr>
        <xdr:cNvPr id="4" name="TextBox 3">
          <a:extLst>
            <a:ext uri="{FF2B5EF4-FFF2-40B4-BE49-F238E27FC236}">
              <a16:creationId xmlns:a16="http://schemas.microsoft.com/office/drawing/2014/main" id="{C836697B-E43A-434C-8C38-CED18E17F96C}"/>
            </a:ext>
          </a:extLst>
        </xdr:cNvPr>
        <xdr:cNvSpPr txBox="1"/>
      </xdr:nvSpPr>
      <xdr:spPr>
        <a:xfrm>
          <a:off x="8352864"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A778010-8EF6-4986-9F7A-ED1F5F66D6A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25</xdr:row>
      <xdr:rowOff>155762</xdr:rowOff>
    </xdr:from>
    <xdr:to>
      <xdr:col>3</xdr:col>
      <xdr:colOff>1961590</xdr:colOff>
      <xdr:row>28</xdr:row>
      <xdr:rowOff>108696</xdr:rowOff>
    </xdr:to>
    <xdr:sp macro="" textlink="$H$54">
      <xdr:nvSpPr>
        <xdr:cNvPr id="5" name="TextBox 4">
          <a:extLst>
            <a:ext uri="{FF2B5EF4-FFF2-40B4-BE49-F238E27FC236}">
              <a16:creationId xmlns:a16="http://schemas.microsoft.com/office/drawing/2014/main" id="{FEFD1952-3C55-4816-8FE4-E7EF34F67CC4}"/>
            </a:ext>
          </a:extLst>
        </xdr:cNvPr>
        <xdr:cNvSpPr txBox="1"/>
      </xdr:nvSpPr>
      <xdr:spPr>
        <a:xfrm>
          <a:off x="2686050" y="5280212"/>
          <a:ext cx="195206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7DC837A9-60D0-4FEE-9D60-F5F33C8747DB}"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5</xdr:col>
      <xdr:colOff>180414</xdr:colOff>
      <xdr:row>25</xdr:row>
      <xdr:rowOff>184337</xdr:rowOff>
    </xdr:from>
    <xdr:to>
      <xdr:col>6</xdr:col>
      <xdr:colOff>109816</xdr:colOff>
      <xdr:row>28</xdr:row>
      <xdr:rowOff>89646</xdr:rowOff>
    </xdr:to>
    <xdr:sp macro="" textlink="$I$54">
      <xdr:nvSpPr>
        <xdr:cNvPr id="6" name="TextBox 5">
          <a:extLst>
            <a:ext uri="{FF2B5EF4-FFF2-40B4-BE49-F238E27FC236}">
              <a16:creationId xmlns:a16="http://schemas.microsoft.com/office/drawing/2014/main" id="{E52E2C5E-EBB6-4960-8003-36766B1393A3}"/>
            </a:ext>
          </a:extLst>
        </xdr:cNvPr>
        <xdr:cNvSpPr txBox="1"/>
      </xdr:nvSpPr>
      <xdr:spPr>
        <a:xfrm>
          <a:off x="8352864"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1C4261C-1106-48B4-9C10-E82D60412011}"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2333065</xdr:colOff>
      <xdr:row>14</xdr:row>
      <xdr:rowOff>33057</xdr:rowOff>
    </xdr:from>
    <xdr:to>
      <xdr:col>4</xdr:col>
      <xdr:colOff>1237690</xdr:colOff>
      <xdr:row>16</xdr:row>
      <xdr:rowOff>144555</xdr:rowOff>
    </xdr:to>
    <xdr:sp macro="" textlink="$H$45">
      <xdr:nvSpPr>
        <xdr:cNvPr id="7" name="TextBox 6">
          <a:extLst>
            <a:ext uri="{FF2B5EF4-FFF2-40B4-BE49-F238E27FC236}">
              <a16:creationId xmlns:a16="http://schemas.microsoft.com/office/drawing/2014/main" id="{833A8974-87C9-4E79-B489-9A38725AA61E}"/>
            </a:ext>
          </a:extLst>
        </xdr:cNvPr>
        <xdr:cNvSpPr txBox="1"/>
      </xdr:nvSpPr>
      <xdr:spPr>
        <a:xfrm>
          <a:off x="5009590" y="2957232"/>
          <a:ext cx="2352675"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E965B10-5BD0-44CC-8118-41596A6F15E2}"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6</xdr:col>
      <xdr:colOff>617444</xdr:colOff>
      <xdr:row>14</xdr:row>
      <xdr:rowOff>61632</xdr:rowOff>
    </xdr:from>
    <xdr:to>
      <xdr:col>7</xdr:col>
      <xdr:colOff>477371</xdr:colOff>
      <xdr:row>16</xdr:row>
      <xdr:rowOff>144555</xdr:rowOff>
    </xdr:to>
    <xdr:sp macro="" textlink="$I$45">
      <xdr:nvSpPr>
        <xdr:cNvPr id="8" name="TextBox 7">
          <a:extLst>
            <a:ext uri="{FF2B5EF4-FFF2-40B4-BE49-F238E27FC236}">
              <a16:creationId xmlns:a16="http://schemas.microsoft.com/office/drawing/2014/main" id="{ECDA9550-94C9-4119-822D-DA304443D385}"/>
            </a:ext>
          </a:extLst>
        </xdr:cNvPr>
        <xdr:cNvSpPr txBox="1"/>
      </xdr:nvSpPr>
      <xdr:spPr>
        <a:xfrm>
          <a:off x="10837769" y="2985807"/>
          <a:ext cx="190780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04D704D-8D75-4B25-B661-1CD4BF80A14D}"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xdr:col>
      <xdr:colOff>9525</xdr:colOff>
      <xdr:row>12</xdr:row>
      <xdr:rowOff>150158</xdr:rowOff>
    </xdr:from>
    <xdr:to>
      <xdr:col>3</xdr:col>
      <xdr:colOff>1542490</xdr:colOff>
      <xdr:row>14</xdr:row>
      <xdr:rowOff>33056</xdr:rowOff>
    </xdr:to>
    <xdr:sp macro="" textlink="$J$44">
      <xdr:nvSpPr>
        <xdr:cNvPr id="9" name="TextBox 8">
          <a:extLst>
            <a:ext uri="{FF2B5EF4-FFF2-40B4-BE49-F238E27FC236}">
              <a16:creationId xmlns:a16="http://schemas.microsoft.com/office/drawing/2014/main" id="{49493AFD-208A-4EC9-A8A6-48B189A9D3F6}"/>
            </a:ext>
          </a:extLst>
        </xdr:cNvPr>
        <xdr:cNvSpPr txBox="1"/>
      </xdr:nvSpPr>
      <xdr:spPr>
        <a:xfrm>
          <a:off x="2686050" y="2674283"/>
          <a:ext cx="1532965"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3</xdr:col>
      <xdr:colOff>2333065</xdr:colOff>
      <xdr:row>12</xdr:row>
      <xdr:rowOff>150158</xdr:rowOff>
    </xdr:from>
    <xdr:to>
      <xdr:col>4</xdr:col>
      <xdr:colOff>1457243</xdr:colOff>
      <xdr:row>14</xdr:row>
      <xdr:rowOff>33056</xdr:rowOff>
    </xdr:to>
    <xdr:sp macro="" textlink="$J$44">
      <xdr:nvSpPr>
        <xdr:cNvPr id="10" name="TextBox 9">
          <a:extLst>
            <a:ext uri="{FF2B5EF4-FFF2-40B4-BE49-F238E27FC236}">
              <a16:creationId xmlns:a16="http://schemas.microsoft.com/office/drawing/2014/main" id="{E12C55C2-9F89-43C5-95FD-8B0BFFCD3F34}"/>
            </a:ext>
          </a:extLst>
        </xdr:cNvPr>
        <xdr:cNvSpPr txBox="1"/>
      </xdr:nvSpPr>
      <xdr:spPr>
        <a:xfrm>
          <a:off x="5009590" y="2674283"/>
          <a:ext cx="2572228"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3</xdr:col>
      <xdr:colOff>9525</xdr:colOff>
      <xdr:row>10</xdr:row>
      <xdr:rowOff>172010</xdr:rowOff>
    </xdr:from>
    <xdr:to>
      <xdr:col>3</xdr:col>
      <xdr:colOff>1542490</xdr:colOff>
      <xdr:row>12</xdr:row>
      <xdr:rowOff>54907</xdr:rowOff>
    </xdr:to>
    <xdr:sp macro="" textlink="$J$44">
      <xdr:nvSpPr>
        <xdr:cNvPr id="11" name="TextBox 10">
          <a:extLst>
            <a:ext uri="{FF2B5EF4-FFF2-40B4-BE49-F238E27FC236}">
              <a16:creationId xmlns:a16="http://schemas.microsoft.com/office/drawing/2014/main" id="{6D9E463A-9248-4B95-B024-5BE675F6304B}"/>
            </a:ext>
          </a:extLst>
        </xdr:cNvPr>
        <xdr:cNvSpPr txBox="1"/>
      </xdr:nvSpPr>
      <xdr:spPr>
        <a:xfrm>
          <a:off x="2686050" y="2296085"/>
          <a:ext cx="1532965"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3</xdr:col>
      <xdr:colOff>47625</xdr:colOff>
      <xdr:row>8</xdr:row>
      <xdr:rowOff>174812</xdr:rowOff>
    </xdr:from>
    <xdr:to>
      <xdr:col>3</xdr:col>
      <xdr:colOff>2228290</xdr:colOff>
      <xdr:row>10</xdr:row>
      <xdr:rowOff>143435</xdr:rowOff>
    </xdr:to>
    <xdr:sp macro="" textlink="">
      <xdr:nvSpPr>
        <xdr:cNvPr id="12" name="TextBox 11">
          <a:extLst>
            <a:ext uri="{FF2B5EF4-FFF2-40B4-BE49-F238E27FC236}">
              <a16:creationId xmlns:a16="http://schemas.microsoft.com/office/drawing/2014/main" id="{172AB12A-BA93-494F-BD3D-E035C621A112}"/>
            </a:ext>
          </a:extLst>
        </xdr:cNvPr>
        <xdr:cNvSpPr txBox="1"/>
      </xdr:nvSpPr>
      <xdr:spPr>
        <a:xfrm>
          <a:off x="2724150" y="1898837"/>
          <a:ext cx="2180665"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3</xdr:col>
      <xdr:colOff>57150</xdr:colOff>
      <xdr:row>10</xdr:row>
      <xdr:rowOff>147552</xdr:rowOff>
    </xdr:from>
    <xdr:to>
      <xdr:col>7</xdr:col>
      <xdr:colOff>949698</xdr:colOff>
      <xdr:row>10</xdr:row>
      <xdr:rowOff>162485</xdr:rowOff>
    </xdr:to>
    <xdr:cxnSp macro="">
      <xdr:nvCxnSpPr>
        <xdr:cNvPr id="13" name="Straight Connector 12">
          <a:extLst>
            <a:ext uri="{FF2B5EF4-FFF2-40B4-BE49-F238E27FC236}">
              <a16:creationId xmlns:a16="http://schemas.microsoft.com/office/drawing/2014/main" id="{B2AF611D-5085-403C-AA6F-35B20216E8C4}"/>
            </a:ext>
          </a:extLst>
        </xdr:cNvPr>
        <xdr:cNvCxnSpPr/>
      </xdr:nvCxnSpPr>
      <xdr:spPr>
        <a:xfrm flipV="1">
          <a:off x="2733675" y="2271627"/>
          <a:ext cx="10484223" cy="14933"/>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150158</xdr:rowOff>
    </xdr:from>
    <xdr:to>
      <xdr:col>5</xdr:col>
      <xdr:colOff>1719541</xdr:colOff>
      <xdr:row>14</xdr:row>
      <xdr:rowOff>33056</xdr:rowOff>
    </xdr:to>
    <xdr:sp macro="" textlink="$J$44">
      <xdr:nvSpPr>
        <xdr:cNvPr id="14" name="TextBox 13">
          <a:extLst>
            <a:ext uri="{FF2B5EF4-FFF2-40B4-BE49-F238E27FC236}">
              <a16:creationId xmlns:a16="http://schemas.microsoft.com/office/drawing/2014/main" id="{68408881-CC17-4AA4-956F-95D498006F3D}"/>
            </a:ext>
          </a:extLst>
        </xdr:cNvPr>
        <xdr:cNvSpPr txBox="1"/>
      </xdr:nvSpPr>
      <xdr:spPr>
        <a:xfrm>
          <a:off x="8352864"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6</xdr:col>
      <xdr:colOff>617444</xdr:colOff>
      <xdr:row>12</xdr:row>
      <xdr:rowOff>150158</xdr:rowOff>
    </xdr:from>
    <xdr:to>
      <xdr:col>7</xdr:col>
      <xdr:colOff>1150201</xdr:colOff>
      <xdr:row>14</xdr:row>
      <xdr:rowOff>33056</xdr:rowOff>
    </xdr:to>
    <xdr:sp macro="" textlink="$J$44">
      <xdr:nvSpPr>
        <xdr:cNvPr id="15" name="TextBox 14">
          <a:extLst>
            <a:ext uri="{FF2B5EF4-FFF2-40B4-BE49-F238E27FC236}">
              <a16:creationId xmlns:a16="http://schemas.microsoft.com/office/drawing/2014/main" id="{6DAF84BF-9C77-403A-891B-9FFD0620D06E}"/>
            </a:ext>
          </a:extLst>
        </xdr:cNvPr>
        <xdr:cNvSpPr txBox="1"/>
      </xdr:nvSpPr>
      <xdr:spPr>
        <a:xfrm>
          <a:off x="10837769" y="2674283"/>
          <a:ext cx="25806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5</xdr:col>
      <xdr:colOff>180414</xdr:colOff>
      <xdr:row>10</xdr:row>
      <xdr:rowOff>172010</xdr:rowOff>
    </xdr:from>
    <xdr:to>
      <xdr:col>5</xdr:col>
      <xdr:colOff>1719541</xdr:colOff>
      <xdr:row>12</xdr:row>
      <xdr:rowOff>54907</xdr:rowOff>
    </xdr:to>
    <xdr:sp macro="" textlink="$J$44">
      <xdr:nvSpPr>
        <xdr:cNvPr id="16" name="TextBox 15">
          <a:extLst>
            <a:ext uri="{FF2B5EF4-FFF2-40B4-BE49-F238E27FC236}">
              <a16:creationId xmlns:a16="http://schemas.microsoft.com/office/drawing/2014/main" id="{9DDCEEE4-6758-43CA-9A4F-4BD8CC49FEC8}"/>
            </a:ext>
          </a:extLst>
        </xdr:cNvPr>
        <xdr:cNvSpPr txBox="1"/>
      </xdr:nvSpPr>
      <xdr:spPr>
        <a:xfrm>
          <a:off x="8352864"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12</xdr:row>
      <xdr:rowOff>73958</xdr:rowOff>
    </xdr:from>
    <xdr:to>
      <xdr:col>4</xdr:col>
      <xdr:colOff>1428190</xdr:colOff>
      <xdr:row>12</xdr:row>
      <xdr:rowOff>73958</xdr:rowOff>
    </xdr:to>
    <xdr:cxnSp macro="">
      <xdr:nvCxnSpPr>
        <xdr:cNvPr id="17" name="Straight Connector 16">
          <a:extLst>
            <a:ext uri="{FF2B5EF4-FFF2-40B4-BE49-F238E27FC236}">
              <a16:creationId xmlns:a16="http://schemas.microsoft.com/office/drawing/2014/main" id="{7F0ABF75-DFA4-476D-9D6C-89195BE39EB1}"/>
            </a:ext>
          </a:extLst>
        </xdr:cNvPr>
        <xdr:cNvCxnSpPr/>
      </xdr:nvCxnSpPr>
      <xdr:spPr>
        <a:xfrm>
          <a:off x="2686050" y="2598083"/>
          <a:ext cx="4866715"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12</xdr:row>
      <xdr:rowOff>73958</xdr:rowOff>
    </xdr:from>
    <xdr:to>
      <xdr:col>7</xdr:col>
      <xdr:colOff>968747</xdr:colOff>
      <xdr:row>12</xdr:row>
      <xdr:rowOff>73958</xdr:rowOff>
    </xdr:to>
    <xdr:cxnSp macro="">
      <xdr:nvCxnSpPr>
        <xdr:cNvPr id="18" name="Straight Connector 17">
          <a:extLst>
            <a:ext uri="{FF2B5EF4-FFF2-40B4-BE49-F238E27FC236}">
              <a16:creationId xmlns:a16="http://schemas.microsoft.com/office/drawing/2014/main" id="{C539287F-B096-47C2-8B87-ED06E2DE07A8}"/>
            </a:ext>
          </a:extLst>
        </xdr:cNvPr>
        <xdr:cNvCxnSpPr/>
      </xdr:nvCxnSpPr>
      <xdr:spPr>
        <a:xfrm>
          <a:off x="8352864" y="2598083"/>
          <a:ext cx="48840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3</xdr:col>
      <xdr:colOff>9525</xdr:colOff>
      <xdr:row>24</xdr:row>
      <xdr:rowOff>45944</xdr:rowOff>
    </xdr:from>
    <xdr:to>
      <xdr:col>3</xdr:col>
      <xdr:colOff>1542490</xdr:colOff>
      <xdr:row>25</xdr:row>
      <xdr:rowOff>127186</xdr:rowOff>
    </xdr:to>
    <xdr:sp macro="" textlink="$J$44">
      <xdr:nvSpPr>
        <xdr:cNvPr id="19" name="TextBox 18">
          <a:extLst>
            <a:ext uri="{FF2B5EF4-FFF2-40B4-BE49-F238E27FC236}">
              <a16:creationId xmlns:a16="http://schemas.microsoft.com/office/drawing/2014/main" id="{422FBF15-927C-4FC5-B0BC-0619A4E29552}"/>
            </a:ext>
          </a:extLst>
        </xdr:cNvPr>
        <xdr:cNvSpPr txBox="1"/>
      </xdr:nvSpPr>
      <xdr:spPr>
        <a:xfrm>
          <a:off x="2686050" y="4970369"/>
          <a:ext cx="1532965"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3</xdr:col>
      <xdr:colOff>2418312</xdr:colOff>
      <xdr:row>24</xdr:row>
      <xdr:rowOff>45944</xdr:rowOff>
    </xdr:from>
    <xdr:to>
      <xdr:col>4</xdr:col>
      <xdr:colOff>1542490</xdr:colOff>
      <xdr:row>25</xdr:row>
      <xdr:rowOff>127186</xdr:rowOff>
    </xdr:to>
    <xdr:sp macro="" textlink="$J$44">
      <xdr:nvSpPr>
        <xdr:cNvPr id="20" name="TextBox 19">
          <a:extLst>
            <a:ext uri="{FF2B5EF4-FFF2-40B4-BE49-F238E27FC236}">
              <a16:creationId xmlns:a16="http://schemas.microsoft.com/office/drawing/2014/main" id="{D2235FE1-4986-4236-ADD8-EF7B510C5416}"/>
            </a:ext>
          </a:extLst>
        </xdr:cNvPr>
        <xdr:cNvSpPr txBox="1"/>
      </xdr:nvSpPr>
      <xdr:spPr>
        <a:xfrm>
          <a:off x="5094837" y="4970369"/>
          <a:ext cx="2572228"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3</xdr:col>
      <xdr:colOff>9525</xdr:colOff>
      <xdr:row>22</xdr:row>
      <xdr:rowOff>69476</xdr:rowOff>
    </xdr:from>
    <xdr:to>
      <xdr:col>3</xdr:col>
      <xdr:colOff>1542490</xdr:colOff>
      <xdr:row>23</xdr:row>
      <xdr:rowOff>149037</xdr:rowOff>
    </xdr:to>
    <xdr:sp macro="" textlink="$J$44">
      <xdr:nvSpPr>
        <xdr:cNvPr id="21" name="TextBox 20">
          <a:extLst>
            <a:ext uri="{FF2B5EF4-FFF2-40B4-BE49-F238E27FC236}">
              <a16:creationId xmlns:a16="http://schemas.microsoft.com/office/drawing/2014/main" id="{261BE4D0-7E72-4230-8ACA-47762C0C5920}"/>
            </a:ext>
          </a:extLst>
        </xdr:cNvPr>
        <xdr:cNvSpPr txBox="1"/>
      </xdr:nvSpPr>
      <xdr:spPr>
        <a:xfrm>
          <a:off x="2686050" y="4593851"/>
          <a:ext cx="1532965"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3</xdr:col>
      <xdr:colOff>9525</xdr:colOff>
      <xdr:row>16</xdr:row>
      <xdr:rowOff>49306</xdr:rowOff>
    </xdr:from>
    <xdr:ext cx="1689180" cy="254493"/>
    <xdr:sp macro="" textlink="">
      <xdr:nvSpPr>
        <xdr:cNvPr id="22" name="TextBox 21">
          <a:extLst>
            <a:ext uri="{FF2B5EF4-FFF2-40B4-BE49-F238E27FC236}">
              <a16:creationId xmlns:a16="http://schemas.microsoft.com/office/drawing/2014/main" id="{9CB97F30-4735-49D1-B115-4E8269067E54}"/>
            </a:ext>
          </a:extLst>
        </xdr:cNvPr>
        <xdr:cNvSpPr txBox="1"/>
      </xdr:nvSpPr>
      <xdr:spPr>
        <a:xfrm>
          <a:off x="268605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47625</xdr:colOff>
      <xdr:row>20</xdr:row>
      <xdr:rowOff>72277</xdr:rowOff>
    </xdr:from>
    <xdr:to>
      <xdr:col>3</xdr:col>
      <xdr:colOff>2228290</xdr:colOff>
      <xdr:row>22</xdr:row>
      <xdr:rowOff>39220</xdr:rowOff>
    </xdr:to>
    <xdr:sp macro="" textlink="">
      <xdr:nvSpPr>
        <xdr:cNvPr id="23" name="TextBox 22">
          <a:extLst>
            <a:ext uri="{FF2B5EF4-FFF2-40B4-BE49-F238E27FC236}">
              <a16:creationId xmlns:a16="http://schemas.microsoft.com/office/drawing/2014/main" id="{1C166702-1A1A-4563-8684-ED77B3E358C0}"/>
            </a:ext>
          </a:extLst>
        </xdr:cNvPr>
        <xdr:cNvSpPr txBox="1"/>
      </xdr:nvSpPr>
      <xdr:spPr>
        <a:xfrm>
          <a:off x="2724150" y="4196602"/>
          <a:ext cx="2180665"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3</xdr:col>
      <xdr:colOff>57150</xdr:colOff>
      <xdr:row>22</xdr:row>
      <xdr:rowOff>43269</xdr:rowOff>
    </xdr:from>
    <xdr:to>
      <xdr:col>7</xdr:col>
      <xdr:colOff>997323</xdr:colOff>
      <xdr:row>22</xdr:row>
      <xdr:rowOff>59951</xdr:rowOff>
    </xdr:to>
    <xdr:cxnSp macro="">
      <xdr:nvCxnSpPr>
        <xdr:cNvPr id="24" name="Straight Connector 23">
          <a:extLst>
            <a:ext uri="{FF2B5EF4-FFF2-40B4-BE49-F238E27FC236}">
              <a16:creationId xmlns:a16="http://schemas.microsoft.com/office/drawing/2014/main" id="{97784785-181F-46AC-B3C4-55A3A46C6717}"/>
            </a:ext>
          </a:extLst>
        </xdr:cNvPr>
        <xdr:cNvCxnSpPr/>
      </xdr:nvCxnSpPr>
      <xdr:spPr>
        <a:xfrm flipV="1">
          <a:off x="2733675" y="4567644"/>
          <a:ext cx="10531848" cy="16682"/>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24</xdr:row>
      <xdr:rowOff>45944</xdr:rowOff>
    </xdr:from>
    <xdr:to>
      <xdr:col>5</xdr:col>
      <xdr:colOff>1719541</xdr:colOff>
      <xdr:row>25</xdr:row>
      <xdr:rowOff>127186</xdr:rowOff>
    </xdr:to>
    <xdr:sp macro="" textlink="$J$44">
      <xdr:nvSpPr>
        <xdr:cNvPr id="25" name="TextBox 24">
          <a:extLst>
            <a:ext uri="{FF2B5EF4-FFF2-40B4-BE49-F238E27FC236}">
              <a16:creationId xmlns:a16="http://schemas.microsoft.com/office/drawing/2014/main" id="{F718A17E-5AAC-4CD8-8846-2676F26CC911}"/>
            </a:ext>
          </a:extLst>
        </xdr:cNvPr>
        <xdr:cNvSpPr txBox="1"/>
      </xdr:nvSpPr>
      <xdr:spPr>
        <a:xfrm>
          <a:off x="8352864"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6</xdr:col>
      <xdr:colOff>617444</xdr:colOff>
      <xdr:row>24</xdr:row>
      <xdr:rowOff>45944</xdr:rowOff>
    </xdr:from>
    <xdr:to>
      <xdr:col>7</xdr:col>
      <xdr:colOff>1150201</xdr:colOff>
      <xdr:row>25</xdr:row>
      <xdr:rowOff>127186</xdr:rowOff>
    </xdr:to>
    <xdr:sp macro="" textlink="$J$44">
      <xdr:nvSpPr>
        <xdr:cNvPr id="26" name="TextBox 25">
          <a:extLst>
            <a:ext uri="{FF2B5EF4-FFF2-40B4-BE49-F238E27FC236}">
              <a16:creationId xmlns:a16="http://schemas.microsoft.com/office/drawing/2014/main" id="{1391BBC0-89E5-4868-81CD-5472A82492D9}"/>
            </a:ext>
          </a:extLst>
        </xdr:cNvPr>
        <xdr:cNvSpPr txBox="1"/>
      </xdr:nvSpPr>
      <xdr:spPr>
        <a:xfrm>
          <a:off x="10837769" y="4970369"/>
          <a:ext cx="25806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5</xdr:col>
      <xdr:colOff>180414</xdr:colOff>
      <xdr:row>22</xdr:row>
      <xdr:rowOff>69476</xdr:rowOff>
    </xdr:from>
    <xdr:to>
      <xdr:col>5</xdr:col>
      <xdr:colOff>1719541</xdr:colOff>
      <xdr:row>23</xdr:row>
      <xdr:rowOff>149037</xdr:rowOff>
    </xdr:to>
    <xdr:sp macro="" textlink="$J$44">
      <xdr:nvSpPr>
        <xdr:cNvPr id="27" name="TextBox 26">
          <a:extLst>
            <a:ext uri="{FF2B5EF4-FFF2-40B4-BE49-F238E27FC236}">
              <a16:creationId xmlns:a16="http://schemas.microsoft.com/office/drawing/2014/main" id="{D5FE9366-3BFE-4C05-867A-F75650982CA9}"/>
            </a:ext>
          </a:extLst>
        </xdr:cNvPr>
        <xdr:cNvSpPr txBox="1"/>
      </xdr:nvSpPr>
      <xdr:spPr>
        <a:xfrm>
          <a:off x="8352864"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3</xdr:col>
      <xdr:colOff>9525</xdr:colOff>
      <xdr:row>23</xdr:row>
      <xdr:rowOff>168088</xdr:rowOff>
    </xdr:from>
    <xdr:to>
      <xdr:col>4</xdr:col>
      <xdr:colOff>1456765</xdr:colOff>
      <xdr:row>23</xdr:row>
      <xdr:rowOff>168088</xdr:rowOff>
    </xdr:to>
    <xdr:cxnSp macro="">
      <xdr:nvCxnSpPr>
        <xdr:cNvPr id="28" name="Straight Connector 27">
          <a:extLst>
            <a:ext uri="{FF2B5EF4-FFF2-40B4-BE49-F238E27FC236}">
              <a16:creationId xmlns:a16="http://schemas.microsoft.com/office/drawing/2014/main" id="{38B64D30-6D2F-48C3-9B60-4390BE526625}"/>
            </a:ext>
          </a:extLst>
        </xdr:cNvPr>
        <xdr:cNvCxnSpPr/>
      </xdr:nvCxnSpPr>
      <xdr:spPr>
        <a:xfrm>
          <a:off x="2686050" y="4892488"/>
          <a:ext cx="4895290"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5</xdr:col>
      <xdr:colOff>180414</xdr:colOff>
      <xdr:row>23</xdr:row>
      <xdr:rowOff>168088</xdr:rowOff>
    </xdr:from>
    <xdr:to>
      <xdr:col>7</xdr:col>
      <xdr:colOff>1006847</xdr:colOff>
      <xdr:row>23</xdr:row>
      <xdr:rowOff>168088</xdr:rowOff>
    </xdr:to>
    <xdr:cxnSp macro="">
      <xdr:nvCxnSpPr>
        <xdr:cNvPr id="29" name="Straight Connector 28">
          <a:extLst>
            <a:ext uri="{FF2B5EF4-FFF2-40B4-BE49-F238E27FC236}">
              <a16:creationId xmlns:a16="http://schemas.microsoft.com/office/drawing/2014/main" id="{BFBEA725-F1E3-47A3-9D66-D708641C5522}"/>
            </a:ext>
          </a:extLst>
        </xdr:cNvPr>
        <xdr:cNvCxnSpPr/>
      </xdr:nvCxnSpPr>
      <xdr:spPr>
        <a:xfrm>
          <a:off x="8352864" y="4892488"/>
          <a:ext cx="4922183"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3</xdr:col>
      <xdr:colOff>2333065</xdr:colOff>
      <xdr:row>16</xdr:row>
      <xdr:rowOff>49306</xdr:rowOff>
    </xdr:from>
    <xdr:ext cx="1689180" cy="254493"/>
    <xdr:sp macro="" textlink="">
      <xdr:nvSpPr>
        <xdr:cNvPr id="30" name="TextBox 29">
          <a:extLst>
            <a:ext uri="{FF2B5EF4-FFF2-40B4-BE49-F238E27FC236}">
              <a16:creationId xmlns:a16="http://schemas.microsoft.com/office/drawing/2014/main" id="{1B353C3F-EEA7-4767-9132-E360261D937D}"/>
            </a:ext>
          </a:extLst>
        </xdr:cNvPr>
        <xdr:cNvSpPr txBox="1"/>
      </xdr:nvSpPr>
      <xdr:spPr>
        <a:xfrm>
          <a:off x="5009590"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16</xdr:row>
      <xdr:rowOff>49306</xdr:rowOff>
    </xdr:from>
    <xdr:ext cx="1689180" cy="254493"/>
    <xdr:sp macro="" textlink="">
      <xdr:nvSpPr>
        <xdr:cNvPr id="31" name="TextBox 30">
          <a:extLst>
            <a:ext uri="{FF2B5EF4-FFF2-40B4-BE49-F238E27FC236}">
              <a16:creationId xmlns:a16="http://schemas.microsoft.com/office/drawing/2014/main" id="{87762194-2B12-44BC-B816-301BBCFA2F7E}"/>
            </a:ext>
          </a:extLst>
        </xdr:cNvPr>
        <xdr:cNvSpPr txBox="1"/>
      </xdr:nvSpPr>
      <xdr:spPr>
        <a:xfrm>
          <a:off x="8352864"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16</xdr:row>
      <xdr:rowOff>49306</xdr:rowOff>
    </xdr:from>
    <xdr:ext cx="1689180" cy="254493"/>
    <xdr:sp macro="" textlink="">
      <xdr:nvSpPr>
        <xdr:cNvPr id="32" name="TextBox 31">
          <a:extLst>
            <a:ext uri="{FF2B5EF4-FFF2-40B4-BE49-F238E27FC236}">
              <a16:creationId xmlns:a16="http://schemas.microsoft.com/office/drawing/2014/main" id="{AAED1EC9-FDD9-4C3D-A636-5F245C7CA707}"/>
            </a:ext>
          </a:extLst>
        </xdr:cNvPr>
        <xdr:cNvSpPr txBox="1"/>
      </xdr:nvSpPr>
      <xdr:spPr>
        <a:xfrm>
          <a:off x="10837769" y="3373531"/>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9525</xdr:colOff>
      <xdr:row>28</xdr:row>
      <xdr:rowOff>38660</xdr:rowOff>
    </xdr:from>
    <xdr:ext cx="1689180" cy="254493"/>
    <xdr:sp macro="" textlink="">
      <xdr:nvSpPr>
        <xdr:cNvPr id="33" name="TextBox 32">
          <a:extLst>
            <a:ext uri="{FF2B5EF4-FFF2-40B4-BE49-F238E27FC236}">
              <a16:creationId xmlns:a16="http://schemas.microsoft.com/office/drawing/2014/main" id="{014A040B-C88A-4270-8C26-7CA744A8C27B}"/>
            </a:ext>
          </a:extLst>
        </xdr:cNvPr>
        <xdr:cNvSpPr txBox="1"/>
      </xdr:nvSpPr>
      <xdr:spPr>
        <a:xfrm>
          <a:off x="2686050"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xdr:col>
      <xdr:colOff>2342590</xdr:colOff>
      <xdr:row>28</xdr:row>
      <xdr:rowOff>38660</xdr:rowOff>
    </xdr:from>
    <xdr:ext cx="1689180" cy="254493"/>
    <xdr:sp macro="" textlink="">
      <xdr:nvSpPr>
        <xdr:cNvPr id="34" name="TextBox 33">
          <a:extLst>
            <a:ext uri="{FF2B5EF4-FFF2-40B4-BE49-F238E27FC236}">
              <a16:creationId xmlns:a16="http://schemas.microsoft.com/office/drawing/2014/main" id="{9BD31057-8DED-461A-B7E7-EF42381BCD2B}"/>
            </a:ext>
          </a:extLst>
        </xdr:cNvPr>
        <xdr:cNvSpPr txBox="1"/>
      </xdr:nvSpPr>
      <xdr:spPr>
        <a:xfrm>
          <a:off x="5019115"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5</xdr:col>
      <xdr:colOff>180414</xdr:colOff>
      <xdr:row>28</xdr:row>
      <xdr:rowOff>38660</xdr:rowOff>
    </xdr:from>
    <xdr:ext cx="1689180" cy="254493"/>
    <xdr:sp macro="" textlink="">
      <xdr:nvSpPr>
        <xdr:cNvPr id="35" name="TextBox 34">
          <a:extLst>
            <a:ext uri="{FF2B5EF4-FFF2-40B4-BE49-F238E27FC236}">
              <a16:creationId xmlns:a16="http://schemas.microsoft.com/office/drawing/2014/main" id="{BDD590EC-73F4-4720-A28D-3D3C84B2383C}"/>
            </a:ext>
          </a:extLst>
        </xdr:cNvPr>
        <xdr:cNvSpPr txBox="1"/>
      </xdr:nvSpPr>
      <xdr:spPr>
        <a:xfrm>
          <a:off x="8352864"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6</xdr:col>
      <xdr:colOff>617444</xdr:colOff>
      <xdr:row>28</xdr:row>
      <xdr:rowOff>38660</xdr:rowOff>
    </xdr:from>
    <xdr:ext cx="1689180" cy="254493"/>
    <xdr:sp macro="" textlink="">
      <xdr:nvSpPr>
        <xdr:cNvPr id="36" name="TextBox 35">
          <a:extLst>
            <a:ext uri="{FF2B5EF4-FFF2-40B4-BE49-F238E27FC236}">
              <a16:creationId xmlns:a16="http://schemas.microsoft.com/office/drawing/2014/main" id="{A8DA6287-B255-4E1B-BFDE-A3ABED31B70B}"/>
            </a:ext>
          </a:extLst>
        </xdr:cNvPr>
        <xdr:cNvSpPr txBox="1"/>
      </xdr:nvSpPr>
      <xdr:spPr>
        <a:xfrm>
          <a:off x="10837769" y="5763185"/>
          <a:ext cx="1689180"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birds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3</xdr:col>
      <xdr:colOff>2371165</xdr:colOff>
      <xdr:row>25</xdr:row>
      <xdr:rowOff>155762</xdr:rowOff>
    </xdr:from>
    <xdr:to>
      <xdr:col>4</xdr:col>
      <xdr:colOff>875740</xdr:colOff>
      <xdr:row>28</xdr:row>
      <xdr:rowOff>108696</xdr:rowOff>
    </xdr:to>
    <xdr:sp macro="" textlink="$H$55">
      <xdr:nvSpPr>
        <xdr:cNvPr id="37" name="TextBox 36">
          <a:extLst>
            <a:ext uri="{FF2B5EF4-FFF2-40B4-BE49-F238E27FC236}">
              <a16:creationId xmlns:a16="http://schemas.microsoft.com/office/drawing/2014/main" id="{48B67803-470A-4840-A0B6-AA7EBEFF89C4}"/>
            </a:ext>
          </a:extLst>
        </xdr:cNvPr>
        <xdr:cNvSpPr txBox="1"/>
      </xdr:nvSpPr>
      <xdr:spPr>
        <a:xfrm>
          <a:off x="5047690" y="5280212"/>
          <a:ext cx="1952625"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325659CC-BF18-4027-9C39-6B59F0E2F578}"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6</xdr:col>
      <xdr:colOff>500341</xdr:colOff>
      <xdr:row>25</xdr:row>
      <xdr:rowOff>184337</xdr:rowOff>
    </xdr:from>
    <xdr:to>
      <xdr:col>7</xdr:col>
      <xdr:colOff>429745</xdr:colOff>
      <xdr:row>28</xdr:row>
      <xdr:rowOff>89646</xdr:rowOff>
    </xdr:to>
    <xdr:sp macro="" textlink="$I$55">
      <xdr:nvSpPr>
        <xdr:cNvPr id="38" name="TextBox 37">
          <a:extLst>
            <a:ext uri="{FF2B5EF4-FFF2-40B4-BE49-F238E27FC236}">
              <a16:creationId xmlns:a16="http://schemas.microsoft.com/office/drawing/2014/main" id="{3CEEF3AD-22FC-4524-8AAC-CB6290746354}"/>
            </a:ext>
          </a:extLst>
        </xdr:cNvPr>
        <xdr:cNvSpPr txBox="1"/>
      </xdr:nvSpPr>
      <xdr:spPr>
        <a:xfrm>
          <a:off x="10720666" y="5308787"/>
          <a:ext cx="1977279"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9E71E38-28CF-40B4-A787-CD2A933BF09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8</xdr:col>
      <xdr:colOff>619125</xdr:colOff>
      <xdr:row>14</xdr:row>
      <xdr:rowOff>71157</xdr:rowOff>
    </xdr:from>
    <xdr:to>
      <xdr:col>9</xdr:col>
      <xdr:colOff>440952</xdr:colOff>
      <xdr:row>16</xdr:row>
      <xdr:rowOff>144555</xdr:rowOff>
    </xdr:to>
    <xdr:sp macro="" textlink="$H$46">
      <xdr:nvSpPr>
        <xdr:cNvPr id="39" name="TextBox 38">
          <a:extLst>
            <a:ext uri="{FF2B5EF4-FFF2-40B4-BE49-F238E27FC236}">
              <a16:creationId xmlns:a16="http://schemas.microsoft.com/office/drawing/2014/main" id="{06A79968-A343-47E9-957F-999EDB875007}"/>
            </a:ext>
          </a:extLst>
        </xdr:cNvPr>
        <xdr:cNvSpPr txBox="1"/>
      </xdr:nvSpPr>
      <xdr:spPr>
        <a:xfrm>
          <a:off x="14935200" y="2995332"/>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1851327-1FB9-4A63-8F10-A94CCCBA0067}"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11</xdr:col>
      <xdr:colOff>156882</xdr:colOff>
      <xdr:row>14</xdr:row>
      <xdr:rowOff>42582</xdr:rowOff>
    </xdr:from>
    <xdr:to>
      <xdr:col>12</xdr:col>
      <xdr:colOff>19609</xdr:colOff>
      <xdr:row>16</xdr:row>
      <xdr:rowOff>144555</xdr:rowOff>
    </xdr:to>
    <xdr:sp macro="" textlink="$I$46">
      <xdr:nvSpPr>
        <xdr:cNvPr id="40" name="TextBox 39">
          <a:extLst>
            <a:ext uri="{FF2B5EF4-FFF2-40B4-BE49-F238E27FC236}">
              <a16:creationId xmlns:a16="http://schemas.microsoft.com/office/drawing/2014/main" id="{87FEF128-5F76-4826-ACB9-2CD12AF6BDF3}"/>
            </a:ext>
          </a:extLst>
        </xdr:cNvPr>
        <xdr:cNvSpPr txBox="1"/>
      </xdr:nvSpPr>
      <xdr:spPr>
        <a:xfrm>
          <a:off x="20616582" y="2966757"/>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03962E4-A836-4FA9-BB10-880CFFC16D77}"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25</xdr:row>
      <xdr:rowOff>155762</xdr:rowOff>
    </xdr:from>
    <xdr:to>
      <xdr:col>9</xdr:col>
      <xdr:colOff>526677</xdr:colOff>
      <xdr:row>28</xdr:row>
      <xdr:rowOff>108696</xdr:rowOff>
    </xdr:to>
    <xdr:sp macro="" textlink="$H$56">
      <xdr:nvSpPr>
        <xdr:cNvPr id="41" name="TextBox 40">
          <a:extLst>
            <a:ext uri="{FF2B5EF4-FFF2-40B4-BE49-F238E27FC236}">
              <a16:creationId xmlns:a16="http://schemas.microsoft.com/office/drawing/2014/main" id="{E9FA52E2-575B-4C56-ADCB-73565977DD51}"/>
            </a:ext>
          </a:extLst>
        </xdr:cNvPr>
        <xdr:cNvSpPr txBox="1"/>
      </xdr:nvSpPr>
      <xdr:spPr>
        <a:xfrm>
          <a:off x="14935200" y="5280212"/>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956E299-F16B-458E-B683-AA1917292255}"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11</xdr:col>
      <xdr:colOff>156882</xdr:colOff>
      <xdr:row>25</xdr:row>
      <xdr:rowOff>184337</xdr:rowOff>
    </xdr:from>
    <xdr:to>
      <xdr:col>12</xdr:col>
      <xdr:colOff>86284</xdr:colOff>
      <xdr:row>28</xdr:row>
      <xdr:rowOff>89646</xdr:rowOff>
    </xdr:to>
    <xdr:sp macro="" textlink="$I$56">
      <xdr:nvSpPr>
        <xdr:cNvPr id="42" name="TextBox 41">
          <a:extLst>
            <a:ext uri="{FF2B5EF4-FFF2-40B4-BE49-F238E27FC236}">
              <a16:creationId xmlns:a16="http://schemas.microsoft.com/office/drawing/2014/main" id="{A85AC178-A8FE-436B-A923-A0DF381EC5F3}"/>
            </a:ext>
          </a:extLst>
        </xdr:cNvPr>
        <xdr:cNvSpPr txBox="1"/>
      </xdr:nvSpPr>
      <xdr:spPr>
        <a:xfrm>
          <a:off x="20616582" y="5308787"/>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C43DCE5-DF98-499D-979B-E75843FD1E2F}"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9</xdr:col>
      <xdr:colOff>903754</xdr:colOff>
      <xdr:row>14</xdr:row>
      <xdr:rowOff>33057</xdr:rowOff>
    </xdr:from>
    <xdr:to>
      <xdr:col>10</xdr:col>
      <xdr:colOff>1214158</xdr:colOff>
      <xdr:row>16</xdr:row>
      <xdr:rowOff>144555</xdr:rowOff>
    </xdr:to>
    <xdr:sp macro="" textlink="$H$47">
      <xdr:nvSpPr>
        <xdr:cNvPr id="43" name="TextBox 42">
          <a:extLst>
            <a:ext uri="{FF2B5EF4-FFF2-40B4-BE49-F238E27FC236}">
              <a16:creationId xmlns:a16="http://schemas.microsoft.com/office/drawing/2014/main" id="{F03DF4FC-B0C4-4C3C-ABF8-C9A9263AB614}"/>
            </a:ext>
          </a:extLst>
        </xdr:cNvPr>
        <xdr:cNvSpPr txBox="1"/>
      </xdr:nvSpPr>
      <xdr:spPr>
        <a:xfrm>
          <a:off x="17267704" y="2957232"/>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60ABB662-5EEC-40EE-9C89-5AE4A9E7D29C}"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12</xdr:col>
      <xdr:colOff>593912</xdr:colOff>
      <xdr:row>14</xdr:row>
      <xdr:rowOff>61632</xdr:rowOff>
    </xdr:from>
    <xdr:to>
      <xdr:col>13</xdr:col>
      <xdr:colOff>434789</xdr:colOff>
      <xdr:row>16</xdr:row>
      <xdr:rowOff>144555</xdr:rowOff>
    </xdr:to>
    <xdr:sp macro="" textlink="$I$47">
      <xdr:nvSpPr>
        <xdr:cNvPr id="44" name="TextBox 43">
          <a:extLst>
            <a:ext uri="{FF2B5EF4-FFF2-40B4-BE49-F238E27FC236}">
              <a16:creationId xmlns:a16="http://schemas.microsoft.com/office/drawing/2014/main" id="{B9BC03BE-C840-4A9F-BF3C-E56EF4AE3520}"/>
            </a:ext>
          </a:extLst>
        </xdr:cNvPr>
        <xdr:cNvSpPr txBox="1"/>
      </xdr:nvSpPr>
      <xdr:spPr>
        <a:xfrm>
          <a:off x="23101487" y="2985807"/>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18238A81-1112-4210-9014-FD7E952D0919}"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8</xdr:col>
      <xdr:colOff>619125</xdr:colOff>
      <xdr:row>12</xdr:row>
      <xdr:rowOff>150158</xdr:rowOff>
    </xdr:from>
    <xdr:to>
      <xdr:col>9</xdr:col>
      <xdr:colOff>107577</xdr:colOff>
      <xdr:row>14</xdr:row>
      <xdr:rowOff>33056</xdr:rowOff>
    </xdr:to>
    <xdr:sp macro="" textlink="$J$44">
      <xdr:nvSpPr>
        <xdr:cNvPr id="45" name="TextBox 44">
          <a:extLst>
            <a:ext uri="{FF2B5EF4-FFF2-40B4-BE49-F238E27FC236}">
              <a16:creationId xmlns:a16="http://schemas.microsoft.com/office/drawing/2014/main" id="{0E20E1D2-2B5C-4DB2-8518-71C3789EC7E5}"/>
            </a:ext>
          </a:extLst>
        </xdr:cNvPr>
        <xdr:cNvSpPr txBox="1"/>
      </xdr:nvSpPr>
      <xdr:spPr>
        <a:xfrm>
          <a:off x="14935200" y="2674283"/>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9</xdr:col>
      <xdr:colOff>903754</xdr:colOff>
      <xdr:row>12</xdr:row>
      <xdr:rowOff>150158</xdr:rowOff>
    </xdr:from>
    <xdr:to>
      <xdr:col>10</xdr:col>
      <xdr:colOff>1433711</xdr:colOff>
      <xdr:row>14</xdr:row>
      <xdr:rowOff>33056</xdr:rowOff>
    </xdr:to>
    <xdr:sp macro="" textlink="$J$44">
      <xdr:nvSpPr>
        <xdr:cNvPr id="46" name="TextBox 45">
          <a:extLst>
            <a:ext uri="{FF2B5EF4-FFF2-40B4-BE49-F238E27FC236}">
              <a16:creationId xmlns:a16="http://schemas.microsoft.com/office/drawing/2014/main" id="{4E5FDF6B-386F-464F-89BA-ADBFDA2C3E39}"/>
            </a:ext>
          </a:extLst>
        </xdr:cNvPr>
        <xdr:cNvSpPr txBox="1"/>
      </xdr:nvSpPr>
      <xdr:spPr>
        <a:xfrm>
          <a:off x="17267704" y="2674283"/>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8</xdr:col>
      <xdr:colOff>619125</xdr:colOff>
      <xdr:row>10</xdr:row>
      <xdr:rowOff>172010</xdr:rowOff>
    </xdr:from>
    <xdr:to>
      <xdr:col>9</xdr:col>
      <xdr:colOff>107577</xdr:colOff>
      <xdr:row>12</xdr:row>
      <xdr:rowOff>54907</xdr:rowOff>
    </xdr:to>
    <xdr:sp macro="" textlink="$J$44">
      <xdr:nvSpPr>
        <xdr:cNvPr id="47" name="TextBox 46">
          <a:extLst>
            <a:ext uri="{FF2B5EF4-FFF2-40B4-BE49-F238E27FC236}">
              <a16:creationId xmlns:a16="http://schemas.microsoft.com/office/drawing/2014/main" id="{30A6A9A1-0600-4C2A-BEF9-25BCF7D053B0}"/>
            </a:ext>
          </a:extLst>
        </xdr:cNvPr>
        <xdr:cNvSpPr txBox="1"/>
      </xdr:nvSpPr>
      <xdr:spPr>
        <a:xfrm>
          <a:off x="14935200" y="2296085"/>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8</xdr:col>
      <xdr:colOff>657225</xdr:colOff>
      <xdr:row>8</xdr:row>
      <xdr:rowOff>174812</xdr:rowOff>
    </xdr:from>
    <xdr:to>
      <xdr:col>9</xdr:col>
      <xdr:colOff>798979</xdr:colOff>
      <xdr:row>10</xdr:row>
      <xdr:rowOff>143435</xdr:rowOff>
    </xdr:to>
    <xdr:sp macro="" textlink="">
      <xdr:nvSpPr>
        <xdr:cNvPr id="48" name="TextBox 47">
          <a:extLst>
            <a:ext uri="{FF2B5EF4-FFF2-40B4-BE49-F238E27FC236}">
              <a16:creationId xmlns:a16="http://schemas.microsoft.com/office/drawing/2014/main" id="{E0BFA7CF-30B9-49C5-94B8-46066A33642A}"/>
            </a:ext>
          </a:extLst>
        </xdr:cNvPr>
        <xdr:cNvSpPr txBox="1"/>
      </xdr:nvSpPr>
      <xdr:spPr>
        <a:xfrm>
          <a:off x="14973300" y="1898837"/>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8</xdr:col>
      <xdr:colOff>666750</xdr:colOff>
      <xdr:row>10</xdr:row>
      <xdr:rowOff>148900</xdr:rowOff>
    </xdr:from>
    <xdr:to>
      <xdr:col>14</xdr:col>
      <xdr:colOff>447675</xdr:colOff>
      <xdr:row>10</xdr:row>
      <xdr:rowOff>162485</xdr:rowOff>
    </xdr:to>
    <xdr:cxnSp macro="">
      <xdr:nvCxnSpPr>
        <xdr:cNvPr id="49" name="Straight Connector 48">
          <a:extLst>
            <a:ext uri="{FF2B5EF4-FFF2-40B4-BE49-F238E27FC236}">
              <a16:creationId xmlns:a16="http://schemas.microsoft.com/office/drawing/2014/main" id="{FC6F194F-AD0D-42E3-9F8A-F06B07808247}"/>
            </a:ext>
          </a:extLst>
        </xdr:cNvPr>
        <xdr:cNvCxnSpPr/>
      </xdr:nvCxnSpPr>
      <xdr:spPr>
        <a:xfrm flipV="1">
          <a:off x="14982825" y="2272975"/>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150158</xdr:rowOff>
    </xdr:from>
    <xdr:to>
      <xdr:col>11</xdr:col>
      <xdr:colOff>1696009</xdr:colOff>
      <xdr:row>14</xdr:row>
      <xdr:rowOff>33056</xdr:rowOff>
    </xdr:to>
    <xdr:sp macro="" textlink="$J$44">
      <xdr:nvSpPr>
        <xdr:cNvPr id="50" name="TextBox 49">
          <a:extLst>
            <a:ext uri="{FF2B5EF4-FFF2-40B4-BE49-F238E27FC236}">
              <a16:creationId xmlns:a16="http://schemas.microsoft.com/office/drawing/2014/main" id="{CAA51722-00E3-4D47-B270-7E9443D62D10}"/>
            </a:ext>
          </a:extLst>
        </xdr:cNvPr>
        <xdr:cNvSpPr txBox="1"/>
      </xdr:nvSpPr>
      <xdr:spPr>
        <a:xfrm>
          <a:off x="20616582" y="2674283"/>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12</xdr:col>
      <xdr:colOff>593912</xdr:colOff>
      <xdr:row>12</xdr:row>
      <xdr:rowOff>150158</xdr:rowOff>
    </xdr:from>
    <xdr:to>
      <xdr:col>16</xdr:col>
      <xdr:colOff>483451</xdr:colOff>
      <xdr:row>14</xdr:row>
      <xdr:rowOff>33056</xdr:rowOff>
    </xdr:to>
    <xdr:sp macro="" textlink="$J$44">
      <xdr:nvSpPr>
        <xdr:cNvPr id="51" name="TextBox 50">
          <a:extLst>
            <a:ext uri="{FF2B5EF4-FFF2-40B4-BE49-F238E27FC236}">
              <a16:creationId xmlns:a16="http://schemas.microsoft.com/office/drawing/2014/main" id="{9A4D89AA-4DAE-42E0-9BBE-15B4511A8DB3}"/>
            </a:ext>
          </a:extLst>
        </xdr:cNvPr>
        <xdr:cNvSpPr txBox="1"/>
      </xdr:nvSpPr>
      <xdr:spPr>
        <a:xfrm>
          <a:off x="23101487" y="2674283"/>
          <a:ext cx="2547014"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11</xdr:col>
      <xdr:colOff>156882</xdr:colOff>
      <xdr:row>10</xdr:row>
      <xdr:rowOff>172010</xdr:rowOff>
    </xdr:from>
    <xdr:to>
      <xdr:col>11</xdr:col>
      <xdr:colOff>1696009</xdr:colOff>
      <xdr:row>12</xdr:row>
      <xdr:rowOff>54907</xdr:rowOff>
    </xdr:to>
    <xdr:sp macro="" textlink="$J$44">
      <xdr:nvSpPr>
        <xdr:cNvPr id="52" name="TextBox 51">
          <a:extLst>
            <a:ext uri="{FF2B5EF4-FFF2-40B4-BE49-F238E27FC236}">
              <a16:creationId xmlns:a16="http://schemas.microsoft.com/office/drawing/2014/main" id="{2291CF9D-F346-4E41-9B29-0357F54411D4}"/>
            </a:ext>
          </a:extLst>
        </xdr:cNvPr>
        <xdr:cNvSpPr txBox="1"/>
      </xdr:nvSpPr>
      <xdr:spPr>
        <a:xfrm>
          <a:off x="20616582" y="2296085"/>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12</xdr:row>
      <xdr:rowOff>73958</xdr:rowOff>
    </xdr:from>
    <xdr:to>
      <xdr:col>10</xdr:col>
      <xdr:colOff>1404658</xdr:colOff>
      <xdr:row>12</xdr:row>
      <xdr:rowOff>73958</xdr:rowOff>
    </xdr:to>
    <xdr:cxnSp macro="">
      <xdr:nvCxnSpPr>
        <xdr:cNvPr id="53" name="Straight Connector 52">
          <a:extLst>
            <a:ext uri="{FF2B5EF4-FFF2-40B4-BE49-F238E27FC236}">
              <a16:creationId xmlns:a16="http://schemas.microsoft.com/office/drawing/2014/main" id="{27F6FC0D-7975-4848-94A7-5DA27AAA09B4}"/>
            </a:ext>
          </a:extLst>
        </xdr:cNvPr>
        <xdr:cNvCxnSpPr/>
      </xdr:nvCxnSpPr>
      <xdr:spPr>
        <a:xfrm>
          <a:off x="14935200" y="2598083"/>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12</xdr:row>
      <xdr:rowOff>73958</xdr:rowOff>
    </xdr:from>
    <xdr:to>
      <xdr:col>14</xdr:col>
      <xdr:colOff>457200</xdr:colOff>
      <xdr:row>12</xdr:row>
      <xdr:rowOff>73958</xdr:rowOff>
    </xdr:to>
    <xdr:cxnSp macro="">
      <xdr:nvCxnSpPr>
        <xdr:cNvPr id="54" name="Straight Connector 53">
          <a:extLst>
            <a:ext uri="{FF2B5EF4-FFF2-40B4-BE49-F238E27FC236}">
              <a16:creationId xmlns:a16="http://schemas.microsoft.com/office/drawing/2014/main" id="{E47C32BA-7C0F-4B0B-8CB8-BCD57BF802FD}"/>
            </a:ext>
          </a:extLst>
        </xdr:cNvPr>
        <xdr:cNvCxnSpPr/>
      </xdr:nvCxnSpPr>
      <xdr:spPr>
        <a:xfrm>
          <a:off x="20616582" y="2598083"/>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619125</xdr:colOff>
      <xdr:row>24</xdr:row>
      <xdr:rowOff>45944</xdr:rowOff>
    </xdr:from>
    <xdr:to>
      <xdr:col>9</xdr:col>
      <xdr:colOff>107577</xdr:colOff>
      <xdr:row>25</xdr:row>
      <xdr:rowOff>127186</xdr:rowOff>
    </xdr:to>
    <xdr:sp macro="" textlink="$J$44">
      <xdr:nvSpPr>
        <xdr:cNvPr id="55" name="TextBox 54">
          <a:extLst>
            <a:ext uri="{FF2B5EF4-FFF2-40B4-BE49-F238E27FC236}">
              <a16:creationId xmlns:a16="http://schemas.microsoft.com/office/drawing/2014/main" id="{C2457FCE-1335-464A-888C-6A753098490A}"/>
            </a:ext>
          </a:extLst>
        </xdr:cNvPr>
        <xdr:cNvSpPr txBox="1"/>
      </xdr:nvSpPr>
      <xdr:spPr>
        <a:xfrm>
          <a:off x="14935200" y="4970369"/>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9</xdr:col>
      <xdr:colOff>989001</xdr:colOff>
      <xdr:row>24</xdr:row>
      <xdr:rowOff>45944</xdr:rowOff>
    </xdr:from>
    <xdr:to>
      <xdr:col>10</xdr:col>
      <xdr:colOff>1518958</xdr:colOff>
      <xdr:row>25</xdr:row>
      <xdr:rowOff>127186</xdr:rowOff>
    </xdr:to>
    <xdr:sp macro="" textlink="$J$44">
      <xdr:nvSpPr>
        <xdr:cNvPr id="56" name="TextBox 55">
          <a:extLst>
            <a:ext uri="{FF2B5EF4-FFF2-40B4-BE49-F238E27FC236}">
              <a16:creationId xmlns:a16="http://schemas.microsoft.com/office/drawing/2014/main" id="{B1549C1D-0B81-4337-863B-59058DBE5144}"/>
            </a:ext>
          </a:extLst>
        </xdr:cNvPr>
        <xdr:cNvSpPr txBox="1"/>
      </xdr:nvSpPr>
      <xdr:spPr>
        <a:xfrm>
          <a:off x="17352951" y="4970369"/>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8</xdr:col>
      <xdr:colOff>619125</xdr:colOff>
      <xdr:row>22</xdr:row>
      <xdr:rowOff>69476</xdr:rowOff>
    </xdr:from>
    <xdr:to>
      <xdr:col>9</xdr:col>
      <xdr:colOff>107577</xdr:colOff>
      <xdr:row>23</xdr:row>
      <xdr:rowOff>149037</xdr:rowOff>
    </xdr:to>
    <xdr:sp macro="" textlink="$J$44">
      <xdr:nvSpPr>
        <xdr:cNvPr id="57" name="TextBox 56">
          <a:extLst>
            <a:ext uri="{FF2B5EF4-FFF2-40B4-BE49-F238E27FC236}">
              <a16:creationId xmlns:a16="http://schemas.microsoft.com/office/drawing/2014/main" id="{FE957AF1-3E34-49B8-8284-5F241DD6754F}"/>
            </a:ext>
          </a:extLst>
        </xdr:cNvPr>
        <xdr:cNvSpPr txBox="1"/>
      </xdr:nvSpPr>
      <xdr:spPr>
        <a:xfrm>
          <a:off x="14935200" y="4593851"/>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8</xdr:col>
      <xdr:colOff>619125</xdr:colOff>
      <xdr:row>16</xdr:row>
      <xdr:rowOff>49306</xdr:rowOff>
    </xdr:from>
    <xdr:ext cx="1657698" cy="254493"/>
    <xdr:sp macro="" textlink="">
      <xdr:nvSpPr>
        <xdr:cNvPr id="58" name="TextBox 57">
          <a:extLst>
            <a:ext uri="{FF2B5EF4-FFF2-40B4-BE49-F238E27FC236}">
              <a16:creationId xmlns:a16="http://schemas.microsoft.com/office/drawing/2014/main" id="{8018A076-4230-44F6-AC4D-B2C611A5CCC6}"/>
            </a:ext>
          </a:extLst>
        </xdr:cNvPr>
        <xdr:cNvSpPr txBox="1"/>
      </xdr:nvSpPr>
      <xdr:spPr>
        <a:xfrm>
          <a:off x="14935200"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8</xdr:col>
      <xdr:colOff>657225</xdr:colOff>
      <xdr:row>20</xdr:row>
      <xdr:rowOff>72277</xdr:rowOff>
    </xdr:from>
    <xdr:to>
      <xdr:col>9</xdr:col>
      <xdr:colOff>798979</xdr:colOff>
      <xdr:row>22</xdr:row>
      <xdr:rowOff>39220</xdr:rowOff>
    </xdr:to>
    <xdr:sp macro="" textlink="">
      <xdr:nvSpPr>
        <xdr:cNvPr id="59" name="TextBox 58">
          <a:extLst>
            <a:ext uri="{FF2B5EF4-FFF2-40B4-BE49-F238E27FC236}">
              <a16:creationId xmlns:a16="http://schemas.microsoft.com/office/drawing/2014/main" id="{B5895CE6-9EFB-401A-84F5-D1D08E220504}"/>
            </a:ext>
          </a:extLst>
        </xdr:cNvPr>
        <xdr:cNvSpPr txBox="1"/>
      </xdr:nvSpPr>
      <xdr:spPr>
        <a:xfrm>
          <a:off x="14973300" y="4196602"/>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8</xdr:col>
      <xdr:colOff>666750</xdr:colOff>
      <xdr:row>22</xdr:row>
      <xdr:rowOff>44768</xdr:rowOff>
    </xdr:from>
    <xdr:to>
      <xdr:col>14</xdr:col>
      <xdr:colOff>495300</xdr:colOff>
      <xdr:row>22</xdr:row>
      <xdr:rowOff>59951</xdr:rowOff>
    </xdr:to>
    <xdr:cxnSp macro="">
      <xdr:nvCxnSpPr>
        <xdr:cNvPr id="60" name="Straight Connector 59">
          <a:extLst>
            <a:ext uri="{FF2B5EF4-FFF2-40B4-BE49-F238E27FC236}">
              <a16:creationId xmlns:a16="http://schemas.microsoft.com/office/drawing/2014/main" id="{31AB1B0E-DA92-4A29-8138-18836AFC625B}"/>
            </a:ext>
          </a:extLst>
        </xdr:cNvPr>
        <xdr:cNvCxnSpPr/>
      </xdr:nvCxnSpPr>
      <xdr:spPr>
        <a:xfrm flipV="1">
          <a:off x="14982825" y="4569143"/>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24</xdr:row>
      <xdr:rowOff>45944</xdr:rowOff>
    </xdr:from>
    <xdr:to>
      <xdr:col>11</xdr:col>
      <xdr:colOff>1696009</xdr:colOff>
      <xdr:row>25</xdr:row>
      <xdr:rowOff>127186</xdr:rowOff>
    </xdr:to>
    <xdr:sp macro="" textlink="$J$44">
      <xdr:nvSpPr>
        <xdr:cNvPr id="61" name="TextBox 60">
          <a:extLst>
            <a:ext uri="{FF2B5EF4-FFF2-40B4-BE49-F238E27FC236}">
              <a16:creationId xmlns:a16="http://schemas.microsoft.com/office/drawing/2014/main" id="{052C57AD-F5BE-4024-8EFD-5794965A3B59}"/>
            </a:ext>
          </a:extLst>
        </xdr:cNvPr>
        <xdr:cNvSpPr txBox="1"/>
      </xdr:nvSpPr>
      <xdr:spPr>
        <a:xfrm>
          <a:off x="20616582" y="4970369"/>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11</xdr:col>
      <xdr:colOff>156882</xdr:colOff>
      <xdr:row>22</xdr:row>
      <xdr:rowOff>69476</xdr:rowOff>
    </xdr:from>
    <xdr:to>
      <xdr:col>11</xdr:col>
      <xdr:colOff>1696009</xdr:colOff>
      <xdr:row>23</xdr:row>
      <xdr:rowOff>149037</xdr:rowOff>
    </xdr:to>
    <xdr:sp macro="" textlink="$J$44">
      <xdr:nvSpPr>
        <xdr:cNvPr id="62" name="TextBox 61">
          <a:extLst>
            <a:ext uri="{FF2B5EF4-FFF2-40B4-BE49-F238E27FC236}">
              <a16:creationId xmlns:a16="http://schemas.microsoft.com/office/drawing/2014/main" id="{73118114-86B4-4819-B5D7-9A7877CB1111}"/>
            </a:ext>
          </a:extLst>
        </xdr:cNvPr>
        <xdr:cNvSpPr txBox="1"/>
      </xdr:nvSpPr>
      <xdr:spPr>
        <a:xfrm>
          <a:off x="20616582" y="4593851"/>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8</xdr:col>
      <xdr:colOff>619125</xdr:colOff>
      <xdr:row>23</xdr:row>
      <xdr:rowOff>168088</xdr:rowOff>
    </xdr:from>
    <xdr:to>
      <xdr:col>10</xdr:col>
      <xdr:colOff>1433233</xdr:colOff>
      <xdr:row>23</xdr:row>
      <xdr:rowOff>168088</xdr:rowOff>
    </xdr:to>
    <xdr:cxnSp macro="">
      <xdr:nvCxnSpPr>
        <xdr:cNvPr id="63" name="Straight Connector 62">
          <a:extLst>
            <a:ext uri="{FF2B5EF4-FFF2-40B4-BE49-F238E27FC236}">
              <a16:creationId xmlns:a16="http://schemas.microsoft.com/office/drawing/2014/main" id="{9362D316-208B-47AC-8180-818BAB6A9FF0}"/>
            </a:ext>
          </a:extLst>
        </xdr:cNvPr>
        <xdr:cNvCxnSpPr/>
      </xdr:nvCxnSpPr>
      <xdr:spPr>
        <a:xfrm>
          <a:off x="14935200" y="4892488"/>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11</xdr:col>
      <xdr:colOff>156882</xdr:colOff>
      <xdr:row>23</xdr:row>
      <xdr:rowOff>168088</xdr:rowOff>
    </xdr:from>
    <xdr:to>
      <xdr:col>14</xdr:col>
      <xdr:colOff>514350</xdr:colOff>
      <xdr:row>23</xdr:row>
      <xdr:rowOff>168088</xdr:rowOff>
    </xdr:to>
    <xdr:cxnSp macro="">
      <xdr:nvCxnSpPr>
        <xdr:cNvPr id="64" name="Straight Connector 63">
          <a:extLst>
            <a:ext uri="{FF2B5EF4-FFF2-40B4-BE49-F238E27FC236}">
              <a16:creationId xmlns:a16="http://schemas.microsoft.com/office/drawing/2014/main" id="{410F0CE1-6870-4E52-B057-FDCE7B54B6C7}"/>
            </a:ext>
          </a:extLst>
        </xdr:cNvPr>
        <xdr:cNvCxnSpPr/>
      </xdr:nvCxnSpPr>
      <xdr:spPr>
        <a:xfrm>
          <a:off x="20616582" y="4892488"/>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9</xdr:col>
      <xdr:colOff>903754</xdr:colOff>
      <xdr:row>16</xdr:row>
      <xdr:rowOff>49306</xdr:rowOff>
    </xdr:from>
    <xdr:ext cx="1657698" cy="254493"/>
    <xdr:sp macro="" textlink="">
      <xdr:nvSpPr>
        <xdr:cNvPr id="65" name="TextBox 64">
          <a:extLst>
            <a:ext uri="{FF2B5EF4-FFF2-40B4-BE49-F238E27FC236}">
              <a16:creationId xmlns:a16="http://schemas.microsoft.com/office/drawing/2014/main" id="{07851F2D-4B2D-4D89-9AB3-9F6916A260EA}"/>
            </a:ext>
          </a:extLst>
        </xdr:cNvPr>
        <xdr:cNvSpPr txBox="1"/>
      </xdr:nvSpPr>
      <xdr:spPr>
        <a:xfrm>
          <a:off x="17267704"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16</xdr:row>
      <xdr:rowOff>49306</xdr:rowOff>
    </xdr:from>
    <xdr:ext cx="1657698" cy="254493"/>
    <xdr:sp macro="" textlink="">
      <xdr:nvSpPr>
        <xdr:cNvPr id="66" name="TextBox 65">
          <a:extLst>
            <a:ext uri="{FF2B5EF4-FFF2-40B4-BE49-F238E27FC236}">
              <a16:creationId xmlns:a16="http://schemas.microsoft.com/office/drawing/2014/main" id="{52CEC779-E6E8-4985-B92E-43B55A7D33A1}"/>
            </a:ext>
          </a:extLst>
        </xdr:cNvPr>
        <xdr:cNvSpPr txBox="1"/>
      </xdr:nvSpPr>
      <xdr:spPr>
        <a:xfrm>
          <a:off x="20616582"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12</xdr:col>
      <xdr:colOff>593912</xdr:colOff>
      <xdr:row>16</xdr:row>
      <xdr:rowOff>49306</xdr:rowOff>
    </xdr:from>
    <xdr:ext cx="1657698" cy="254493"/>
    <xdr:sp macro="" textlink="">
      <xdr:nvSpPr>
        <xdr:cNvPr id="67" name="TextBox 66">
          <a:extLst>
            <a:ext uri="{FF2B5EF4-FFF2-40B4-BE49-F238E27FC236}">
              <a16:creationId xmlns:a16="http://schemas.microsoft.com/office/drawing/2014/main" id="{FAD87E48-EA22-47A6-99BB-D8C013B5CFC9}"/>
            </a:ext>
          </a:extLst>
        </xdr:cNvPr>
        <xdr:cNvSpPr txBox="1"/>
      </xdr:nvSpPr>
      <xdr:spPr>
        <a:xfrm>
          <a:off x="23101487" y="3373531"/>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8</xdr:col>
      <xdr:colOff>619125</xdr:colOff>
      <xdr:row>28</xdr:row>
      <xdr:rowOff>38660</xdr:rowOff>
    </xdr:from>
    <xdr:ext cx="1657698" cy="254493"/>
    <xdr:sp macro="" textlink="">
      <xdr:nvSpPr>
        <xdr:cNvPr id="68" name="TextBox 67">
          <a:extLst>
            <a:ext uri="{FF2B5EF4-FFF2-40B4-BE49-F238E27FC236}">
              <a16:creationId xmlns:a16="http://schemas.microsoft.com/office/drawing/2014/main" id="{2EAA6F5C-6F7B-40F9-811A-D6E1888403C8}"/>
            </a:ext>
          </a:extLst>
        </xdr:cNvPr>
        <xdr:cNvSpPr txBox="1"/>
      </xdr:nvSpPr>
      <xdr:spPr>
        <a:xfrm>
          <a:off x="14935200"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9</xdr:col>
      <xdr:colOff>913279</xdr:colOff>
      <xdr:row>28</xdr:row>
      <xdr:rowOff>38660</xdr:rowOff>
    </xdr:from>
    <xdr:ext cx="1657698" cy="254493"/>
    <xdr:sp macro="" textlink="">
      <xdr:nvSpPr>
        <xdr:cNvPr id="69" name="TextBox 68">
          <a:extLst>
            <a:ext uri="{FF2B5EF4-FFF2-40B4-BE49-F238E27FC236}">
              <a16:creationId xmlns:a16="http://schemas.microsoft.com/office/drawing/2014/main" id="{F9068E14-ACE0-4CAD-AECE-0BFE16200958}"/>
            </a:ext>
          </a:extLst>
        </xdr:cNvPr>
        <xdr:cNvSpPr txBox="1"/>
      </xdr:nvSpPr>
      <xdr:spPr>
        <a:xfrm>
          <a:off x="17277229"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eggs sold </a:t>
          </a:r>
        </a:p>
      </xdr:txBody>
    </xdr:sp>
    <xdr:clientData/>
  </xdr:oneCellAnchor>
  <xdr:oneCellAnchor>
    <xdr:from>
      <xdr:col>11</xdr:col>
      <xdr:colOff>156882</xdr:colOff>
      <xdr:row>28</xdr:row>
      <xdr:rowOff>38660</xdr:rowOff>
    </xdr:from>
    <xdr:ext cx="1657698" cy="254493"/>
    <xdr:sp macro="" textlink="">
      <xdr:nvSpPr>
        <xdr:cNvPr id="70" name="TextBox 69">
          <a:extLst>
            <a:ext uri="{FF2B5EF4-FFF2-40B4-BE49-F238E27FC236}">
              <a16:creationId xmlns:a16="http://schemas.microsoft.com/office/drawing/2014/main" id="{E7C7D547-8ECA-4F8C-8903-C11288BE087A}"/>
            </a:ext>
          </a:extLst>
        </xdr:cNvPr>
        <xdr:cNvSpPr txBox="1"/>
      </xdr:nvSpPr>
      <xdr:spPr>
        <a:xfrm>
          <a:off x="20616582" y="5763185"/>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12</xdr:col>
      <xdr:colOff>660587</xdr:colOff>
      <xdr:row>28</xdr:row>
      <xdr:rowOff>29135</xdr:rowOff>
    </xdr:from>
    <xdr:ext cx="1657698" cy="254493"/>
    <xdr:sp macro="" textlink="">
      <xdr:nvSpPr>
        <xdr:cNvPr id="71" name="TextBox 70">
          <a:extLst>
            <a:ext uri="{FF2B5EF4-FFF2-40B4-BE49-F238E27FC236}">
              <a16:creationId xmlns:a16="http://schemas.microsoft.com/office/drawing/2014/main" id="{D0CF1DF7-7292-4165-8711-509C773EDAE4}"/>
            </a:ext>
          </a:extLst>
        </xdr:cNvPr>
        <xdr:cNvSpPr txBox="1"/>
      </xdr:nvSpPr>
      <xdr:spPr>
        <a:xfrm>
          <a:off x="23168162" y="5753660"/>
          <a:ext cx="1657698"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eggs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9</xdr:col>
      <xdr:colOff>941854</xdr:colOff>
      <xdr:row>25</xdr:row>
      <xdr:rowOff>155762</xdr:rowOff>
    </xdr:from>
    <xdr:to>
      <xdr:col>10</xdr:col>
      <xdr:colOff>852208</xdr:colOff>
      <xdr:row>28</xdr:row>
      <xdr:rowOff>108696</xdr:rowOff>
    </xdr:to>
    <xdr:sp macro="" textlink="$H$57">
      <xdr:nvSpPr>
        <xdr:cNvPr id="72" name="TextBox 71">
          <a:extLst>
            <a:ext uri="{FF2B5EF4-FFF2-40B4-BE49-F238E27FC236}">
              <a16:creationId xmlns:a16="http://schemas.microsoft.com/office/drawing/2014/main" id="{BE557F85-4062-4FB4-81F7-E131505EA05A}"/>
            </a:ext>
          </a:extLst>
        </xdr:cNvPr>
        <xdr:cNvSpPr txBox="1"/>
      </xdr:nvSpPr>
      <xdr:spPr>
        <a:xfrm>
          <a:off x="17305804" y="5280212"/>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5CA4F8D1-429B-4188-AF17-C4AD268BD823}"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12</xdr:col>
      <xdr:colOff>651061</xdr:colOff>
      <xdr:row>25</xdr:row>
      <xdr:rowOff>174812</xdr:rowOff>
    </xdr:from>
    <xdr:to>
      <xdr:col>13</xdr:col>
      <xdr:colOff>558613</xdr:colOff>
      <xdr:row>28</xdr:row>
      <xdr:rowOff>80121</xdr:rowOff>
    </xdr:to>
    <xdr:sp macro="" textlink="$I$57">
      <xdr:nvSpPr>
        <xdr:cNvPr id="73" name="TextBox 72">
          <a:extLst>
            <a:ext uri="{FF2B5EF4-FFF2-40B4-BE49-F238E27FC236}">
              <a16:creationId xmlns:a16="http://schemas.microsoft.com/office/drawing/2014/main" id="{5340FD41-98CA-4985-962A-5C20A0709F81}"/>
            </a:ext>
          </a:extLst>
        </xdr:cNvPr>
        <xdr:cNvSpPr txBox="1"/>
      </xdr:nvSpPr>
      <xdr:spPr>
        <a:xfrm>
          <a:off x="23158636" y="5299262"/>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2ED81DA0-9416-474F-AB3E-B51EE35B43F3}"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xdr:col>
      <xdr:colOff>1066240</xdr:colOff>
      <xdr:row>5</xdr:row>
      <xdr:rowOff>60512</xdr:rowOff>
    </xdr:from>
    <xdr:to>
      <xdr:col>4</xdr:col>
      <xdr:colOff>1113865</xdr:colOff>
      <xdr:row>7</xdr:row>
      <xdr:rowOff>42583</xdr:rowOff>
    </xdr:to>
    <xdr:sp macro="" textlink="">
      <xdr:nvSpPr>
        <xdr:cNvPr id="74" name="TextBox 73">
          <a:extLst>
            <a:ext uri="{FF2B5EF4-FFF2-40B4-BE49-F238E27FC236}">
              <a16:creationId xmlns:a16="http://schemas.microsoft.com/office/drawing/2014/main" id="{6BD0EE42-F585-4C13-AAF7-12318C248B76}"/>
            </a:ext>
          </a:extLst>
        </xdr:cNvPr>
        <xdr:cNvSpPr txBox="1"/>
      </xdr:nvSpPr>
      <xdr:spPr>
        <a:xfrm>
          <a:off x="3742765" y="1184462"/>
          <a:ext cx="3495675"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Birds sold</a:t>
          </a:r>
        </a:p>
      </xdr:txBody>
    </xdr:sp>
    <xdr:clientData/>
  </xdr:twoCellAnchor>
  <xdr:twoCellAnchor editAs="oneCell">
    <xdr:from>
      <xdr:col>3</xdr:col>
      <xdr:colOff>113741</xdr:colOff>
      <xdr:row>4</xdr:row>
      <xdr:rowOff>38099</xdr:rowOff>
    </xdr:from>
    <xdr:to>
      <xdr:col>3</xdr:col>
      <xdr:colOff>954995</xdr:colOff>
      <xdr:row>8</xdr:row>
      <xdr:rowOff>31938</xdr:rowOff>
    </xdr:to>
    <xdr:pic>
      <xdr:nvPicPr>
        <xdr:cNvPr id="75" name="Picture 74">
          <a:extLst>
            <a:ext uri="{FF2B5EF4-FFF2-40B4-BE49-F238E27FC236}">
              <a16:creationId xmlns:a16="http://schemas.microsoft.com/office/drawing/2014/main" id="{41686E1C-36A9-46FC-8A08-B58257859467}"/>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t="6669" b="6669"/>
        <a:stretch/>
      </xdr:blipFill>
      <xdr:spPr>
        <a:xfrm>
          <a:off x="2790266" y="962024"/>
          <a:ext cx="841254" cy="793939"/>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1669677</xdr:colOff>
      <xdr:row>5</xdr:row>
      <xdr:rowOff>41462</xdr:rowOff>
    </xdr:from>
    <xdr:to>
      <xdr:col>10</xdr:col>
      <xdr:colOff>1080808</xdr:colOff>
      <xdr:row>7</xdr:row>
      <xdr:rowOff>23533</xdr:rowOff>
    </xdr:to>
    <xdr:sp macro="" textlink="">
      <xdr:nvSpPr>
        <xdr:cNvPr id="76" name="TextBox 75">
          <a:extLst>
            <a:ext uri="{FF2B5EF4-FFF2-40B4-BE49-F238E27FC236}">
              <a16:creationId xmlns:a16="http://schemas.microsoft.com/office/drawing/2014/main" id="{73E500E2-B4D1-4864-A07B-FBF77636D6FB}"/>
            </a:ext>
          </a:extLst>
        </xdr:cNvPr>
        <xdr:cNvSpPr txBox="1"/>
      </xdr:nvSpPr>
      <xdr:spPr>
        <a:xfrm>
          <a:off x="15985752" y="1165412"/>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Eggs sold</a:t>
          </a:r>
        </a:p>
      </xdr:txBody>
    </xdr:sp>
    <xdr:clientData/>
  </xdr:twoCellAnchor>
  <xdr:twoCellAnchor editAs="oneCell">
    <xdr:from>
      <xdr:col>8</xdr:col>
      <xdr:colOff>660061</xdr:colOff>
      <xdr:row>4</xdr:row>
      <xdr:rowOff>0</xdr:rowOff>
    </xdr:from>
    <xdr:to>
      <xdr:col>8</xdr:col>
      <xdr:colOff>1587703</xdr:colOff>
      <xdr:row>8</xdr:row>
      <xdr:rowOff>79562</xdr:rowOff>
    </xdr:to>
    <xdr:pic>
      <xdr:nvPicPr>
        <xdr:cNvPr id="77" name="Picture 76">
          <a:extLst>
            <a:ext uri="{FF2B5EF4-FFF2-40B4-BE49-F238E27FC236}">
              <a16:creationId xmlns:a16="http://schemas.microsoft.com/office/drawing/2014/main" id="{6343A88A-2BC3-499D-9EA4-DBB1221D2785}"/>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l="5615" r="5615"/>
        <a:stretch/>
      </xdr:blipFill>
      <xdr:spPr>
        <a:xfrm flipH="1">
          <a:off x="14976136" y="923925"/>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twoCellAnchor>
    <xdr:from>
      <xdr:col>8</xdr:col>
      <xdr:colOff>938212</xdr:colOff>
      <xdr:row>46</xdr:row>
      <xdr:rowOff>200025</xdr:rowOff>
    </xdr:from>
    <xdr:to>
      <xdr:col>9</xdr:col>
      <xdr:colOff>1443037</xdr:colOff>
      <xdr:row>58</xdr:row>
      <xdr:rowOff>85725</xdr:rowOff>
    </xdr:to>
    <xdr:graphicFrame macro="">
      <xdr:nvGraphicFramePr>
        <xdr:cNvPr id="78" name="Chart 77">
          <a:extLst>
            <a:ext uri="{FF2B5EF4-FFF2-40B4-BE49-F238E27FC236}">
              <a16:creationId xmlns:a16="http://schemas.microsoft.com/office/drawing/2014/main" id="{B75969F5-751C-42DC-8FFF-18B00DECC4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17</xdr:col>
      <xdr:colOff>133350</xdr:colOff>
      <xdr:row>14</xdr:row>
      <xdr:rowOff>61632</xdr:rowOff>
    </xdr:from>
    <xdr:to>
      <xdr:col>20</xdr:col>
      <xdr:colOff>174252</xdr:colOff>
      <xdr:row>16</xdr:row>
      <xdr:rowOff>135030</xdr:rowOff>
    </xdr:to>
    <xdr:sp macro="" textlink="$H$48">
      <xdr:nvSpPr>
        <xdr:cNvPr id="79" name="TextBox 78">
          <a:extLst>
            <a:ext uri="{FF2B5EF4-FFF2-40B4-BE49-F238E27FC236}">
              <a16:creationId xmlns:a16="http://schemas.microsoft.com/office/drawing/2014/main" id="{855629CC-AB7A-4126-BACA-EC62583055F4}"/>
            </a:ext>
          </a:extLst>
        </xdr:cNvPr>
        <xdr:cNvSpPr txBox="1"/>
      </xdr:nvSpPr>
      <xdr:spPr>
        <a:xfrm>
          <a:off x="27127200" y="2985807"/>
          <a:ext cx="1869702" cy="4734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BAAA7CE-3F73-42A7-B887-E644937F7159}"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26</xdr:col>
      <xdr:colOff>328332</xdr:colOff>
      <xdr:row>14</xdr:row>
      <xdr:rowOff>33057</xdr:rowOff>
    </xdr:from>
    <xdr:to>
      <xdr:col>29</xdr:col>
      <xdr:colOff>410134</xdr:colOff>
      <xdr:row>16</xdr:row>
      <xdr:rowOff>135030</xdr:rowOff>
    </xdr:to>
    <xdr:sp macro="" textlink="$I$48">
      <xdr:nvSpPr>
        <xdr:cNvPr id="80" name="TextBox 79">
          <a:extLst>
            <a:ext uri="{FF2B5EF4-FFF2-40B4-BE49-F238E27FC236}">
              <a16:creationId xmlns:a16="http://schemas.microsoft.com/office/drawing/2014/main" id="{DC24B842-A820-437C-BC5B-F1C0DB7F632C}"/>
            </a:ext>
          </a:extLst>
        </xdr:cNvPr>
        <xdr:cNvSpPr txBox="1"/>
      </xdr:nvSpPr>
      <xdr:spPr>
        <a:xfrm>
          <a:off x="32808582" y="2957232"/>
          <a:ext cx="1910602" cy="5020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E266E2BA-6A96-4903-9E52-5C6BCFEF9FF1}"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25</xdr:row>
      <xdr:rowOff>146237</xdr:rowOff>
    </xdr:from>
    <xdr:to>
      <xdr:col>20</xdr:col>
      <xdr:colOff>259977</xdr:colOff>
      <xdr:row>28</xdr:row>
      <xdr:rowOff>99171</xdr:rowOff>
    </xdr:to>
    <xdr:sp macro="" textlink="$H$58">
      <xdr:nvSpPr>
        <xdr:cNvPr id="81" name="TextBox 80">
          <a:extLst>
            <a:ext uri="{FF2B5EF4-FFF2-40B4-BE49-F238E27FC236}">
              <a16:creationId xmlns:a16="http://schemas.microsoft.com/office/drawing/2014/main" id="{ED00C6D0-C1F9-45F6-BEEC-C01B4023386E}"/>
            </a:ext>
          </a:extLst>
        </xdr:cNvPr>
        <xdr:cNvSpPr txBox="1"/>
      </xdr:nvSpPr>
      <xdr:spPr>
        <a:xfrm>
          <a:off x="27127200" y="5270687"/>
          <a:ext cx="1955427"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F8F36783-2D83-448C-9BE3-D1653ADA37CE}"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26</xdr:col>
      <xdr:colOff>328332</xdr:colOff>
      <xdr:row>25</xdr:row>
      <xdr:rowOff>174812</xdr:rowOff>
    </xdr:from>
    <xdr:to>
      <xdr:col>29</xdr:col>
      <xdr:colOff>476809</xdr:colOff>
      <xdr:row>28</xdr:row>
      <xdr:rowOff>80121</xdr:rowOff>
    </xdr:to>
    <xdr:sp macro="" textlink="$I$58">
      <xdr:nvSpPr>
        <xdr:cNvPr id="82" name="TextBox 81">
          <a:extLst>
            <a:ext uri="{FF2B5EF4-FFF2-40B4-BE49-F238E27FC236}">
              <a16:creationId xmlns:a16="http://schemas.microsoft.com/office/drawing/2014/main" id="{D8B78F67-BCD5-4DF9-84F1-8FDDEE8D333F}"/>
            </a:ext>
          </a:extLst>
        </xdr:cNvPr>
        <xdr:cNvSpPr txBox="1"/>
      </xdr:nvSpPr>
      <xdr:spPr>
        <a:xfrm>
          <a:off x="32808582" y="5299262"/>
          <a:ext cx="197727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792A2EE-0599-40C6-BEC6-FB928C51F2CA}"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21</xdr:col>
      <xdr:colOff>27454</xdr:colOff>
      <xdr:row>14</xdr:row>
      <xdr:rowOff>23532</xdr:rowOff>
    </xdr:from>
    <xdr:to>
      <xdr:col>24</xdr:col>
      <xdr:colOff>556933</xdr:colOff>
      <xdr:row>16</xdr:row>
      <xdr:rowOff>135030</xdr:rowOff>
    </xdr:to>
    <xdr:sp macro="" textlink="$H$49">
      <xdr:nvSpPr>
        <xdr:cNvPr id="83" name="TextBox 82">
          <a:extLst>
            <a:ext uri="{FF2B5EF4-FFF2-40B4-BE49-F238E27FC236}">
              <a16:creationId xmlns:a16="http://schemas.microsoft.com/office/drawing/2014/main" id="{FC5AF483-D75F-4D8E-B128-F8247216901F}"/>
            </a:ext>
          </a:extLst>
        </xdr:cNvPr>
        <xdr:cNvSpPr txBox="1"/>
      </xdr:nvSpPr>
      <xdr:spPr>
        <a:xfrm>
          <a:off x="29459704" y="2947707"/>
          <a:ext cx="2358279" cy="5115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9FBD39D1-A40C-4D41-815F-1614BABEEB25}"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30</xdr:col>
      <xdr:colOff>374837</xdr:colOff>
      <xdr:row>14</xdr:row>
      <xdr:rowOff>52107</xdr:rowOff>
    </xdr:from>
    <xdr:to>
      <xdr:col>33</xdr:col>
      <xdr:colOff>434789</xdr:colOff>
      <xdr:row>16</xdr:row>
      <xdr:rowOff>135030</xdr:rowOff>
    </xdr:to>
    <xdr:sp macro="" textlink="$I$49">
      <xdr:nvSpPr>
        <xdr:cNvPr id="84" name="TextBox 83">
          <a:extLst>
            <a:ext uri="{FF2B5EF4-FFF2-40B4-BE49-F238E27FC236}">
              <a16:creationId xmlns:a16="http://schemas.microsoft.com/office/drawing/2014/main" id="{D0334C0D-09CF-4F36-8922-7C899B6F43D0}"/>
            </a:ext>
          </a:extLst>
        </xdr:cNvPr>
        <xdr:cNvSpPr txBox="1"/>
      </xdr:nvSpPr>
      <xdr:spPr>
        <a:xfrm>
          <a:off x="35293487" y="2976282"/>
          <a:ext cx="1888752" cy="4829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48E1D669-5050-474F-B029-B219812AC417}" type="TxLink">
            <a:rPr lang="en-US" sz="2600" b="1" i="0" u="none" strike="noStrike">
              <a:solidFill>
                <a:srgbClr val="0C769E"/>
              </a:solidFill>
              <a:latin typeface="Arial"/>
              <a:ea typeface="+mn-ea"/>
              <a:cs typeface="Arial"/>
            </a:rPr>
            <a:pPr marL="0" indent="0"/>
            <a:t>#N/A</a:t>
          </a:fld>
          <a:endParaRPr lang="en-AU" sz="2600" b="1" i="0" u="none" strike="noStrike">
            <a:solidFill>
              <a:srgbClr val="0C769E"/>
            </a:solidFill>
            <a:latin typeface="Arial"/>
            <a:ea typeface="+mn-ea"/>
            <a:cs typeface="Arial"/>
          </a:endParaRPr>
        </a:p>
      </xdr:txBody>
    </xdr:sp>
    <xdr:clientData/>
  </xdr:twoCellAnchor>
  <xdr:twoCellAnchor>
    <xdr:from>
      <xdr:col>17</xdr:col>
      <xdr:colOff>133350</xdr:colOff>
      <xdr:row>12</xdr:row>
      <xdr:rowOff>140633</xdr:rowOff>
    </xdr:from>
    <xdr:to>
      <xdr:col>19</xdr:col>
      <xdr:colOff>450477</xdr:colOff>
      <xdr:row>14</xdr:row>
      <xdr:rowOff>23531</xdr:rowOff>
    </xdr:to>
    <xdr:sp macro="" textlink="$J$44">
      <xdr:nvSpPr>
        <xdr:cNvPr id="85" name="TextBox 84">
          <a:extLst>
            <a:ext uri="{FF2B5EF4-FFF2-40B4-BE49-F238E27FC236}">
              <a16:creationId xmlns:a16="http://schemas.microsoft.com/office/drawing/2014/main" id="{E0E48C79-E6C9-4C13-B1F3-7AB95D6C8A6A}"/>
            </a:ext>
          </a:extLst>
        </xdr:cNvPr>
        <xdr:cNvSpPr txBox="1"/>
      </xdr:nvSpPr>
      <xdr:spPr>
        <a:xfrm>
          <a:off x="27127200" y="2664758"/>
          <a:ext cx="15363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21</xdr:col>
      <xdr:colOff>27454</xdr:colOff>
      <xdr:row>12</xdr:row>
      <xdr:rowOff>140633</xdr:rowOff>
    </xdr:from>
    <xdr:to>
      <xdr:col>25</xdr:col>
      <xdr:colOff>166886</xdr:colOff>
      <xdr:row>14</xdr:row>
      <xdr:rowOff>23531</xdr:rowOff>
    </xdr:to>
    <xdr:sp macro="" textlink="$J$44">
      <xdr:nvSpPr>
        <xdr:cNvPr id="86" name="TextBox 85">
          <a:extLst>
            <a:ext uri="{FF2B5EF4-FFF2-40B4-BE49-F238E27FC236}">
              <a16:creationId xmlns:a16="http://schemas.microsoft.com/office/drawing/2014/main" id="{D554859E-4871-46C5-8B3B-3EDC73AEA0DB}"/>
            </a:ext>
          </a:extLst>
        </xdr:cNvPr>
        <xdr:cNvSpPr txBox="1"/>
      </xdr:nvSpPr>
      <xdr:spPr>
        <a:xfrm>
          <a:off x="29459704" y="2664758"/>
          <a:ext cx="2577832"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Including</a:t>
          </a:r>
          <a:r>
            <a:rPr lang="en-US" sz="1000" b="1" i="0" u="none" strike="noStrike" baseline="0">
              <a:solidFill>
                <a:srgbClr val="0C769E"/>
              </a:solidFill>
              <a:latin typeface="Arial"/>
              <a:cs typeface="Arial"/>
            </a:rPr>
            <a:t> removals (</a:t>
          </a:r>
          <a:r>
            <a:rPr lang="en-US" sz="1000" b="1" i="0" u="none" strike="noStrike">
              <a:solidFill>
                <a:srgbClr val="0C769E"/>
              </a:solidFill>
              <a:latin typeface="Arial"/>
              <a:cs typeface="Arial"/>
            </a:rPr>
            <a:t>Net emissions)</a:t>
          </a:r>
          <a:endParaRPr lang="en-AU" sz="1000" b="1">
            <a:solidFill>
              <a:srgbClr val="0C769E"/>
            </a:solidFill>
          </a:endParaRPr>
        </a:p>
      </xdr:txBody>
    </xdr:sp>
    <xdr:clientData/>
  </xdr:twoCellAnchor>
  <xdr:twoCellAnchor>
    <xdr:from>
      <xdr:col>17</xdr:col>
      <xdr:colOff>133350</xdr:colOff>
      <xdr:row>10</xdr:row>
      <xdr:rowOff>162485</xdr:rowOff>
    </xdr:from>
    <xdr:to>
      <xdr:col>19</xdr:col>
      <xdr:colOff>450477</xdr:colOff>
      <xdr:row>12</xdr:row>
      <xdr:rowOff>45382</xdr:rowOff>
    </xdr:to>
    <xdr:sp macro="" textlink="$J$44">
      <xdr:nvSpPr>
        <xdr:cNvPr id="87" name="TextBox 86">
          <a:extLst>
            <a:ext uri="{FF2B5EF4-FFF2-40B4-BE49-F238E27FC236}">
              <a16:creationId xmlns:a16="http://schemas.microsoft.com/office/drawing/2014/main" id="{CACF04F8-2715-4DF5-BBB0-426CF670A88C}"/>
            </a:ext>
          </a:extLst>
        </xdr:cNvPr>
        <xdr:cNvSpPr txBox="1"/>
      </xdr:nvSpPr>
      <xdr:spPr>
        <a:xfrm>
          <a:off x="27127200" y="2286560"/>
          <a:ext cx="15363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twoCellAnchor>
    <xdr:from>
      <xdr:col>17</xdr:col>
      <xdr:colOff>171450</xdr:colOff>
      <xdr:row>8</xdr:row>
      <xdr:rowOff>165287</xdr:rowOff>
    </xdr:from>
    <xdr:to>
      <xdr:col>20</xdr:col>
      <xdr:colOff>532279</xdr:colOff>
      <xdr:row>10</xdr:row>
      <xdr:rowOff>133910</xdr:rowOff>
    </xdr:to>
    <xdr:sp macro="" textlink="">
      <xdr:nvSpPr>
        <xdr:cNvPr id="88" name="TextBox 87">
          <a:extLst>
            <a:ext uri="{FF2B5EF4-FFF2-40B4-BE49-F238E27FC236}">
              <a16:creationId xmlns:a16="http://schemas.microsoft.com/office/drawing/2014/main" id="{FAEE522E-1CD8-4A51-907D-C7A69DF07D11}"/>
            </a:ext>
          </a:extLst>
        </xdr:cNvPr>
        <xdr:cNvSpPr txBox="1"/>
      </xdr:nvSpPr>
      <xdr:spPr>
        <a:xfrm>
          <a:off x="27165300" y="1889312"/>
          <a:ext cx="2189629" cy="36867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0C769E"/>
              </a:solidFill>
            </a:rPr>
            <a:t>Mass allocation</a:t>
          </a:r>
        </a:p>
      </xdr:txBody>
    </xdr:sp>
    <xdr:clientData/>
  </xdr:twoCellAnchor>
  <xdr:twoCellAnchor>
    <xdr:from>
      <xdr:col>17</xdr:col>
      <xdr:colOff>180975</xdr:colOff>
      <xdr:row>10</xdr:row>
      <xdr:rowOff>139375</xdr:rowOff>
    </xdr:from>
    <xdr:to>
      <xdr:col>34</xdr:col>
      <xdr:colOff>447675</xdr:colOff>
      <xdr:row>10</xdr:row>
      <xdr:rowOff>152960</xdr:rowOff>
    </xdr:to>
    <xdr:cxnSp macro="">
      <xdr:nvCxnSpPr>
        <xdr:cNvPr id="89" name="Straight Connector 88">
          <a:extLst>
            <a:ext uri="{FF2B5EF4-FFF2-40B4-BE49-F238E27FC236}">
              <a16:creationId xmlns:a16="http://schemas.microsoft.com/office/drawing/2014/main" id="{A038FE9A-0252-41BC-BD2D-A795440FEFCD}"/>
            </a:ext>
          </a:extLst>
        </xdr:cNvPr>
        <xdr:cNvCxnSpPr/>
      </xdr:nvCxnSpPr>
      <xdr:spPr>
        <a:xfrm flipV="1">
          <a:off x="27174825" y="2263450"/>
          <a:ext cx="10629900" cy="13585"/>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140633</xdr:rowOff>
    </xdr:from>
    <xdr:to>
      <xdr:col>29</xdr:col>
      <xdr:colOff>38659</xdr:colOff>
      <xdr:row>14</xdr:row>
      <xdr:rowOff>23531</xdr:rowOff>
    </xdr:to>
    <xdr:sp macro="" textlink="$J$44">
      <xdr:nvSpPr>
        <xdr:cNvPr id="90" name="TextBox 89">
          <a:extLst>
            <a:ext uri="{FF2B5EF4-FFF2-40B4-BE49-F238E27FC236}">
              <a16:creationId xmlns:a16="http://schemas.microsoft.com/office/drawing/2014/main" id="{73ADD220-9404-4873-91D2-981E349EE581}"/>
            </a:ext>
          </a:extLst>
        </xdr:cNvPr>
        <xdr:cNvSpPr txBox="1"/>
      </xdr:nvSpPr>
      <xdr:spPr>
        <a:xfrm>
          <a:off x="32808582" y="2664758"/>
          <a:ext cx="1539127" cy="28294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0C769E"/>
              </a:solidFill>
              <a:latin typeface="Arial"/>
              <a:cs typeface="Arial"/>
            </a:rPr>
            <a:t>Excluding removals</a:t>
          </a:r>
          <a:endParaRPr lang="en-AU" sz="1000" b="1">
            <a:solidFill>
              <a:srgbClr val="0C769E"/>
            </a:solidFill>
          </a:endParaRPr>
        </a:p>
      </xdr:txBody>
    </xdr:sp>
    <xdr:clientData/>
  </xdr:twoCellAnchor>
  <xdr:twoCellAnchor>
    <xdr:from>
      <xdr:col>26</xdr:col>
      <xdr:colOff>328332</xdr:colOff>
      <xdr:row>10</xdr:row>
      <xdr:rowOff>162485</xdr:rowOff>
    </xdr:from>
    <xdr:to>
      <xdr:col>29</xdr:col>
      <xdr:colOff>38659</xdr:colOff>
      <xdr:row>12</xdr:row>
      <xdr:rowOff>45382</xdr:rowOff>
    </xdr:to>
    <xdr:sp macro="" textlink="$J$44">
      <xdr:nvSpPr>
        <xdr:cNvPr id="91" name="TextBox 90">
          <a:extLst>
            <a:ext uri="{FF2B5EF4-FFF2-40B4-BE49-F238E27FC236}">
              <a16:creationId xmlns:a16="http://schemas.microsoft.com/office/drawing/2014/main" id="{79DFA243-78FF-4220-8C93-6B97C7A32B97}"/>
            </a:ext>
          </a:extLst>
        </xdr:cNvPr>
        <xdr:cNvSpPr txBox="1"/>
      </xdr:nvSpPr>
      <xdr:spPr>
        <a:xfrm>
          <a:off x="32808582" y="2286560"/>
          <a:ext cx="1539127" cy="28294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12</xdr:row>
      <xdr:rowOff>64433</xdr:rowOff>
    </xdr:from>
    <xdr:to>
      <xdr:col>25</xdr:col>
      <xdr:colOff>137833</xdr:colOff>
      <xdr:row>12</xdr:row>
      <xdr:rowOff>64433</xdr:rowOff>
    </xdr:to>
    <xdr:cxnSp macro="">
      <xdr:nvCxnSpPr>
        <xdr:cNvPr id="92" name="Straight Connector 91">
          <a:extLst>
            <a:ext uri="{FF2B5EF4-FFF2-40B4-BE49-F238E27FC236}">
              <a16:creationId xmlns:a16="http://schemas.microsoft.com/office/drawing/2014/main" id="{8CA9A504-1EED-4D22-9ED5-BF3394DFE770}"/>
            </a:ext>
          </a:extLst>
        </xdr:cNvPr>
        <xdr:cNvCxnSpPr/>
      </xdr:nvCxnSpPr>
      <xdr:spPr>
        <a:xfrm>
          <a:off x="27127200" y="2588558"/>
          <a:ext cx="4881283"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12</xdr:row>
      <xdr:rowOff>64433</xdr:rowOff>
    </xdr:from>
    <xdr:to>
      <xdr:col>34</xdr:col>
      <xdr:colOff>457200</xdr:colOff>
      <xdr:row>12</xdr:row>
      <xdr:rowOff>64433</xdr:rowOff>
    </xdr:to>
    <xdr:cxnSp macro="">
      <xdr:nvCxnSpPr>
        <xdr:cNvPr id="93" name="Straight Connector 92">
          <a:extLst>
            <a:ext uri="{FF2B5EF4-FFF2-40B4-BE49-F238E27FC236}">
              <a16:creationId xmlns:a16="http://schemas.microsoft.com/office/drawing/2014/main" id="{7B7F5424-2E41-4EFD-A531-17051716C79C}"/>
            </a:ext>
          </a:extLst>
        </xdr:cNvPr>
        <xdr:cNvCxnSpPr/>
      </xdr:nvCxnSpPr>
      <xdr:spPr>
        <a:xfrm>
          <a:off x="32808582" y="2588558"/>
          <a:ext cx="5005668" cy="0"/>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133350</xdr:colOff>
      <xdr:row>24</xdr:row>
      <xdr:rowOff>36419</xdr:rowOff>
    </xdr:from>
    <xdr:to>
      <xdr:col>19</xdr:col>
      <xdr:colOff>450477</xdr:colOff>
      <xdr:row>25</xdr:row>
      <xdr:rowOff>117661</xdr:rowOff>
    </xdr:to>
    <xdr:sp macro="" textlink="$J$44">
      <xdr:nvSpPr>
        <xdr:cNvPr id="94" name="TextBox 93">
          <a:extLst>
            <a:ext uri="{FF2B5EF4-FFF2-40B4-BE49-F238E27FC236}">
              <a16:creationId xmlns:a16="http://schemas.microsoft.com/office/drawing/2014/main" id="{A06714D0-BBB7-4BE2-B2D2-44709C6CD61D}"/>
            </a:ext>
          </a:extLst>
        </xdr:cNvPr>
        <xdr:cNvSpPr txBox="1"/>
      </xdr:nvSpPr>
      <xdr:spPr>
        <a:xfrm>
          <a:off x="27127200" y="4960844"/>
          <a:ext cx="15363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21</xdr:col>
      <xdr:colOff>112701</xdr:colOff>
      <xdr:row>24</xdr:row>
      <xdr:rowOff>36419</xdr:rowOff>
    </xdr:from>
    <xdr:to>
      <xdr:col>25</xdr:col>
      <xdr:colOff>252133</xdr:colOff>
      <xdr:row>25</xdr:row>
      <xdr:rowOff>117661</xdr:rowOff>
    </xdr:to>
    <xdr:sp macro="" textlink="$J$44">
      <xdr:nvSpPr>
        <xdr:cNvPr id="95" name="TextBox 94">
          <a:extLst>
            <a:ext uri="{FF2B5EF4-FFF2-40B4-BE49-F238E27FC236}">
              <a16:creationId xmlns:a16="http://schemas.microsoft.com/office/drawing/2014/main" id="{6D3DA5BF-02E7-44AA-8F2B-6762CD6CAC7B}"/>
            </a:ext>
          </a:extLst>
        </xdr:cNvPr>
        <xdr:cNvSpPr txBox="1"/>
      </xdr:nvSpPr>
      <xdr:spPr>
        <a:xfrm>
          <a:off x="29544951" y="4960844"/>
          <a:ext cx="2577832"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Including</a:t>
          </a:r>
          <a:r>
            <a:rPr lang="en-US" sz="1000" b="1" i="0" u="none" strike="noStrike" baseline="0">
              <a:solidFill>
                <a:srgbClr val="4F4789"/>
              </a:solidFill>
              <a:latin typeface="Arial"/>
              <a:cs typeface="Arial"/>
            </a:rPr>
            <a:t> removals (</a:t>
          </a:r>
          <a:r>
            <a:rPr lang="en-US" sz="1000" b="1" i="0" u="none" strike="noStrike">
              <a:solidFill>
                <a:srgbClr val="4F4789"/>
              </a:solidFill>
              <a:latin typeface="Arial"/>
              <a:cs typeface="Arial"/>
            </a:rPr>
            <a:t>Net emissions)</a:t>
          </a:r>
          <a:endParaRPr lang="en-AU" sz="1000" b="1">
            <a:solidFill>
              <a:srgbClr val="4F4789"/>
            </a:solidFill>
          </a:endParaRPr>
        </a:p>
      </xdr:txBody>
    </xdr:sp>
    <xdr:clientData/>
  </xdr:twoCellAnchor>
  <xdr:twoCellAnchor>
    <xdr:from>
      <xdr:col>17</xdr:col>
      <xdr:colOff>133350</xdr:colOff>
      <xdr:row>22</xdr:row>
      <xdr:rowOff>59951</xdr:rowOff>
    </xdr:from>
    <xdr:to>
      <xdr:col>19</xdr:col>
      <xdr:colOff>450477</xdr:colOff>
      <xdr:row>23</xdr:row>
      <xdr:rowOff>139512</xdr:rowOff>
    </xdr:to>
    <xdr:sp macro="" textlink="$J$44">
      <xdr:nvSpPr>
        <xdr:cNvPr id="96" name="TextBox 95">
          <a:extLst>
            <a:ext uri="{FF2B5EF4-FFF2-40B4-BE49-F238E27FC236}">
              <a16:creationId xmlns:a16="http://schemas.microsoft.com/office/drawing/2014/main" id="{0C4B6353-0CF4-4FCC-BE7E-AB545026DC3F}"/>
            </a:ext>
          </a:extLst>
        </xdr:cNvPr>
        <xdr:cNvSpPr txBox="1"/>
      </xdr:nvSpPr>
      <xdr:spPr>
        <a:xfrm>
          <a:off x="27127200" y="4584326"/>
          <a:ext cx="15363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1</a:t>
          </a:r>
          <a:endParaRPr lang="en-AU" sz="1000" b="0">
            <a:solidFill>
              <a:schemeClr val="bg2">
                <a:lumMod val="50000"/>
              </a:schemeClr>
            </a:solidFill>
          </a:endParaRPr>
        </a:p>
      </xdr:txBody>
    </xdr:sp>
    <xdr:clientData/>
  </xdr:twoCellAnchor>
  <xdr:oneCellAnchor>
    <xdr:from>
      <xdr:col>17</xdr:col>
      <xdr:colOff>133350</xdr:colOff>
      <xdr:row>16</xdr:row>
      <xdr:rowOff>39781</xdr:rowOff>
    </xdr:from>
    <xdr:ext cx="1830116" cy="254493"/>
    <xdr:sp macro="" textlink="">
      <xdr:nvSpPr>
        <xdr:cNvPr id="97" name="TextBox 96">
          <a:extLst>
            <a:ext uri="{FF2B5EF4-FFF2-40B4-BE49-F238E27FC236}">
              <a16:creationId xmlns:a16="http://schemas.microsoft.com/office/drawing/2014/main" id="{B4723D13-4C58-4CB3-9AE4-455255F55F45}"/>
            </a:ext>
          </a:extLst>
        </xdr:cNvPr>
        <xdr:cNvSpPr txBox="1"/>
      </xdr:nvSpPr>
      <xdr:spPr>
        <a:xfrm>
          <a:off x="27127200"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17</xdr:col>
      <xdr:colOff>171450</xdr:colOff>
      <xdr:row>20</xdr:row>
      <xdr:rowOff>62752</xdr:rowOff>
    </xdr:from>
    <xdr:to>
      <xdr:col>20</xdr:col>
      <xdr:colOff>532279</xdr:colOff>
      <xdr:row>22</xdr:row>
      <xdr:rowOff>29695</xdr:rowOff>
    </xdr:to>
    <xdr:sp macro="" textlink="">
      <xdr:nvSpPr>
        <xdr:cNvPr id="98" name="TextBox 97">
          <a:extLst>
            <a:ext uri="{FF2B5EF4-FFF2-40B4-BE49-F238E27FC236}">
              <a16:creationId xmlns:a16="http://schemas.microsoft.com/office/drawing/2014/main" id="{033AADE7-B3D6-48B8-A99A-46C1AF2F9C6F}"/>
            </a:ext>
          </a:extLst>
        </xdr:cNvPr>
        <xdr:cNvSpPr txBox="1"/>
      </xdr:nvSpPr>
      <xdr:spPr>
        <a:xfrm>
          <a:off x="27165300" y="4187077"/>
          <a:ext cx="2189629" cy="36699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400">
              <a:solidFill>
                <a:srgbClr val="4F4789"/>
              </a:solidFill>
            </a:rPr>
            <a:t>Economic allocation</a:t>
          </a:r>
        </a:p>
      </xdr:txBody>
    </xdr:sp>
    <xdr:clientData/>
  </xdr:twoCellAnchor>
  <xdr:twoCellAnchor>
    <xdr:from>
      <xdr:col>17</xdr:col>
      <xdr:colOff>180975</xdr:colOff>
      <xdr:row>22</xdr:row>
      <xdr:rowOff>35243</xdr:rowOff>
    </xdr:from>
    <xdr:to>
      <xdr:col>34</xdr:col>
      <xdr:colOff>495300</xdr:colOff>
      <xdr:row>22</xdr:row>
      <xdr:rowOff>50426</xdr:rowOff>
    </xdr:to>
    <xdr:cxnSp macro="">
      <xdr:nvCxnSpPr>
        <xdr:cNvPr id="99" name="Straight Connector 98">
          <a:extLst>
            <a:ext uri="{FF2B5EF4-FFF2-40B4-BE49-F238E27FC236}">
              <a16:creationId xmlns:a16="http://schemas.microsoft.com/office/drawing/2014/main" id="{4E323620-102F-417B-99C3-DAE0A5190682}"/>
            </a:ext>
          </a:extLst>
        </xdr:cNvPr>
        <xdr:cNvCxnSpPr/>
      </xdr:nvCxnSpPr>
      <xdr:spPr>
        <a:xfrm flipV="1">
          <a:off x="27174825" y="4559618"/>
          <a:ext cx="10677525" cy="15183"/>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24</xdr:row>
      <xdr:rowOff>36419</xdr:rowOff>
    </xdr:from>
    <xdr:to>
      <xdr:col>29</xdr:col>
      <xdr:colOff>38659</xdr:colOff>
      <xdr:row>25</xdr:row>
      <xdr:rowOff>117661</xdr:rowOff>
    </xdr:to>
    <xdr:sp macro="" textlink="$J$44">
      <xdr:nvSpPr>
        <xdr:cNvPr id="100" name="TextBox 99">
          <a:extLst>
            <a:ext uri="{FF2B5EF4-FFF2-40B4-BE49-F238E27FC236}">
              <a16:creationId xmlns:a16="http://schemas.microsoft.com/office/drawing/2014/main" id="{9A97F318-624A-4671-A99C-8E5FF1C7B63D}"/>
            </a:ext>
          </a:extLst>
        </xdr:cNvPr>
        <xdr:cNvSpPr txBox="1"/>
      </xdr:nvSpPr>
      <xdr:spPr>
        <a:xfrm>
          <a:off x="32808582" y="4960844"/>
          <a:ext cx="1539127" cy="28126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1" i="0" u="none" strike="noStrike">
              <a:solidFill>
                <a:srgbClr val="4F4789"/>
              </a:solidFill>
              <a:latin typeface="Arial"/>
              <a:cs typeface="Arial"/>
            </a:rPr>
            <a:t>Excluding removals</a:t>
          </a:r>
          <a:endParaRPr lang="en-AU" sz="1000" b="1">
            <a:solidFill>
              <a:srgbClr val="4F4789"/>
            </a:solidFill>
          </a:endParaRPr>
        </a:p>
      </xdr:txBody>
    </xdr:sp>
    <xdr:clientData/>
  </xdr:twoCellAnchor>
  <xdr:twoCellAnchor>
    <xdr:from>
      <xdr:col>26</xdr:col>
      <xdr:colOff>328332</xdr:colOff>
      <xdr:row>22</xdr:row>
      <xdr:rowOff>59951</xdr:rowOff>
    </xdr:from>
    <xdr:to>
      <xdr:col>29</xdr:col>
      <xdr:colOff>38659</xdr:colOff>
      <xdr:row>23</xdr:row>
      <xdr:rowOff>139512</xdr:rowOff>
    </xdr:to>
    <xdr:sp macro="" textlink="$J$44">
      <xdr:nvSpPr>
        <xdr:cNvPr id="101" name="TextBox 100">
          <a:extLst>
            <a:ext uri="{FF2B5EF4-FFF2-40B4-BE49-F238E27FC236}">
              <a16:creationId xmlns:a16="http://schemas.microsoft.com/office/drawing/2014/main" id="{6FA79D7D-83B4-4867-9624-5081298C2E00}"/>
            </a:ext>
          </a:extLst>
        </xdr:cNvPr>
        <xdr:cNvSpPr txBox="1"/>
      </xdr:nvSpPr>
      <xdr:spPr>
        <a:xfrm>
          <a:off x="32808582" y="4584326"/>
          <a:ext cx="1539127" cy="2795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r>
            <a:rPr lang="en-US" sz="1000" b="0" i="0" u="none" strike="noStrike">
              <a:solidFill>
                <a:schemeClr val="bg2">
                  <a:lumMod val="50000"/>
                </a:schemeClr>
              </a:solidFill>
              <a:latin typeface="Arial"/>
              <a:cs typeface="Arial"/>
            </a:rPr>
            <a:t>Method 2</a:t>
          </a:r>
          <a:endParaRPr lang="en-AU" sz="1000" b="0">
            <a:solidFill>
              <a:schemeClr val="bg2">
                <a:lumMod val="50000"/>
              </a:schemeClr>
            </a:solidFill>
          </a:endParaRPr>
        </a:p>
      </xdr:txBody>
    </xdr:sp>
    <xdr:clientData/>
  </xdr:twoCellAnchor>
  <xdr:twoCellAnchor>
    <xdr:from>
      <xdr:col>17</xdr:col>
      <xdr:colOff>133350</xdr:colOff>
      <xdr:row>23</xdr:row>
      <xdr:rowOff>158563</xdr:rowOff>
    </xdr:from>
    <xdr:to>
      <xdr:col>25</xdr:col>
      <xdr:colOff>166408</xdr:colOff>
      <xdr:row>23</xdr:row>
      <xdr:rowOff>158563</xdr:rowOff>
    </xdr:to>
    <xdr:cxnSp macro="">
      <xdr:nvCxnSpPr>
        <xdr:cNvPr id="102" name="Straight Connector 101">
          <a:extLst>
            <a:ext uri="{FF2B5EF4-FFF2-40B4-BE49-F238E27FC236}">
              <a16:creationId xmlns:a16="http://schemas.microsoft.com/office/drawing/2014/main" id="{8940BF8F-EF91-4E95-ADC1-DC0753C8AB25}"/>
            </a:ext>
          </a:extLst>
        </xdr:cNvPr>
        <xdr:cNvCxnSpPr/>
      </xdr:nvCxnSpPr>
      <xdr:spPr>
        <a:xfrm>
          <a:off x="27127200" y="4882963"/>
          <a:ext cx="490985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26</xdr:col>
      <xdr:colOff>328332</xdr:colOff>
      <xdr:row>23</xdr:row>
      <xdr:rowOff>158563</xdr:rowOff>
    </xdr:from>
    <xdr:to>
      <xdr:col>34</xdr:col>
      <xdr:colOff>514350</xdr:colOff>
      <xdr:row>23</xdr:row>
      <xdr:rowOff>158563</xdr:rowOff>
    </xdr:to>
    <xdr:cxnSp macro="">
      <xdr:nvCxnSpPr>
        <xdr:cNvPr id="103" name="Straight Connector 102">
          <a:extLst>
            <a:ext uri="{FF2B5EF4-FFF2-40B4-BE49-F238E27FC236}">
              <a16:creationId xmlns:a16="http://schemas.microsoft.com/office/drawing/2014/main" id="{EA41BE58-9981-4BD2-BC88-4A5F65E36D24}"/>
            </a:ext>
          </a:extLst>
        </xdr:cNvPr>
        <xdr:cNvCxnSpPr/>
      </xdr:nvCxnSpPr>
      <xdr:spPr>
        <a:xfrm>
          <a:off x="32808582" y="4882963"/>
          <a:ext cx="5062818" cy="0"/>
        </a:xfrm>
        <a:prstGeom prst="line">
          <a:avLst/>
        </a:prstGeom>
        <a:ln>
          <a:solidFill>
            <a:srgbClr val="4F4789"/>
          </a:solidFill>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21</xdr:col>
      <xdr:colOff>27454</xdr:colOff>
      <xdr:row>16</xdr:row>
      <xdr:rowOff>39781</xdr:rowOff>
    </xdr:from>
    <xdr:ext cx="1830116" cy="254493"/>
    <xdr:sp macro="" textlink="">
      <xdr:nvSpPr>
        <xdr:cNvPr id="104" name="TextBox 103">
          <a:extLst>
            <a:ext uri="{FF2B5EF4-FFF2-40B4-BE49-F238E27FC236}">
              <a16:creationId xmlns:a16="http://schemas.microsoft.com/office/drawing/2014/main" id="{1F00E05B-D1AC-46EA-88D3-8F656FD5F546}"/>
            </a:ext>
          </a:extLst>
        </xdr:cNvPr>
        <xdr:cNvSpPr txBox="1"/>
      </xdr:nvSpPr>
      <xdr:spPr>
        <a:xfrm>
          <a:off x="29459704"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16</xdr:row>
      <xdr:rowOff>39781</xdr:rowOff>
    </xdr:from>
    <xdr:ext cx="1830116" cy="254493"/>
    <xdr:sp macro="" textlink="">
      <xdr:nvSpPr>
        <xdr:cNvPr id="105" name="TextBox 104">
          <a:extLst>
            <a:ext uri="{FF2B5EF4-FFF2-40B4-BE49-F238E27FC236}">
              <a16:creationId xmlns:a16="http://schemas.microsoft.com/office/drawing/2014/main" id="{A06EAEAA-2DAF-4102-8838-C5870253A7F8}"/>
            </a:ext>
          </a:extLst>
        </xdr:cNvPr>
        <xdr:cNvSpPr txBox="1"/>
      </xdr:nvSpPr>
      <xdr:spPr>
        <a:xfrm>
          <a:off x="32808582"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30</xdr:col>
      <xdr:colOff>374837</xdr:colOff>
      <xdr:row>16</xdr:row>
      <xdr:rowOff>39781</xdr:rowOff>
    </xdr:from>
    <xdr:ext cx="1830116" cy="254493"/>
    <xdr:sp macro="" textlink="">
      <xdr:nvSpPr>
        <xdr:cNvPr id="106" name="TextBox 105">
          <a:extLst>
            <a:ext uri="{FF2B5EF4-FFF2-40B4-BE49-F238E27FC236}">
              <a16:creationId xmlns:a16="http://schemas.microsoft.com/office/drawing/2014/main" id="{A0F66C15-F36A-492E-BB1B-9F3D493B98B9}"/>
            </a:ext>
          </a:extLst>
        </xdr:cNvPr>
        <xdr:cNvSpPr txBox="1"/>
      </xdr:nvSpPr>
      <xdr:spPr>
        <a:xfrm>
          <a:off x="35293487" y="3364006"/>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17</xdr:col>
      <xdr:colOff>133350</xdr:colOff>
      <xdr:row>28</xdr:row>
      <xdr:rowOff>29135</xdr:rowOff>
    </xdr:from>
    <xdr:ext cx="1830116" cy="254493"/>
    <xdr:sp macro="" textlink="">
      <xdr:nvSpPr>
        <xdr:cNvPr id="107" name="TextBox 106">
          <a:extLst>
            <a:ext uri="{FF2B5EF4-FFF2-40B4-BE49-F238E27FC236}">
              <a16:creationId xmlns:a16="http://schemas.microsoft.com/office/drawing/2014/main" id="{D5EFED6F-51D7-456F-8BDB-E6AE63DBED6E}"/>
            </a:ext>
          </a:extLst>
        </xdr:cNvPr>
        <xdr:cNvSpPr txBox="1"/>
      </xdr:nvSpPr>
      <xdr:spPr>
        <a:xfrm>
          <a:off x="27127200"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21</xdr:col>
      <xdr:colOff>36979</xdr:colOff>
      <xdr:row>28</xdr:row>
      <xdr:rowOff>29135</xdr:rowOff>
    </xdr:from>
    <xdr:ext cx="1830116" cy="254493"/>
    <xdr:sp macro="" textlink="">
      <xdr:nvSpPr>
        <xdr:cNvPr id="108" name="TextBox 107">
          <a:extLst>
            <a:ext uri="{FF2B5EF4-FFF2-40B4-BE49-F238E27FC236}">
              <a16:creationId xmlns:a16="http://schemas.microsoft.com/office/drawing/2014/main" id="{8BC081B4-F564-4CFA-AACD-90F7A3418417}"/>
            </a:ext>
          </a:extLst>
        </xdr:cNvPr>
        <xdr:cNvSpPr txBox="1"/>
      </xdr:nvSpPr>
      <xdr:spPr>
        <a:xfrm>
          <a:off x="29469229"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indent="0"/>
          <a:r>
            <a:rPr lang="en-AU" sz="1000" b="0" i="1" u="none" strike="noStrike">
              <a:solidFill>
                <a:schemeClr val="bg2">
                  <a:lumMod val="50000"/>
                </a:schemeClr>
              </a:solidFill>
              <a:effectLst/>
              <a:latin typeface="+mn-lt"/>
              <a:ea typeface="+mn-ea"/>
              <a:cs typeface="+mn-cs"/>
            </a:rPr>
            <a:t>t CO2-e / tonne manure sold </a:t>
          </a:r>
        </a:p>
      </xdr:txBody>
    </xdr:sp>
    <xdr:clientData/>
  </xdr:oneCellAnchor>
  <xdr:oneCellAnchor>
    <xdr:from>
      <xdr:col>26</xdr:col>
      <xdr:colOff>328332</xdr:colOff>
      <xdr:row>28</xdr:row>
      <xdr:rowOff>29135</xdr:rowOff>
    </xdr:from>
    <xdr:ext cx="1830116" cy="254493"/>
    <xdr:sp macro="" textlink="">
      <xdr:nvSpPr>
        <xdr:cNvPr id="109" name="TextBox 108">
          <a:extLst>
            <a:ext uri="{FF2B5EF4-FFF2-40B4-BE49-F238E27FC236}">
              <a16:creationId xmlns:a16="http://schemas.microsoft.com/office/drawing/2014/main" id="{7CC4D452-6B1F-46FB-BAF3-56F31547FF48}"/>
            </a:ext>
          </a:extLst>
        </xdr:cNvPr>
        <xdr:cNvSpPr txBox="1"/>
      </xdr:nvSpPr>
      <xdr:spPr>
        <a:xfrm>
          <a:off x="32808582" y="5753660"/>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a:t>
          </a:r>
          <a:r>
            <a:rPr lang="en-AU" sz="1000" b="0" i="1" u="none" strike="noStrike" baseline="0">
              <a:solidFill>
                <a:schemeClr val="bg2">
                  <a:lumMod val="50000"/>
                </a:schemeClr>
              </a:solidFill>
              <a:effectLst/>
              <a:latin typeface="+mn-lt"/>
              <a:ea typeface="+mn-ea"/>
              <a:cs typeface="+mn-cs"/>
            </a:rPr>
            <a:t> </a:t>
          </a:r>
          <a:r>
            <a:rPr lang="en-AU" sz="1000" b="0" i="1" u="none" strike="noStrike">
              <a:solidFill>
                <a:schemeClr val="bg2">
                  <a:lumMod val="50000"/>
                </a:schemeClr>
              </a:solidFill>
              <a:effectLst/>
              <a:latin typeface="+mn-lt"/>
              <a:ea typeface="+mn-ea"/>
              <a:cs typeface="+mn-cs"/>
            </a:rPr>
            <a:t>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oneCellAnchor>
    <xdr:from>
      <xdr:col>30</xdr:col>
      <xdr:colOff>441512</xdr:colOff>
      <xdr:row>28</xdr:row>
      <xdr:rowOff>19610</xdr:rowOff>
    </xdr:from>
    <xdr:ext cx="1830116" cy="254493"/>
    <xdr:sp macro="" textlink="">
      <xdr:nvSpPr>
        <xdr:cNvPr id="110" name="TextBox 109">
          <a:extLst>
            <a:ext uri="{FF2B5EF4-FFF2-40B4-BE49-F238E27FC236}">
              <a16:creationId xmlns:a16="http://schemas.microsoft.com/office/drawing/2014/main" id="{9DD993E1-1813-4861-9BC8-2BA52DC4E979}"/>
            </a:ext>
          </a:extLst>
        </xdr:cNvPr>
        <xdr:cNvSpPr txBox="1"/>
      </xdr:nvSpPr>
      <xdr:spPr>
        <a:xfrm>
          <a:off x="35360162" y="5744135"/>
          <a:ext cx="1830116"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000" b="0" i="1" u="none" strike="noStrike">
              <a:solidFill>
                <a:schemeClr val="bg2">
                  <a:lumMod val="50000"/>
                </a:schemeClr>
              </a:solidFill>
              <a:effectLst/>
              <a:latin typeface="+mn-lt"/>
              <a:ea typeface="+mn-ea"/>
              <a:cs typeface="+mn-cs"/>
            </a:rPr>
            <a:t>t CO2-e / tonne manure sold</a:t>
          </a:r>
          <a:r>
            <a:rPr lang="en-AU">
              <a:solidFill>
                <a:schemeClr val="bg2">
                  <a:lumMod val="50000"/>
                </a:schemeClr>
              </a:solidFill>
              <a:effectLst/>
            </a:rPr>
            <a:t> </a:t>
          </a:r>
          <a:endParaRPr lang="en-AU" sz="1000">
            <a:solidFill>
              <a:schemeClr val="bg2">
                <a:lumMod val="50000"/>
              </a:schemeClr>
            </a:solidFill>
          </a:endParaRPr>
        </a:p>
      </xdr:txBody>
    </xdr:sp>
    <xdr:clientData/>
  </xdr:oneCellAnchor>
  <xdr:twoCellAnchor>
    <xdr:from>
      <xdr:col>21</xdr:col>
      <xdr:colOff>65554</xdr:colOff>
      <xdr:row>25</xdr:row>
      <xdr:rowOff>146237</xdr:rowOff>
    </xdr:from>
    <xdr:to>
      <xdr:col>24</xdr:col>
      <xdr:colOff>194983</xdr:colOff>
      <xdr:row>28</xdr:row>
      <xdr:rowOff>99171</xdr:rowOff>
    </xdr:to>
    <xdr:sp macro="" textlink="$H$59">
      <xdr:nvSpPr>
        <xdr:cNvPr id="111" name="TextBox 110">
          <a:extLst>
            <a:ext uri="{FF2B5EF4-FFF2-40B4-BE49-F238E27FC236}">
              <a16:creationId xmlns:a16="http://schemas.microsoft.com/office/drawing/2014/main" id="{4EE8E91D-37A1-4E47-96B0-13A279A424BB}"/>
            </a:ext>
          </a:extLst>
        </xdr:cNvPr>
        <xdr:cNvSpPr txBox="1"/>
      </xdr:nvSpPr>
      <xdr:spPr>
        <a:xfrm>
          <a:off x="29497804" y="5270687"/>
          <a:ext cx="1958229" cy="55300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B945A79A-D657-45FF-8794-B3F7FE79A7B2}"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30</xdr:col>
      <xdr:colOff>431986</xdr:colOff>
      <xdr:row>25</xdr:row>
      <xdr:rowOff>165287</xdr:rowOff>
    </xdr:from>
    <xdr:to>
      <xdr:col>33</xdr:col>
      <xdr:colOff>558613</xdr:colOff>
      <xdr:row>28</xdr:row>
      <xdr:rowOff>70596</xdr:rowOff>
    </xdr:to>
    <xdr:sp macro="" textlink="$I$59">
      <xdr:nvSpPr>
        <xdr:cNvPr id="112" name="TextBox 111">
          <a:extLst>
            <a:ext uri="{FF2B5EF4-FFF2-40B4-BE49-F238E27FC236}">
              <a16:creationId xmlns:a16="http://schemas.microsoft.com/office/drawing/2014/main" id="{58530D12-782E-4744-92A5-31CF5B563E70}"/>
            </a:ext>
          </a:extLst>
        </xdr:cNvPr>
        <xdr:cNvSpPr txBox="1"/>
      </xdr:nvSpPr>
      <xdr:spPr>
        <a:xfrm>
          <a:off x="35350636" y="5289737"/>
          <a:ext cx="1955427" cy="5053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b"/>
        <a:lstStyle/>
        <a:p>
          <a:pPr marL="0" indent="0"/>
          <a:fld id="{A0887E06-5564-4610-905A-7D5E4A0E50F4}" type="TxLink">
            <a:rPr lang="en-US" sz="2600" b="1" i="0" u="none" strike="noStrike">
              <a:solidFill>
                <a:srgbClr val="4F4789"/>
              </a:solidFill>
              <a:latin typeface="Arial"/>
              <a:ea typeface="+mn-ea"/>
              <a:cs typeface="Arial"/>
            </a:rPr>
            <a:pPr marL="0" indent="0"/>
            <a:t>#N/A</a:t>
          </a:fld>
          <a:endParaRPr lang="en-AU" sz="2600" b="1" i="0" u="none" strike="noStrike">
            <a:solidFill>
              <a:srgbClr val="4F4789"/>
            </a:solidFill>
            <a:latin typeface="Arial"/>
            <a:ea typeface="+mn-ea"/>
            <a:cs typeface="Arial"/>
          </a:endParaRPr>
        </a:p>
      </xdr:txBody>
    </xdr:sp>
    <xdr:clientData/>
  </xdr:twoCellAnchor>
  <xdr:twoCellAnchor>
    <xdr:from>
      <xdr:col>18</xdr:col>
      <xdr:colOff>574302</xdr:colOff>
      <xdr:row>5</xdr:row>
      <xdr:rowOff>31937</xdr:rowOff>
    </xdr:from>
    <xdr:to>
      <xdr:col>24</xdr:col>
      <xdr:colOff>423583</xdr:colOff>
      <xdr:row>7</xdr:row>
      <xdr:rowOff>14008</xdr:rowOff>
    </xdr:to>
    <xdr:sp macro="" textlink="">
      <xdr:nvSpPr>
        <xdr:cNvPr id="113" name="TextBox 112">
          <a:extLst>
            <a:ext uri="{FF2B5EF4-FFF2-40B4-BE49-F238E27FC236}">
              <a16:creationId xmlns:a16="http://schemas.microsoft.com/office/drawing/2014/main" id="{521AADB7-725E-4A7C-89A5-FA70A472B80F}"/>
            </a:ext>
          </a:extLst>
        </xdr:cNvPr>
        <xdr:cNvSpPr txBox="1"/>
      </xdr:nvSpPr>
      <xdr:spPr>
        <a:xfrm>
          <a:off x="28177752" y="1155887"/>
          <a:ext cx="3506881" cy="38212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AU" sz="1800"/>
            <a:t>Manure sold</a:t>
          </a:r>
        </a:p>
      </xdr:txBody>
    </xdr:sp>
    <xdr:clientData/>
  </xdr:twoCellAnchor>
  <xdr:twoCellAnchor editAs="oneCell">
    <xdr:from>
      <xdr:col>17</xdr:col>
      <xdr:colOff>174286</xdr:colOff>
      <xdr:row>3</xdr:row>
      <xdr:rowOff>190500</xdr:rowOff>
    </xdr:from>
    <xdr:to>
      <xdr:col>18</xdr:col>
      <xdr:colOff>492328</xdr:colOff>
      <xdr:row>8</xdr:row>
      <xdr:rowOff>70037</xdr:rowOff>
    </xdr:to>
    <xdr:pic>
      <xdr:nvPicPr>
        <xdr:cNvPr id="114" name="Picture 113">
          <a:extLst>
            <a:ext uri="{FF2B5EF4-FFF2-40B4-BE49-F238E27FC236}">
              <a16:creationId xmlns:a16="http://schemas.microsoft.com/office/drawing/2014/main" id="{8167B957-8EE3-4320-A307-70EDFFC31307}"/>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rcRect l="7481" r="7481"/>
        <a:stretch/>
      </xdr:blipFill>
      <xdr:spPr>
        <a:xfrm flipH="1">
          <a:off x="27168136" y="914400"/>
          <a:ext cx="927642" cy="879662"/>
        </a:xfrm>
        <a:prstGeom prst="ellipse">
          <a:avLst/>
        </a:prstGeom>
        <a:ln w="38100" cap="rnd">
          <a:solidFill>
            <a:srgbClr val="333333"/>
          </a:solidFill>
        </a:ln>
        <a:effectLst>
          <a:outerShdw blurRad="50800" dist="38100" dir="5400000" algn="t" rotWithShape="0">
            <a:prstClr val="black">
              <a:alpha val="40000"/>
            </a:prstClr>
          </a:outerShdw>
        </a:effectLst>
        <a:scene3d>
          <a:camera prst="orthographicFront"/>
          <a:lightRig rig="contrasting" dir="t">
            <a:rot lat="0" lon="0" rev="3000000"/>
          </a:lightRig>
        </a:scene3d>
        <a:sp3d contourW="7620">
          <a:bevelT w="95250" h="31750"/>
          <a:contourClr>
            <a:srgbClr val="333333"/>
          </a:contourClr>
        </a:sp3d>
      </xdr:spPr>
    </xdr:pic>
    <xdr:clientData/>
  </xdr:twoCellAnchor>
</xdr:wsDr>
</file>

<file path=xl/drawings/drawing3.xml><?xml version="1.0" encoding="utf-8"?>
<xdr:wsDr xmlns:xdr="http://schemas.openxmlformats.org/drawingml/2006/spreadsheetDrawing" xmlns:a="http://schemas.openxmlformats.org/drawingml/2006/main">
  <xdr:oneCellAnchor>
    <xdr:from>
      <xdr:col>3</xdr:col>
      <xdr:colOff>14287</xdr:colOff>
      <xdr:row>7</xdr:row>
      <xdr:rowOff>133350</xdr:rowOff>
    </xdr:from>
    <xdr:ext cx="2264338"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6E06E55-01C5-47CC-BBCA-4CC479C19C66}"/>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𝐷𝑀</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𝑗</m:t>
                            </m:r>
                          </m:sub>
                        </m:sSub>
                      </m:e>
                    </m:d>
                  </m:oMath>
                </m:oMathPara>
              </a14:m>
              <a:endParaRPr lang="en-AU" sz="1000"/>
            </a:p>
          </xdr:txBody>
        </xdr:sp>
      </mc:Choice>
      <mc:Fallback xmlns="">
        <xdr:sp macro="" textlink="">
          <xdr:nvSpPr>
            <xdr:cNvPr id="2" name="TextBox 1">
              <a:extLst>
                <a:ext uri="{FF2B5EF4-FFF2-40B4-BE49-F238E27FC236}">
                  <a16:creationId xmlns:a16="http://schemas.microsoft.com/office/drawing/2014/main" id="{56E06E55-01C5-47CC-BBCA-4CC479C19C66}"/>
                </a:ext>
              </a:extLst>
            </xdr:cNvPr>
            <xdr:cNvSpPr txBox="1"/>
          </xdr:nvSpPr>
          <xdr:spPr>
            <a:xfrm>
              <a:off x="2690812" y="2000250"/>
              <a:ext cx="2264338"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𝑉𝑆_𝑗𝑘=𝐼_𝑗𝑘×(1−𝐷𝑀𝐷_𝑗𝑘 )×(1−𝐴_𝑗 )</a:t>
              </a:r>
              <a:endParaRPr lang="en-AU" sz="1000"/>
            </a:p>
          </xdr:txBody>
        </xdr:sp>
      </mc:Fallback>
    </mc:AlternateContent>
    <xdr:clientData/>
  </xdr:oneCellAnchor>
  <xdr:oneCellAnchor>
    <xdr:from>
      <xdr:col>3</xdr:col>
      <xdr:colOff>4762</xdr:colOff>
      <xdr:row>44</xdr:row>
      <xdr:rowOff>133350</xdr:rowOff>
    </xdr:from>
    <xdr:ext cx="3038011" cy="18287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0A07DA38-5851-42F9-B8AE-B29CF744F48D}"/>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m:t>
                    </m:r>
                    <m:sSub>
                      <m:sSubPr>
                        <m:ctrlPr>
                          <a:rPr lang="en-AU" sz="1000" i="1">
                            <a:latin typeface="Cambria Math" panose="02040503050406030204" pitchFamily="18" charset="0"/>
                          </a:rPr>
                        </m:ctrlPr>
                      </m:sSubPr>
                      <m:e>
                        <m:r>
                          <a:rPr lang="en-AU" sz="1000" i="1">
                            <a:latin typeface="Cambria Math" panose="02040503050406030204" pitchFamily="18" charset="0"/>
                          </a:rPr>
                          <m:t>𝑂</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3" name="TextBox 2">
              <a:extLst>
                <a:ext uri="{FF2B5EF4-FFF2-40B4-BE49-F238E27FC236}">
                  <a16:creationId xmlns:a16="http://schemas.microsoft.com/office/drawing/2014/main" id="{0A07DA38-5851-42F9-B8AE-B29CF744F48D}"/>
                </a:ext>
              </a:extLst>
            </xdr:cNvPr>
            <xdr:cNvSpPr txBox="1"/>
          </xdr:nvSpPr>
          <xdr:spPr>
            <a:xfrm>
              <a:off x="2681287" y="11163300"/>
              <a:ext cx="303801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𝑀_(𝑗𝑘𝑚𝑇=1)=𝑉𝑆_𝑗𝑘×𝐵𝑂_𝑗×𝑀𝑀𝑆_(𝑗𝑚𝑇=1)×𝑀𝐶𝐹_𝑖𝑚×𝜌</a:t>
              </a:r>
              <a:endParaRPr lang="en-AU" sz="1000"/>
            </a:p>
          </xdr:txBody>
        </xdr:sp>
      </mc:Fallback>
    </mc:AlternateContent>
    <xdr:clientData/>
  </xdr:oneCellAnchor>
  <xdr:oneCellAnchor>
    <xdr:from>
      <xdr:col>3</xdr:col>
      <xdr:colOff>23812</xdr:colOff>
      <xdr:row>95</xdr:row>
      <xdr:rowOff>142875</xdr:rowOff>
    </xdr:from>
    <xdr:ext cx="2713179"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BAAE1E61-1D12-4FA6-BF48-543961857CEA}"/>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𝑉</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𝐿</m:t>
                            </m:r>
                          </m:e>
                          <m:sub>
                            <m:r>
                              <a:rPr lang="en-AU" sz="1000" i="1">
                                <a:latin typeface="Cambria Math" panose="02040503050406030204" pitchFamily="18" charset="0"/>
                              </a:rPr>
                              <m:t>𝑚𝑇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4" name="TextBox 3">
              <a:extLst>
                <a:ext uri="{FF2B5EF4-FFF2-40B4-BE49-F238E27FC236}">
                  <a16:creationId xmlns:a16="http://schemas.microsoft.com/office/drawing/2014/main" id="{BAAE1E61-1D12-4FA6-BF48-543961857CEA}"/>
                </a:ext>
              </a:extLst>
            </xdr:cNvPr>
            <xdr:cNvSpPr txBox="1"/>
          </xdr:nvSpPr>
          <xdr:spPr>
            <a:xfrm>
              <a:off x="2700337" y="23802975"/>
              <a:ext cx="2713179"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𝑉𝑆𝑇_𝑗𝑘=𝑉𝑆_𝑗𝑘×𝑀𝑀𝑆_(𝑗𝑚𝑇=1)×(1−𝑉𝑆𝐿_(𝑚𝑇=1) )</a:t>
              </a:r>
              <a:endParaRPr lang="en-AU" sz="1000"/>
            </a:p>
          </xdr:txBody>
        </xdr:sp>
      </mc:Fallback>
    </mc:AlternateContent>
    <xdr:clientData/>
  </xdr:oneCellAnchor>
  <xdr:oneCellAnchor>
    <xdr:from>
      <xdr:col>2</xdr:col>
      <xdr:colOff>300037</xdr:colOff>
      <xdr:row>124</xdr:row>
      <xdr:rowOff>123825</xdr:rowOff>
    </xdr:from>
    <xdr:ext cx="3071995"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A7B2F6D-A1A8-492B-A37E-4D5D9794223B}"/>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𝑉𝑆</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𝐵𝑂</m:t>
                    </m:r>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𝑀𝐶</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𝑖𝑚</m:t>
                        </m:r>
                      </m:sub>
                    </m:sSub>
                    <m:r>
                      <a:rPr lang="en-AU" sz="1000" i="1">
                        <a:latin typeface="Cambria Math" panose="02040503050406030204" pitchFamily="18" charset="0"/>
                      </a:rPr>
                      <m:t>×</m:t>
                    </m:r>
                    <m:r>
                      <a:rPr lang="en-AU" sz="1000" i="1">
                        <a:latin typeface="Cambria Math" panose="02040503050406030204" pitchFamily="18" charset="0"/>
                      </a:rPr>
                      <m:t>𝜌</m:t>
                    </m:r>
                  </m:oMath>
                </m:oMathPara>
              </a14:m>
              <a:endParaRPr lang="en-AU" sz="1000"/>
            </a:p>
          </xdr:txBody>
        </xdr:sp>
      </mc:Choice>
      <mc:Fallback xmlns="">
        <xdr:sp macro="" textlink="">
          <xdr:nvSpPr>
            <xdr:cNvPr id="5" name="TextBox 4">
              <a:extLst>
                <a:ext uri="{FF2B5EF4-FFF2-40B4-BE49-F238E27FC236}">
                  <a16:creationId xmlns:a16="http://schemas.microsoft.com/office/drawing/2014/main" id="{BA7B2F6D-A1A8-492B-A37E-4D5D9794223B}"/>
                </a:ext>
              </a:extLst>
            </xdr:cNvPr>
            <xdr:cNvSpPr txBox="1"/>
          </xdr:nvSpPr>
          <xdr:spPr>
            <a:xfrm>
              <a:off x="2662237" y="30965775"/>
              <a:ext cx="307199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𝑀_(𝑗𝑘𝑚𝑇=2)=𝑉𝑆𝑇_𝑗𝑘×𝐵𝑂×𝑀𝑀𝑆_(𝑗𝑚𝑇=2)×𝑀𝐶𝐹_𝑖𝑚×𝜌</a:t>
              </a:r>
              <a:endParaRPr lang="en-AU" sz="1000"/>
            </a:p>
          </xdr:txBody>
        </xdr:sp>
      </mc:Fallback>
    </mc:AlternateContent>
    <xdr:clientData/>
  </xdr:oneCellAnchor>
  <xdr:oneCellAnchor>
    <xdr:from>
      <xdr:col>3</xdr:col>
      <xdr:colOff>4762</xdr:colOff>
      <xdr:row>179</xdr:row>
      <xdr:rowOff>76200</xdr:rowOff>
    </xdr:from>
    <xdr:ext cx="3010631"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113C6AD5-CE78-49D7-B2AD-D83D8D82D52E}"/>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113C6AD5-CE78-49D7-B2AD-D83D8D82D52E}"/>
                </a:ext>
              </a:extLst>
            </xdr:cNvPr>
            <xdr:cNvSpPr txBox="1"/>
          </xdr:nvSpPr>
          <xdr:spPr>
            <a:xfrm>
              <a:off x="2681287" y="445389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2</xdr:col>
      <xdr:colOff>304800</xdr:colOff>
      <xdr:row>7</xdr:row>
      <xdr:rowOff>125506</xdr:rowOff>
    </xdr:from>
    <xdr:ext cx="1494833"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D6564C35-538D-42F8-97F1-4E6B35292A76}"/>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𝐶</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𝑗𝑘</m:t>
                        </m:r>
                      </m:sub>
                    </m:sSub>
                    <m:r>
                      <a:rPr lang="en-AU" sz="1000" i="1">
                        <a:latin typeface="Cambria Math" panose="02040503050406030204" pitchFamily="18" charset="0"/>
                      </a:rPr>
                      <m:t>÷6.25</m:t>
                    </m:r>
                  </m:oMath>
                </m:oMathPara>
              </a14:m>
              <a:endParaRPr lang="en-AU" sz="1000"/>
            </a:p>
          </xdr:txBody>
        </xdr:sp>
      </mc:Choice>
      <mc:Fallback xmlns="">
        <xdr:sp macro="" textlink="">
          <xdr:nvSpPr>
            <xdr:cNvPr id="2" name="TextBox 1">
              <a:extLst>
                <a:ext uri="{FF2B5EF4-FFF2-40B4-BE49-F238E27FC236}">
                  <a16:creationId xmlns:a16="http://schemas.microsoft.com/office/drawing/2014/main" id="{D6564C35-538D-42F8-97F1-4E6B35292A76}"/>
                </a:ext>
              </a:extLst>
            </xdr:cNvPr>
            <xdr:cNvSpPr txBox="1"/>
          </xdr:nvSpPr>
          <xdr:spPr>
            <a:xfrm>
              <a:off x="2667000" y="1992406"/>
              <a:ext cx="1494833"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𝑁𝐼_𝑗𝑘=𝐼_𝑗𝑘×𝐶𝑃_𝑗𝑘÷6.25</a:t>
              </a:r>
              <a:endParaRPr lang="en-AU" sz="1000"/>
            </a:p>
          </xdr:txBody>
        </xdr:sp>
      </mc:Fallback>
    </mc:AlternateContent>
    <xdr:clientData/>
  </xdr:oneCellAnchor>
  <xdr:oneCellAnchor>
    <xdr:from>
      <xdr:col>3</xdr:col>
      <xdr:colOff>13447</xdr:colOff>
      <xdr:row>36</xdr:row>
      <xdr:rowOff>91888</xdr:rowOff>
    </xdr:from>
    <xdr:ext cx="1609993" cy="194990"/>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A4E5D50-7742-4260-8B98-4B3D3B3538BC}"/>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𝐼</m:t>
                        </m:r>
                      </m:e>
                      <m:sub>
                        <m:r>
                          <a:rPr lang="en-AU" sz="1000" i="1">
                            <a:latin typeface="Cambria Math" panose="02040503050406030204" pitchFamily="18" charset="0"/>
                          </a:rPr>
                          <m:t>𝑗𝑘</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𝑅</m:t>
                            </m:r>
                          </m:e>
                          <m:sub>
                            <m:r>
                              <a:rPr lang="en-AU" sz="1000" i="1">
                                <a:latin typeface="Cambria Math" panose="02040503050406030204" pitchFamily="18" charset="0"/>
                              </a:rPr>
                              <m:t>𝑗𝑘</m:t>
                            </m:r>
                          </m:sub>
                        </m:sSub>
                      </m:e>
                    </m:d>
                  </m:oMath>
                </m:oMathPara>
              </a14:m>
              <a:endParaRPr lang="en-AU" sz="1000"/>
            </a:p>
          </xdr:txBody>
        </xdr:sp>
      </mc:Choice>
      <mc:Fallback xmlns="">
        <xdr:sp macro="" textlink="">
          <xdr:nvSpPr>
            <xdr:cNvPr id="3" name="TextBox 2">
              <a:extLst>
                <a:ext uri="{FF2B5EF4-FFF2-40B4-BE49-F238E27FC236}">
                  <a16:creationId xmlns:a16="http://schemas.microsoft.com/office/drawing/2014/main" id="{3A4E5D50-7742-4260-8B98-4B3D3B3538BC}"/>
                </a:ext>
              </a:extLst>
            </xdr:cNvPr>
            <xdr:cNvSpPr txBox="1"/>
          </xdr:nvSpPr>
          <xdr:spPr>
            <a:xfrm>
              <a:off x="2689972" y="9140638"/>
              <a:ext cx="160999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𝑁𝐸_𝑗𝑘=𝑁𝐼_𝑗𝑘×(1−𝑁𝑅_𝑗𝑘 )</a:t>
              </a:r>
              <a:endParaRPr lang="en-AU" sz="1000"/>
            </a:p>
          </xdr:txBody>
        </xdr:sp>
      </mc:Fallback>
    </mc:AlternateContent>
    <xdr:clientData/>
  </xdr:oneCellAnchor>
  <xdr:oneCellAnchor>
    <xdr:from>
      <xdr:col>3</xdr:col>
      <xdr:colOff>24653</xdr:colOff>
      <xdr:row>59</xdr:row>
      <xdr:rowOff>147917</xdr:rowOff>
    </xdr:from>
    <xdr:ext cx="1513555" cy="18287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A9F9948E-4449-463D-8DD4-9529976C3D47}"/>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A9F9948E-4449-463D-8DD4-9529976C3D47}"/>
                </a:ext>
              </a:extLst>
            </xdr:cNvPr>
            <xdr:cNvSpPr txBox="1"/>
          </xdr:nvSpPr>
          <xdr:spPr>
            <a:xfrm>
              <a:off x="2701178" y="14892617"/>
              <a:ext cx="1513555"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𝐴𝐸_𝑗𝑘=𝑁_𝑗𝑘×𝑁𝐸_𝑗𝑘×𝐷_𝑗𝑘</a:t>
              </a:r>
              <a:endParaRPr lang="en-AU" sz="1000"/>
            </a:p>
          </xdr:txBody>
        </xdr:sp>
      </mc:Fallback>
    </mc:AlternateContent>
    <xdr:clientData/>
  </xdr:oneCellAnchor>
  <xdr:oneCellAnchor>
    <xdr:from>
      <xdr:col>3</xdr:col>
      <xdr:colOff>2240</xdr:colOff>
      <xdr:row>88</xdr:row>
      <xdr:rowOff>114300</xdr:rowOff>
    </xdr:from>
    <xdr:ext cx="1973232" cy="182871"/>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4261ED7-6495-445F-9413-14D5AFA92103}"/>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𝐴</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𝑗𝑘</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oMath>
                </m:oMathPara>
              </a14:m>
              <a:endParaRPr lang="en-AU" sz="1000"/>
            </a:p>
          </xdr:txBody>
        </xdr:sp>
      </mc:Choice>
      <mc:Fallback xmlns="">
        <xdr:sp macro="" textlink="">
          <xdr:nvSpPr>
            <xdr:cNvPr id="5" name="TextBox 4">
              <a:extLst>
                <a:ext uri="{FF2B5EF4-FFF2-40B4-BE49-F238E27FC236}">
                  <a16:creationId xmlns:a16="http://schemas.microsoft.com/office/drawing/2014/main" id="{B4261ED7-6495-445F-9413-14D5AFA92103}"/>
                </a:ext>
              </a:extLst>
            </xdr:cNvPr>
            <xdr:cNvSpPr txBox="1"/>
          </xdr:nvSpPr>
          <xdr:spPr>
            <a:xfrm>
              <a:off x="2678765" y="22040850"/>
              <a:ext cx="1973232"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𝑀𝑁_(𝑗𝑘𝑚,𝑇=1)=𝐴𝐸_𝑗𝑘×𝑀𝑀𝑆_(𝑗𝑚,𝑇=1)</a:t>
              </a:r>
              <a:endParaRPr lang="en-AU" sz="1000"/>
            </a:p>
          </xdr:txBody>
        </xdr:sp>
      </mc:Fallback>
    </mc:AlternateContent>
    <xdr:clientData/>
  </xdr:oneCellAnchor>
  <xdr:oneCellAnchor>
    <xdr:from>
      <xdr:col>3</xdr:col>
      <xdr:colOff>24653</xdr:colOff>
      <xdr:row>117</xdr:row>
      <xdr:rowOff>125505</xdr:rowOff>
    </xdr:from>
    <xdr:ext cx="3641894" cy="194990"/>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6715EE9-715E-4B9C-8B4A-34803F62F2E2}"/>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=1</m:t>
                            </m:r>
                          </m:sub>
                        </m:sSub>
                      </m:e>
                    </m:d>
                  </m:oMath>
                </m:oMathPara>
              </a14:m>
              <a:endParaRPr lang="en-AU" sz="1000"/>
            </a:p>
          </xdr:txBody>
        </xdr:sp>
      </mc:Choice>
      <mc:Fallback xmlns="">
        <xdr:sp macro="" textlink="">
          <xdr:nvSpPr>
            <xdr:cNvPr id="6" name="TextBox 5">
              <a:extLst>
                <a:ext uri="{FF2B5EF4-FFF2-40B4-BE49-F238E27FC236}">
                  <a16:creationId xmlns:a16="http://schemas.microsoft.com/office/drawing/2014/main" id="{96715EE9-715E-4B9C-8B4A-34803F62F2E2}"/>
                </a:ext>
              </a:extLst>
            </xdr:cNvPr>
            <xdr:cNvSpPr txBox="1"/>
          </xdr:nvSpPr>
          <xdr:spPr>
            <a:xfrm>
              <a:off x="2701178" y="29233905"/>
              <a:ext cx="3641894"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𝑁𝑇_(𝑗𝑘𝑚,𝑇=2)=𝑀𝑁_(𝑗𝑘𝑚,𝑇=1)×(1−𝐹𝑟𝑎𝑐𝐺𝐴𝑆𝑀_(𝑚,𝑇=1)−𝐸𝐹_(𝑚,𝑇=1) )</a:t>
              </a:r>
              <a:endParaRPr lang="en-AU" sz="1000"/>
            </a:p>
          </xdr:txBody>
        </xdr:sp>
      </mc:Fallback>
    </mc:AlternateContent>
    <xdr:clientData/>
  </xdr:oneCellAnchor>
  <xdr:oneCellAnchor>
    <xdr:from>
      <xdr:col>3</xdr:col>
      <xdr:colOff>35859</xdr:colOff>
      <xdr:row>158</xdr:row>
      <xdr:rowOff>147918</xdr:rowOff>
    </xdr:from>
    <xdr:ext cx="2258631" cy="182871"/>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C0E7CAFF-0829-438F-939B-7030A21FFF90}"/>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𝑁</m:t>
                    </m:r>
                    <m:sSub>
                      <m:sSubPr>
                        <m:ctrlPr>
                          <a:rPr lang="en-AU" sz="1000" i="1">
                            <a:latin typeface="Cambria Math" panose="02040503050406030204" pitchFamily="18" charset="0"/>
                          </a:rPr>
                        </m:ctrlPr>
                      </m:sSubPr>
                      <m:e>
                        <m:r>
                          <a:rPr lang="en-AU" sz="1000" i="1">
                            <a:latin typeface="Cambria Math" panose="02040503050406030204" pitchFamily="18" charset="0"/>
                          </a:rPr>
                          <m:t>𝑇</m:t>
                        </m:r>
                      </m:e>
                      <m:sub>
                        <m:r>
                          <a:rPr lang="en-AU" sz="1000" i="1">
                            <a:latin typeface="Cambria Math" panose="02040503050406030204" pitchFamily="18" charset="0"/>
                          </a:rPr>
                          <m:t>𝑗𝑘𝑚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oMath>
                </m:oMathPara>
              </a14:m>
              <a:endParaRPr lang="en-AU" sz="1000"/>
            </a:p>
          </xdr:txBody>
        </xdr:sp>
      </mc:Choice>
      <mc:Fallback xmlns="">
        <xdr:sp macro="" textlink="">
          <xdr:nvSpPr>
            <xdr:cNvPr id="7" name="TextBox 6">
              <a:extLst>
                <a:ext uri="{FF2B5EF4-FFF2-40B4-BE49-F238E27FC236}">
                  <a16:creationId xmlns:a16="http://schemas.microsoft.com/office/drawing/2014/main" id="{C0E7CAFF-0829-438F-939B-7030A21FFF90}"/>
                </a:ext>
              </a:extLst>
            </xdr:cNvPr>
            <xdr:cNvSpPr txBox="1"/>
          </xdr:nvSpPr>
          <xdr:spPr>
            <a:xfrm>
              <a:off x="2712384" y="39409968"/>
              <a:ext cx="2258631"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𝑀𝑁_(𝑗𝑘𝑚,𝑇=2)=𝑁𝑇_(𝑗𝑘𝑚,𝑇=2)×𝑀𝑀𝑆_(𝑚,𝑇=2)</a:t>
              </a:r>
              <a:endParaRPr lang="en-AU" sz="1000"/>
            </a:p>
          </xdr:txBody>
        </xdr:sp>
      </mc:Fallback>
    </mc:AlternateContent>
    <xdr:clientData/>
  </xdr:oneCellAnchor>
  <xdr:oneCellAnchor>
    <xdr:from>
      <xdr:col>3</xdr:col>
      <xdr:colOff>2240</xdr:colOff>
      <xdr:row>209</xdr:row>
      <xdr:rowOff>58271</xdr:rowOff>
    </xdr:from>
    <xdr:ext cx="3509679" cy="42992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7F0068A-94FC-4D2C-96CD-BE3C540F2FA9}"/>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𝑗𝑚</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8" name="TextBox 7">
              <a:extLst>
                <a:ext uri="{FF2B5EF4-FFF2-40B4-BE49-F238E27FC236}">
                  <a16:creationId xmlns:a16="http://schemas.microsoft.com/office/drawing/2014/main" id="{A7F0068A-94FC-4D2C-96CD-BE3C540F2FA9}"/>
                </a:ext>
              </a:extLst>
            </xdr:cNvPr>
            <xdr:cNvSpPr txBox="1"/>
          </xdr:nvSpPr>
          <xdr:spPr>
            <a:xfrm>
              <a:off x="2678765" y="51950471"/>
              <a:ext cx="350967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𝐸_(𝑁2𝑂,𝑑𝑖𝑟)=∑_𝑗▒∑_𝑘▒∑_𝑚▒∑_𝑇▒(𝑀𝑁_𝑗𝑘𝑚𝑇×𝐸𝐹_𝑗𝑚×𝐶_𝑁2𝑂 ) ×10^(−3)</a:t>
              </a:r>
              <a:endParaRPr lang="en-AU" sz="10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33337</xdr:colOff>
      <xdr:row>7</xdr:row>
      <xdr:rowOff>28575</xdr:rowOff>
    </xdr:from>
    <xdr:ext cx="3305777"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369AB74-D1BC-4B9F-89BA-A978A3F150A1}"/>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𝑗𝑘𝑚𝑇</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sub>
                                        </m:sSub>
                                      </m:e>
                                    </m:d>
                                  </m:e>
                                </m:nary>
                              </m:e>
                            </m:nary>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B369AB74-D1BC-4B9F-89BA-A978A3F150A1}"/>
                </a:ext>
              </a:extLst>
            </xdr:cNvPr>
            <xdr:cNvSpPr txBox="1"/>
          </xdr:nvSpPr>
          <xdr:spPr>
            <a:xfrm>
              <a:off x="2709862" y="1895475"/>
              <a:ext cx="330577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𝑀𝑀𝑆_𝐴𝑇𝑀𝑂𝑆=∑_𝑗▒∑_𝑘▒∑_𝑚▒∑_𝑇▒(𝑀𝑁_𝑗𝑘𝑚𝑇×𝐹𝑟𝑎𝑐𝐺𝐴𝑆𝑀_𝑚𝑇 ) </a:t>
              </a:r>
              <a:endParaRPr lang="en-AU" sz="1000"/>
            </a:p>
          </xdr:txBody>
        </xdr:sp>
      </mc:Fallback>
    </mc:AlternateContent>
    <xdr:clientData/>
  </xdr:oneCellAnchor>
  <xdr:oneCellAnchor>
    <xdr:from>
      <xdr:col>2</xdr:col>
      <xdr:colOff>280987</xdr:colOff>
      <xdr:row>83</xdr:row>
      <xdr:rowOff>123825</xdr:rowOff>
    </xdr:from>
    <xdr:ext cx="2914836"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071BA60-1B97-4975-BB0F-499101C51C0D}"/>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𝑀𝑀</m:t>
                        </m:r>
                        <m:sSub>
                          <m:sSubPr>
                            <m:ctrlPr>
                              <a:rPr lang="en-AU" sz="1000" i="1">
                                <a:latin typeface="Cambria Math" panose="02040503050406030204" pitchFamily="18" charset="0"/>
                              </a:rPr>
                            </m:ctrlPr>
                          </m:sSubPr>
                          <m:e>
                            <m:r>
                              <a:rPr lang="en-AU" sz="1000" i="1">
                                <a:latin typeface="Cambria Math" panose="02040503050406030204" pitchFamily="18" charset="0"/>
                              </a:rPr>
                              <m:t>𝑆</m:t>
                            </m:r>
                          </m:e>
                          <m:sub>
                            <m:r>
                              <a:rPr lang="en-AU" sz="1000" i="1">
                                <a:latin typeface="Cambria Math" panose="02040503050406030204" pitchFamily="18" charset="0"/>
                              </a:rPr>
                              <m:t>𝐴𝑇𝑀𝑂𝑆</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E071BA60-1B97-4975-BB0F-499101C51C0D}"/>
                </a:ext>
              </a:extLst>
            </xdr:cNvPr>
            <xdr:cNvSpPr txBox="1"/>
          </xdr:nvSpPr>
          <xdr:spPr>
            <a:xfrm>
              <a:off x="2643187" y="20812125"/>
              <a:ext cx="2914836"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𝐸_(𝑁2𝑂,𝑎𝑑)=(𝑀𝑀𝑆_𝐴𝑇𝑀𝑂𝑆×𝐸𝐹_𝑁2𝑂×𝐶_𝑁2𝑂 )×10^(−3)</a:t>
              </a:r>
              <a:endParaRPr lang="en-AU" sz="10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2</xdr:col>
      <xdr:colOff>304800</xdr:colOff>
      <xdr:row>7</xdr:row>
      <xdr:rowOff>136712</xdr:rowOff>
    </xdr:from>
    <xdr:ext cx="3745704"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8779A8E-309B-49CC-92EC-AF9D1A3436D2}"/>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=4,</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𝐹𝑟𝑎𝑐𝑊𝐸𝑇</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𝑀𝑆</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B8779A8E-309B-49CC-92EC-AF9D1A3436D2}"/>
                </a:ext>
              </a:extLst>
            </xdr:cNvPr>
            <xdr:cNvSpPr txBox="1"/>
          </xdr:nvSpPr>
          <xdr:spPr>
            <a:xfrm>
              <a:off x="2667000" y="2003612"/>
              <a:ext cx="3745704"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𝑀𝑁𝐿𝑒𝑎𝑐ℎ_(𝑗𝑘𝑚=4)=𝑀𝑁_(𝑗𝑘𝑚=4,𝑇=2)×𝐹𝑟𝑎𝑐𝑊𝐸𝑇×𝐹𝑟𝑎𝑐𝐿𝐸𝐴𝐶𝐻_𝑀𝑆</a:t>
              </a:r>
              <a:endParaRPr lang="en-AU" sz="1000"/>
            </a:p>
          </xdr:txBody>
        </xdr:sp>
      </mc:Fallback>
    </mc:AlternateContent>
    <xdr:clientData/>
  </xdr:oneCellAnchor>
  <xdr:oneCellAnchor>
    <xdr:from>
      <xdr:col>3</xdr:col>
      <xdr:colOff>2241</xdr:colOff>
      <xdr:row>42</xdr:row>
      <xdr:rowOff>114299</xdr:rowOff>
    </xdr:from>
    <xdr:ext cx="3270190" cy="186333"/>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051F9D7-5315-43B2-9238-4A579E99E4D6}"/>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𝑗𝑘𝑚</m:t>
                        </m:r>
                        <m:r>
                          <a:rPr lang="en-AU" sz="1000" i="1">
                            <a:latin typeface="Cambria Math" panose="02040503050406030204" pitchFamily="18" charset="0"/>
                          </a:rPr>
                          <m:t>=4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7051F9D7-5315-43B2-9238-4A579E99E4D6}"/>
                </a:ext>
              </a:extLst>
            </xdr:cNvPr>
            <xdr:cNvSpPr txBox="1"/>
          </xdr:nvSpPr>
          <xdr:spPr>
            <a:xfrm>
              <a:off x="2678766" y="10648949"/>
              <a:ext cx="3270190" cy="1863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𝐸_(𝑁2𝑂,𝑙𝑒𝑎𝑐ℎ)=𝑀𝑁𝐿𝑒𝑎𝑐ℎ_(𝑗𝑘𝑚=4)×𝐸𝐹_𝑙𝑒𝑎𝑐ℎ×𝐶_𝑁2𝑂×10^(−3)</a:t>
              </a:r>
              <a:endParaRPr lang="en-AU" sz="1000"/>
            </a:p>
          </xdr:txBody>
        </xdr:sp>
      </mc:Fallback>
    </mc:AlternateContent>
    <xdr:clientData/>
  </xdr:oneCellAnchor>
</xdr:wsDr>
</file>

<file path=xl/drawings/drawing7.xml><?xml version="1.0" encoding="utf-8"?>
<xdr:wsDr xmlns:xdr="http://schemas.openxmlformats.org/drawingml/2006/spreadsheetDrawing" xmlns:a="http://schemas.openxmlformats.org/drawingml/2006/main">
  <xdr:oneCellAnchor>
    <xdr:from>
      <xdr:col>3</xdr:col>
      <xdr:colOff>4762</xdr:colOff>
      <xdr:row>7</xdr:row>
      <xdr:rowOff>28575</xdr:rowOff>
    </xdr:from>
    <xdr:ext cx="561583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EBC2B986-4EC8-428B-9339-BCCB02D8A283}"/>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1</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r>
                      <a:rPr lang="en-AU" sz="1000" i="1">
                        <a:latin typeface="Cambria Math" panose="02040503050406030204" pitchFamily="18" charset="0"/>
                      </a:rPr>
                      <m:t>𝑃𝐹</m:t>
                    </m:r>
                  </m:oMath>
                </m:oMathPara>
              </a14:m>
              <a:endParaRPr lang="en-AU" sz="1000"/>
            </a:p>
          </xdr:txBody>
        </xdr:sp>
      </mc:Choice>
      <mc:Fallback xmlns="">
        <xdr:sp macro="" textlink="">
          <xdr:nvSpPr>
            <xdr:cNvPr id="2" name="TextBox 1">
              <a:extLst>
                <a:ext uri="{FF2B5EF4-FFF2-40B4-BE49-F238E27FC236}">
                  <a16:creationId xmlns:a16="http://schemas.microsoft.com/office/drawing/2014/main" id="{EBC2B986-4EC8-428B-9339-BCCB02D8A283}"/>
                </a:ext>
              </a:extLst>
            </xdr:cNvPr>
            <xdr:cNvSpPr txBox="1"/>
          </xdr:nvSpPr>
          <xdr:spPr>
            <a:xfrm>
              <a:off x="2681287" y="1895475"/>
              <a:ext cx="561583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𝑀𝑁𝑆𝑜𝑖𝑙_𝑠𝑐𝑜𝑝𝑒1=∑_𝑗▒∑_𝑚▒(𝑀𝑁_(𝑗𝑚,𝑇=2)×(1−𝐸𝐹_(𝑚𝑇=2)−𝐹𝑟𝑎𝑐𝐺𝐴𝑆𝑀_(𝑚𝑇=2) )−𝑀𝑁𝐿𝑒𝑎𝑐ℎ_𝑀𝑀𝑆 ) ×𝑃𝐹</a:t>
              </a:r>
              <a:endParaRPr lang="en-AU" sz="1000"/>
            </a:p>
          </xdr:txBody>
        </xdr:sp>
      </mc:Fallback>
    </mc:AlternateContent>
    <xdr:clientData/>
  </xdr:oneCellAnchor>
  <xdr:oneCellAnchor>
    <xdr:from>
      <xdr:col>3</xdr:col>
      <xdr:colOff>14287</xdr:colOff>
      <xdr:row>127</xdr:row>
      <xdr:rowOff>38100</xdr:rowOff>
    </xdr:from>
    <xdr:ext cx="5979136"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446CB968-51DF-4B15-95A2-03591440D02C}"/>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𝑠𝑐𝑜𝑝𝑒</m:t>
                        </m:r>
                        <m:r>
                          <a:rPr lang="en-AU" sz="1000" i="1">
                            <a:latin typeface="Cambria Math" panose="02040503050406030204" pitchFamily="18" charset="0"/>
                          </a:rPr>
                          <m:t>3</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𝑗𝑚</m:t>
                                    </m:r>
                                    <m:r>
                                      <a:rPr lang="en-AU" sz="1000" i="1">
                                        <a:latin typeface="Cambria Math" panose="02040503050406030204" pitchFamily="18" charset="0"/>
                                      </a:rPr>
                                      <m:t>,</m:t>
                                    </m:r>
                                    <m:r>
                                      <a:rPr lang="en-AU" sz="1000" i="1">
                                        <a:latin typeface="Cambria Math" panose="02040503050406030204" pitchFamily="18" charset="0"/>
                                      </a:rPr>
                                      <m:t>𝑇</m:t>
                                    </m:r>
                                    <m:r>
                                      <a:rPr lang="en-AU" sz="1000" i="1">
                                        <a:latin typeface="Cambria Math" panose="02040503050406030204" pitchFamily="18" charset="0"/>
                                      </a:rPr>
                                      <m:t>=2</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𝑚𝑇</m:t>
                                        </m:r>
                                        <m:r>
                                          <a:rPr lang="en-AU" sz="1000" i="1">
                                            <a:latin typeface="Cambria Math" panose="02040503050406030204" pitchFamily="18" charset="0"/>
                                          </a:rPr>
                                          <m:t>=2</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𝑚𝑇</m:t>
                                        </m:r>
                                        <m:r>
                                          <a:rPr lang="en-AU" sz="1000" i="1">
                                            <a:latin typeface="Cambria Math" panose="02040503050406030204" pitchFamily="18" charset="0"/>
                                          </a:rPr>
                                          <m:t>=2</m:t>
                                        </m:r>
                                      </m:sub>
                                    </m:sSub>
                                  </m:e>
                                </m:d>
                                <m:r>
                                  <a:rPr lang="en-AU" sz="1000" i="1">
                                    <a:latin typeface="Cambria Math" panose="02040503050406030204" pitchFamily="18" charset="0"/>
                                  </a:rPr>
                                  <m:t>−</m:t>
                                </m:r>
                                <m:r>
                                  <a:rPr lang="en-AU" sz="1000" i="1">
                                    <a:latin typeface="Cambria Math" panose="02040503050406030204" pitchFamily="18" charset="0"/>
                                  </a:rPr>
                                  <m:t>𝑀𝑁𝐿𝑒𝑎𝑐</m:t>
                                </m:r>
                                <m:sSub>
                                  <m:sSubPr>
                                    <m:ctrlPr>
                                      <a:rPr lang="en-AU" sz="1000" i="1">
                                        <a:latin typeface="Cambria Math" panose="02040503050406030204" pitchFamily="18" charset="0"/>
                                      </a:rPr>
                                    </m:ctrlPr>
                                  </m:sSubPr>
                                  <m:e>
                                    <m:r>
                                      <a:rPr lang="en-AU" sz="1000" i="1">
                                        <a:latin typeface="Cambria Math" panose="02040503050406030204" pitchFamily="18" charset="0"/>
                                      </a:rPr>
                                      <m:t>ℎ</m:t>
                                    </m:r>
                                  </m:e>
                                  <m:sub>
                                    <m:r>
                                      <a:rPr lang="en-AU" sz="1000" i="1">
                                        <a:latin typeface="Cambria Math" panose="02040503050406030204" pitchFamily="18" charset="0"/>
                                      </a:rPr>
                                      <m:t>𝑀𝑀𝑆</m:t>
                                    </m:r>
                                  </m:sub>
                                </m:sSub>
                              </m:e>
                            </m:d>
                          </m:e>
                        </m:nary>
                      </m:e>
                    </m:nary>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r>
                          <a:rPr lang="en-AU" sz="1000" i="1">
                            <a:latin typeface="Cambria Math" panose="02040503050406030204" pitchFamily="18" charset="0"/>
                          </a:rPr>
                          <m:t>𝑃𝐹</m:t>
                        </m:r>
                      </m:e>
                    </m:d>
                  </m:oMath>
                </m:oMathPara>
              </a14:m>
              <a:endParaRPr lang="en-AU" sz="1000"/>
            </a:p>
          </xdr:txBody>
        </xdr:sp>
      </mc:Choice>
      <mc:Fallback xmlns="">
        <xdr:sp macro="" textlink="">
          <xdr:nvSpPr>
            <xdr:cNvPr id="3" name="TextBox 2">
              <a:extLst>
                <a:ext uri="{FF2B5EF4-FFF2-40B4-BE49-F238E27FC236}">
                  <a16:creationId xmlns:a16="http://schemas.microsoft.com/office/drawing/2014/main" id="{446CB968-51DF-4B15-95A2-03591440D02C}"/>
                </a:ext>
              </a:extLst>
            </xdr:cNvPr>
            <xdr:cNvSpPr txBox="1"/>
          </xdr:nvSpPr>
          <xdr:spPr>
            <a:xfrm>
              <a:off x="2690812" y="31623000"/>
              <a:ext cx="59791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𝑀𝑁𝑆𝑜𝑖𝑙_𝑠𝑐𝑜𝑝𝑒3=∑_𝑗▒∑_𝑚▒(𝑀𝑁_(𝑗𝑚,𝑇=2)×(1−𝐸𝐹_(𝑚𝑇=2)−𝐹𝑟𝑎𝑐𝐺𝐴𝑆𝑀_(𝑚𝑇=2) )−𝑀𝑁𝐿𝑒𝑎𝑐ℎ_𝑀𝑀𝑆 ) ×(1−𝑃𝐹)</a:t>
              </a:r>
              <a:endParaRPr lang="en-AU" sz="1000"/>
            </a:p>
          </xdr:txBody>
        </xdr:sp>
      </mc:Fallback>
    </mc:AlternateContent>
    <xdr:clientData/>
  </xdr:oneCellAnchor>
</xdr:wsDr>
</file>

<file path=xl/drawings/drawing8.xml><?xml version="1.0" encoding="utf-8"?>
<xdr:wsDr xmlns:xdr="http://schemas.openxmlformats.org/drawingml/2006/spreadsheetDrawing" xmlns:a="http://schemas.openxmlformats.org/drawingml/2006/main">
  <xdr:oneCellAnchor>
    <xdr:from>
      <xdr:col>2</xdr:col>
      <xdr:colOff>309562</xdr:colOff>
      <xdr:row>7</xdr:row>
      <xdr:rowOff>47625</xdr:rowOff>
    </xdr:from>
    <xdr:ext cx="3858428"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A6812AD-0354-4119-BDF0-87DEB383B82D}"/>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𝑃𝑅𝑃</m:t>
                        </m:r>
                        <m:r>
                          <a:rPr lang="en-AU" sz="1000" i="1">
                            <a:latin typeface="Cambria Math" panose="02040503050406030204" pitchFamily="18" charset="0"/>
                          </a:rPr>
                          <m:t>,</m:t>
                        </m:r>
                        <m:r>
                          <a:rPr lang="en-AU" sz="1000" i="1">
                            <a:latin typeface="Cambria Math" panose="02040503050406030204" pitchFamily="18" charset="0"/>
                          </a:rPr>
                          <m:t>𝑑𝑖𝑟</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𝑃𝑅𝑃</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A6812AD-0354-4119-BDF0-87DEB383B82D}"/>
                </a:ext>
              </a:extLst>
            </xdr:cNvPr>
            <xdr:cNvSpPr txBox="1"/>
          </xdr:nvSpPr>
          <xdr:spPr>
            <a:xfrm>
              <a:off x="2671762" y="1914525"/>
              <a:ext cx="3858428"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𝐸𝑀_(𝑁2𝑂,𝑃𝑅𝑃,𝑑𝑖𝑟)=∑_𝑗▒∑_𝑘▒(𝑀𝑁_(𝑗𝑘𝑚=14,𝑇=1)×𝐸𝐹_𝑃𝑅𝑃×𝐶_𝑁2𝑂 ) ×10^(−3)</a:t>
              </a:r>
              <a:endParaRPr lang="en-AU" sz="1000"/>
            </a:p>
          </xdr:txBody>
        </xdr:sp>
      </mc:Fallback>
    </mc:AlternateContent>
    <xdr:clientData/>
  </xdr:oneCellAnchor>
</xdr:wsDr>
</file>

<file path=xl/drawings/drawing9.xml><?xml version="1.0" encoding="utf-8"?>
<xdr:wsDr xmlns:xdr="http://schemas.openxmlformats.org/drawingml/2006/spreadsheetDrawing" xmlns:a="http://schemas.openxmlformats.org/drawingml/2006/main">
  <xdr:oneCellAnchor>
    <xdr:from>
      <xdr:col>3</xdr:col>
      <xdr:colOff>14287</xdr:colOff>
      <xdr:row>7</xdr:row>
      <xdr:rowOff>76200</xdr:rowOff>
    </xdr:from>
    <xdr:ext cx="3232936"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16768C7E-0410-4EDA-8075-705C8F445678}"/>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𝐹𝑟𝑎𝑐𝐺𝐴𝑆𝑀𝑠𝑜𝑖𝑙</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16768C7E-0410-4EDA-8075-705C8F445678}"/>
                </a:ext>
              </a:extLst>
            </xdr:cNvPr>
            <xdr:cNvSpPr txBox="1"/>
          </xdr:nvSpPr>
          <xdr:spPr>
            <a:xfrm>
              <a:off x="2690812" y="1943100"/>
              <a:ext cx="3232936"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𝑀_(𝑣𝑜𝑙,𝑚=14)=∑_𝑗▒∑_𝑘▒(𝑀𝑁_(𝑗𝑘𝑚=14,𝑇=1)×𝐹𝑟𝑎𝑐𝐺𝐴𝑆𝑀𝑠𝑜𝑖𝑙) </a:t>
              </a:r>
              <a:endParaRPr lang="en-AU" sz="1000"/>
            </a:p>
          </xdr:txBody>
        </xdr:sp>
      </mc:Fallback>
    </mc:AlternateContent>
    <xdr:clientData/>
  </xdr:oneCellAnchor>
  <xdr:oneCellAnchor>
    <xdr:from>
      <xdr:col>3</xdr:col>
      <xdr:colOff>14287</xdr:colOff>
      <xdr:row>32</xdr:row>
      <xdr:rowOff>133350</xdr:rowOff>
    </xdr:from>
    <xdr:ext cx="2723630"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B9CD1347-D575-4FC2-999B-BB66C55C0EA1}"/>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B9CD1347-D575-4FC2-999B-BB66C55C0EA1}"/>
                </a:ext>
              </a:extLst>
            </xdr:cNvPr>
            <xdr:cNvSpPr txBox="1"/>
          </xdr:nvSpPr>
          <xdr:spPr>
            <a:xfrm>
              <a:off x="2690812" y="8191500"/>
              <a:ext cx="272363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𝐸_(𝑁2𝑂,𝑎𝑑)=𝑀_(𝑣𝑜𝑙,𝑚=14)×𝐸𝐹_𝑁2𝑂×𝐶_𝑁2𝑂×10^(−3)</a:t>
              </a:r>
              <a:endParaRPr lang="en-AU" sz="1000"/>
            </a:p>
          </xdr:txBody>
        </xdr:sp>
      </mc:Fallback>
    </mc:AlternateContent>
    <xdr:clientData/>
  </xdr:oneCellAnchor>
</xdr:wsDr>
</file>

<file path=xl/drawings/drawing10.xml><?xml version="1.0" encoding="utf-8"?>
<xdr:wsDr xmlns:xdr="http://schemas.openxmlformats.org/drawingml/2006/spreadsheetDrawing" xmlns:a="http://schemas.openxmlformats.org/drawingml/2006/main">
  <xdr:oneCellAnchor>
    <xdr:from>
      <xdr:col>2</xdr:col>
      <xdr:colOff>271462</xdr:colOff>
      <xdr:row>7</xdr:row>
      <xdr:rowOff>28575</xdr:rowOff>
    </xdr:from>
    <xdr:ext cx="4079322"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0E46A7E-5E30-4BAC-AABD-7EDD78F03D87}"/>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𝑗𝑘𝑚</m:t>
                                    </m:r>
                                    <m:r>
                                      <a:rPr lang="en-AU" sz="1000" i="1">
                                        <a:latin typeface="Cambria Math" panose="02040503050406030204" pitchFamily="18" charset="0"/>
                                      </a:rPr>
                                      <m:t>=14,</m:t>
                                    </m:r>
                                    <m:r>
                                      <a:rPr lang="en-AU" sz="1000" i="1">
                                        <a:latin typeface="Cambria Math" panose="02040503050406030204" pitchFamily="18" charset="0"/>
                                      </a:rPr>
                                      <m:t>𝑇</m:t>
                                    </m:r>
                                    <m:r>
                                      <a:rPr lang="en-AU" sz="1000" i="1">
                                        <a:latin typeface="Cambria Math" panose="02040503050406030204" pitchFamily="18" charset="0"/>
                                      </a:rPr>
                                      <m:t>=1</m:t>
                                    </m:r>
                                  </m:sub>
                                </m:sSub>
                                <m:r>
                                  <a:rPr lang="en-AU" sz="1000" i="1">
                                    <a:latin typeface="Cambria Math" panose="02040503050406030204" pitchFamily="18" charset="0"/>
                                  </a:rPr>
                                  <m:t>×</m:t>
                                </m:r>
                                <m:r>
                                  <a:rPr lang="en-AU" sz="1000" i="1">
                                    <a:latin typeface="Cambria Math" panose="02040503050406030204" pitchFamily="18" charset="0"/>
                                  </a:rPr>
                                  <m:t>𝐹𝑟𝑎𝑐𝑊𝑒𝑡</m:t>
                                </m:r>
                                <m:r>
                                  <a:rPr lang="en-AU" sz="1000" i="1">
                                    <a:latin typeface="Cambria Math" panose="02040503050406030204" pitchFamily="18" charset="0"/>
                                  </a:rPr>
                                  <m:t>×</m:t>
                                </m:r>
                                <m:r>
                                  <a:rPr lang="en-AU" sz="1000" i="1">
                                    <a:latin typeface="Cambria Math" panose="02040503050406030204" pitchFamily="18" charset="0"/>
                                  </a:rPr>
                                  <m:t>𝐹𝑟𝑎𝑐𝐿𝐸𝐴𝐶</m:t>
                                </m:r>
                                <m:sSub>
                                  <m:sSubPr>
                                    <m:ctrlPr>
                                      <a:rPr lang="en-AU" sz="1000" i="1">
                                        <a:latin typeface="Cambria Math" panose="02040503050406030204" pitchFamily="18" charset="0"/>
                                      </a:rPr>
                                    </m:ctrlPr>
                                  </m:sSubPr>
                                  <m:e>
                                    <m:r>
                                      <a:rPr lang="en-AU" sz="1000" i="1">
                                        <a:latin typeface="Cambria Math" panose="02040503050406030204" pitchFamily="18" charset="0"/>
                                      </a:rPr>
                                      <m:t>𝐻</m:t>
                                    </m:r>
                                  </m:e>
                                  <m:sub>
                                    <m:r>
                                      <a:rPr lang="en-AU" sz="1000" i="1">
                                        <a:latin typeface="Cambria Math" panose="02040503050406030204" pitchFamily="18" charset="0"/>
                                      </a:rPr>
                                      <m:t>𝑀</m:t>
                                    </m:r>
                                  </m:sub>
                                </m:sSub>
                                <m:r>
                                  <a:rPr lang="en-AU" sz="1000" i="1">
                                    <a:latin typeface="Cambria Math" panose="02040503050406030204" pitchFamily="18" charset="0"/>
                                  </a:rPr>
                                  <m:t>𝑆</m:t>
                                </m:r>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50E46A7E-5E30-4BAC-AABD-7EDD78F03D87}"/>
                </a:ext>
              </a:extLst>
            </xdr:cNvPr>
            <xdr:cNvSpPr txBox="1"/>
          </xdr:nvSpPr>
          <xdr:spPr>
            <a:xfrm>
              <a:off x="2633662" y="1895475"/>
              <a:ext cx="407932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𝑀_(𝑙𝑒𝑎𝑐ℎ,𝑚=14)=∑_𝑗▒∑_𝑘▒(𝑀𝑁_(𝑗𝑘𝑚=14,𝑇=1)×𝐹𝑟𝑎𝑐𝑊𝑒𝑡×𝐹𝑟𝑎𝑐𝐿𝐸𝐴𝐶𝐻_𝑀 𝑆) </a:t>
              </a:r>
              <a:endParaRPr lang="en-AU" sz="1000"/>
            </a:p>
          </xdr:txBody>
        </xdr:sp>
      </mc:Fallback>
    </mc:AlternateContent>
    <xdr:clientData/>
  </xdr:oneCellAnchor>
  <xdr:oneCellAnchor>
    <xdr:from>
      <xdr:col>2</xdr:col>
      <xdr:colOff>280987</xdr:colOff>
      <xdr:row>37</xdr:row>
      <xdr:rowOff>104775</xdr:rowOff>
    </xdr:from>
    <xdr:ext cx="3045001"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3C9727A-5FA4-4C20-B11A-DBECC62368B6}"/>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𝑚</m:t>
                        </m:r>
                        <m:r>
                          <a:rPr lang="en-AU" sz="1000" i="1">
                            <a:latin typeface="Cambria Math" panose="02040503050406030204" pitchFamily="18" charset="0"/>
                          </a:rPr>
                          <m:t>=14</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63C9727A-5FA4-4C20-B11A-DBECC62368B6}"/>
                </a:ext>
              </a:extLst>
            </xdr:cNvPr>
            <xdr:cNvSpPr txBox="1"/>
          </xdr:nvSpPr>
          <xdr:spPr>
            <a:xfrm>
              <a:off x="2643187" y="9401175"/>
              <a:ext cx="3045001"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𝐸_(𝑁2𝑂,𝑙𝑒𝑎𝑐ℎ)=𝑀_(𝑙𝑒𝑎𝑐ℎ,𝑚=14)×𝐸𝐹_𝑙𝑒𝑎𝑐ℎ×𝐶_𝑁2𝑂×10^(−3)</a:t>
              </a:r>
              <a:endParaRPr lang="en-AU" sz="1000"/>
            </a:p>
          </xdr:txBody>
        </xdr:sp>
      </mc:Fallback>
    </mc:AlternateContent>
    <xdr:clientData/>
  </xdr:oneCellAnchor>
</xdr:wsDr>
</file>

<file path=xl/drawings/drawing11.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6A2CAE9-C219-4243-A947-69E56DB8CD3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6A2CAE9-C219-4243-A947-69E56DB8CD3C}"/>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D7657A5-8D11-4791-A481-14F02CC5122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𝑡𝑞𝑔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D7657A5-8D11-4791-A481-14F02CC51220}"/>
                </a:ext>
              </a:extLst>
            </xdr:cNvPr>
            <xdr:cNvSpPr txBox="1"/>
          </xdr:nvSpPr>
          <xdr:spPr>
            <a:xfrm>
              <a:off x="2687074" y="2059057"/>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0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A3C7E9F-0B45-4175-89E1-3FDBB65EE18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𝑡𝑟𝑎𝑛𝑠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𝑇𝑟𝑎𝑛𝑠</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A3C7E9F-0B45-4175-89E1-3FDBB65EE18A}"/>
                </a:ext>
              </a:extLst>
            </xdr:cNvPr>
            <xdr:cNvSpPr txBox="1"/>
          </xdr:nvSpPr>
          <xdr:spPr>
            <a:xfrm>
              <a:off x="18060424" y="2059057"/>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000"/>
            </a:p>
          </xdr:txBody>
        </xdr:sp>
      </mc:Fallback>
    </mc:AlternateContent>
    <xdr:clientData/>
  </xdr:oneCellAnchor>
</xdr:wsDr>
</file>

<file path=xl/drawings/drawing12.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E851D16-E770-4392-84CB-E08B41500B4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𝑔</m:t>
                        </m:r>
                      </m:sub>
                    </m:sSub>
                    <m:r>
                      <a:rPr lang="en-AU" sz="1000" i="1">
                        <a:solidFill>
                          <a:schemeClr val="tx1"/>
                        </a:solidFill>
                        <a:effectLst/>
                        <a:latin typeface="Cambria Math" panose="02040503050406030204" pitchFamily="18" charset="0"/>
                        <a:ea typeface="+mn-ea"/>
                        <a:cs typeface="+mn-cs"/>
                      </a:rPr>
                      <m:t>=</m:t>
                    </m:r>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000" i="1">
                                <a:solidFill>
                                  <a:schemeClr val="tx1"/>
                                </a:solidFill>
                                <a:effectLst/>
                                <a:latin typeface="Cambria Math" panose="02040503050406030204" pitchFamily="18" charset="0"/>
                                <a:ea typeface="+mn-ea"/>
                                <a:cs typeface="+mn-cs"/>
                              </a:rPr>
                            </m:ctrlPr>
                          </m:naryPr>
                          <m:sub>
                            <m:r>
                              <a:rPr lang="en-AU" sz="1000" i="1">
                                <a:solidFill>
                                  <a:schemeClr val="tx1"/>
                                </a:solidFill>
                                <a:effectLst/>
                                <a:latin typeface="Cambria Math" panose="02040503050406030204" pitchFamily="18" charset="0"/>
                                <a:ea typeface="+mn-ea"/>
                                <a:cs typeface="+mn-cs"/>
                              </a:rPr>
                              <m:t>𝑞</m:t>
                            </m:r>
                          </m:sub>
                          <m:sup/>
                          <m:e>
                            <m:d>
                              <m:dPr>
                                <m:ctrlPr>
                                  <a:rPr lang="en-AU" sz="1000" i="1">
                                    <a:solidFill>
                                      <a:schemeClr val="tx1"/>
                                    </a:solidFill>
                                    <a:effectLst/>
                                    <a:latin typeface="Cambria Math" panose="02040503050406030204" pitchFamily="18" charset="0"/>
                                    <a:ea typeface="+mn-ea"/>
                                    <a:cs typeface="+mn-cs"/>
                                  </a:rPr>
                                </m:ctrlPr>
                              </m:dPr>
                              <m:e>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,1,</m:t>
                                    </m:r>
                                    <m:r>
                                      <a:rPr lang="en-AU" sz="1000" i="1">
                                        <a:solidFill>
                                          <a:schemeClr val="tx1"/>
                                        </a:solidFill>
                                        <a:effectLst/>
                                        <a:latin typeface="Cambria Math" panose="02040503050406030204" pitchFamily="18" charset="0"/>
                                        <a:ea typeface="+mn-ea"/>
                                        <a:cs typeface="+mn-cs"/>
                                      </a:rPr>
                                      <m:t>𝑞𝑔</m:t>
                                    </m:r>
                                  </m:sub>
                                </m:sSub>
                              </m:e>
                            </m:d>
                          </m:e>
                        </m:nary>
                      </m:e>
                    </m:nary>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E851D16-E770-4392-84CB-E08B41500B4E}"/>
                </a:ext>
              </a:extLst>
            </xdr:cNvPr>
            <xdr:cNvSpPr txBox="1"/>
          </xdr:nvSpPr>
          <xdr:spPr>
            <a:xfrm>
              <a:off x="2664102" y="2059057"/>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𝐸_𝑔=∑2_𝑡▒∑2_𝑞▒(𝑄_(𝑆𝐶,𝑞)×𝐸𝐶_(𝑆𝐶,𝑞)×𝐸𝐹_(𝑆𝐶,1,𝑞𝑔) ) ×10^(−3)</a:t>
              </a:r>
              <a:endParaRPr lang="en-AU" sz="10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C5263DAC-2B66-41F9-B6C3-70F9D4667EE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𝐸</m:t>
                        </m:r>
                      </m:e>
                      <m:sub>
                        <m:r>
                          <a:rPr lang="en-AU" sz="1000" i="1">
                            <a:solidFill>
                              <a:schemeClr val="tx1"/>
                            </a:solidFill>
                            <a:effectLst/>
                            <a:latin typeface="Cambria Math" panose="02040503050406030204" pitchFamily="18" charset="0"/>
                            <a:ea typeface="+mn-ea"/>
                            <a:cs typeface="+mn-cs"/>
                          </a:rPr>
                          <m:t>𝑊𝑇𝑇</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𝑄</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𝐶</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r>
                      <a:rPr lang="en-AU" sz="1000" i="1">
                        <a:solidFill>
                          <a:schemeClr val="tx1"/>
                        </a:solidFill>
                        <a:effectLst/>
                        <a:latin typeface="Cambria Math" panose="02040503050406030204" pitchFamily="18" charset="0"/>
                        <a:ea typeface="+mn-ea"/>
                        <a:cs typeface="+mn-cs"/>
                      </a:rPr>
                      <m:t>𝐸</m:t>
                    </m:r>
                    <m:sSub>
                      <m:sSubPr>
                        <m:ctrlPr>
                          <a:rPr lang="en-AU" sz="1000" i="1">
                            <a:solidFill>
                              <a:schemeClr val="tx1"/>
                            </a:solidFill>
                            <a:effectLst/>
                            <a:latin typeface="Cambria Math" panose="02040503050406030204" pitchFamily="18" charset="0"/>
                            <a:ea typeface="+mn-ea"/>
                            <a:cs typeface="+mn-cs"/>
                          </a:rPr>
                        </m:ctrlPr>
                      </m:sSubPr>
                      <m:e>
                        <m:r>
                          <a:rPr lang="en-AU" sz="1000" i="1">
                            <a:solidFill>
                              <a:schemeClr val="tx1"/>
                            </a:solidFill>
                            <a:effectLst/>
                            <a:latin typeface="Cambria Math" panose="02040503050406030204" pitchFamily="18" charset="0"/>
                            <a:ea typeface="+mn-ea"/>
                            <a:cs typeface="+mn-cs"/>
                          </a:rPr>
                          <m:t>𝐹</m:t>
                        </m:r>
                      </m:e>
                      <m:sub>
                        <m:r>
                          <a:rPr lang="en-AU" sz="1000" i="1">
                            <a:solidFill>
                              <a:schemeClr val="tx1"/>
                            </a:solidFill>
                            <a:effectLst/>
                            <a:latin typeface="Cambria Math" panose="02040503050406030204" pitchFamily="18" charset="0"/>
                            <a:ea typeface="+mn-ea"/>
                            <a:cs typeface="+mn-cs"/>
                          </a:rPr>
                          <m:t>𝑆𝐶</m:t>
                        </m:r>
                        <m:r>
                          <a:rPr lang="en-AU" sz="1000" i="1">
                            <a:solidFill>
                              <a:schemeClr val="tx1"/>
                            </a:solidFill>
                            <a:effectLst/>
                            <a:latin typeface="Cambria Math" panose="02040503050406030204" pitchFamily="18" charset="0"/>
                            <a:ea typeface="+mn-ea"/>
                            <a:cs typeface="+mn-cs"/>
                          </a:rPr>
                          <m:t>,3,</m:t>
                        </m:r>
                        <m:r>
                          <a:rPr lang="en-AU" sz="1000" i="1">
                            <a:solidFill>
                              <a:schemeClr val="tx1"/>
                            </a:solidFill>
                            <a:effectLst/>
                            <a:latin typeface="Cambria Math" panose="02040503050406030204" pitchFamily="18" charset="0"/>
                            <a:ea typeface="+mn-ea"/>
                            <a:cs typeface="+mn-cs"/>
                          </a:rPr>
                          <m:t>𝑞</m:t>
                        </m:r>
                      </m:sub>
                    </m:sSub>
                    <m:r>
                      <a:rPr lang="en-AU" sz="1000" i="1">
                        <a:solidFill>
                          <a:schemeClr val="tx1"/>
                        </a:solidFill>
                        <a:effectLst/>
                        <a:latin typeface="Cambria Math" panose="02040503050406030204" pitchFamily="18" charset="0"/>
                        <a:ea typeface="+mn-ea"/>
                        <a:cs typeface="+mn-cs"/>
                      </a:rPr>
                      <m:t>×</m:t>
                    </m:r>
                    <m:sSup>
                      <m:sSupPr>
                        <m:ctrlPr>
                          <a:rPr lang="en-AU" sz="1000" i="1">
                            <a:solidFill>
                              <a:schemeClr val="tx1"/>
                            </a:solidFill>
                            <a:effectLst/>
                            <a:latin typeface="Cambria Math" panose="02040503050406030204" pitchFamily="18" charset="0"/>
                            <a:ea typeface="+mn-ea"/>
                            <a:cs typeface="+mn-cs"/>
                          </a:rPr>
                        </m:ctrlPr>
                      </m:sSupPr>
                      <m:e>
                        <m:r>
                          <a:rPr lang="en-AU" sz="1000" i="1">
                            <a:solidFill>
                              <a:schemeClr val="tx1"/>
                            </a:solidFill>
                            <a:effectLst/>
                            <a:latin typeface="Cambria Math" panose="02040503050406030204" pitchFamily="18" charset="0"/>
                            <a:ea typeface="+mn-ea"/>
                            <a:cs typeface="+mn-cs"/>
                          </a:rPr>
                          <m:t>10</m:t>
                        </m:r>
                      </m:e>
                      <m:sup>
                        <m:r>
                          <a:rPr lang="en-AU" sz="1000" i="1">
                            <a:solidFill>
                              <a:schemeClr val="tx1"/>
                            </a:solidFill>
                            <a:effectLst/>
                            <a:latin typeface="Cambria Math" panose="02040503050406030204" pitchFamily="18" charset="0"/>
                            <a:ea typeface="+mn-ea"/>
                            <a:cs typeface="+mn-cs"/>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C5263DAC-2B66-41F9-B6C3-70F9D4667EEA}"/>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0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000"/>
            </a:p>
          </xdr:txBody>
        </xdr:sp>
      </mc:Fallback>
    </mc:AlternateContent>
    <xdr:clientData/>
  </xdr:oneCellAnchor>
</xdr:wsDr>
</file>

<file path=xl/drawings/drawing13.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B48194A-8CDE-4659-B404-59E4672C99E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𝑉</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𝑉𝑇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𝑤</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B48194A-8CDE-4659-B404-59E4672C99E1}"/>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𝑄_𝑤𝑡=𝑉_𝑤𝑡×𝑉𝑇𝑀_𝑤</a:t>
              </a:r>
              <a:endParaRPr lang="en-AU" sz="10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96F589E4-ACC7-4387-AD47-4B8E7F3D70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𝑔</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𝑡</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𝑤</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𝑤𝑡</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𝑤𝑡𝑔</m:t>
                                    </m:r>
                                  </m:sub>
                                </m:sSub>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96F589E4-ACC7-4387-AD47-4B8E7F3D70BF}"/>
                </a:ext>
              </a:extLst>
            </xdr:cNvPr>
            <xdr:cNvSpPr txBox="1"/>
          </xdr:nvSpPr>
          <xdr:spPr>
            <a:xfrm>
              <a:off x="2681287" y="2476500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𝐸_𝑔=∑2_𝑡▒∑2_𝑤▒(𝑄_𝑤𝑡×𝐸𝐹_𝑤𝑡𝑔 ) </a:t>
              </a:r>
              <a:endParaRPr lang="en-AU" sz="1000"/>
            </a:p>
          </xdr:txBody>
        </xdr:sp>
      </mc:Fallback>
    </mc:AlternateContent>
    <xdr:clientData/>
  </xdr:oneCellAnchor>
</xdr:wsDr>
</file>

<file path=xl/drawings/drawing14.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79F6671-8343-4609-95A8-C06FA4DB46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𝐶𝐻</m:t>
                        </m:r>
                        <m:r>
                          <a:rPr lang="en-AU" sz="1000" i="1">
                            <a:latin typeface="Cambria Math" panose="02040503050406030204" pitchFamily="18" charset="0"/>
                          </a:rPr>
                          <m:t>4</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𝑘</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𝑇</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𝑗𝑘</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𝑗𝑘𝑚𝑇</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𝑗𝑘</m:t>
                                            </m:r>
                                          </m:sub>
                                        </m:sSub>
                                      </m:e>
                                    </m:d>
                                  </m:e>
                                </m:nary>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F79F6671-8343-4609-95A8-C06FA4DB46FD}"/>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𝐸_𝐶𝐻4=∑_𝑗▒∑_𝑘▒∑_𝑚▒∑_𝑇▒(𝐷_𝑗𝑘×𝑀_𝑗𝑘𝑚𝑇×𝑁_𝑗𝑘 ) ×10^(−3)</a:t>
              </a:r>
              <a:endParaRPr lang="en-AU" sz="10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18DA188B-A18F-44FD-A06A-6CDC9793CD6C}"/>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18DA188B-A18F-44FD-A06A-6CDC9793CD6C}"/>
                </a:ext>
              </a:extLst>
            </xdr:cNvPr>
            <xdr:cNvSpPr txBox="1"/>
          </xdr:nvSpPr>
          <xdr:spPr>
            <a:xfrm>
              <a:off x="2699497" y="226246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𝐸_(2,𝑒𝑙𝑒𝑐)=𝑄_𝑒𝑙𝑒𝑐×𝐸𝐹_(2,𝑒𝑙𝑒𝑐)×10^(−3)</a:t>
              </a:r>
              <a:endParaRPr lang="en-AU" sz="10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8D2B304-2A06-42AF-B386-B80E06998FE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78D2B304-2A06-42AF-B386-B80E06998FEF}"/>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D0F5ACD-363C-461B-AD8B-B1B32CCA1E1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2,</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5D0F5ACD-363C-461B-AD8B-B1B32CCA1E18}"/>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000"/>
            </a:p>
          </xdr:txBody>
        </xdr:sp>
      </mc:Fallback>
    </mc:AlternateContent>
    <xdr:clientData/>
  </xdr:oneCellAnchor>
</xdr:wsDr>
</file>

<file path=xl/drawings/drawing15.xml><?xml version="1.0" encoding="utf-8"?>
<xdr:wsDr xmlns:xdr="http://schemas.openxmlformats.org/drawingml/2006/spreadsheetDrawing" xmlns:a="http://schemas.openxmlformats.org/drawingml/2006/main">
  <xdr:oneCellAnchor>
    <xdr:from>
      <xdr:col>3</xdr:col>
      <xdr:colOff>43237</xdr:colOff>
      <xdr:row>7</xdr:row>
      <xdr:rowOff>61924</xdr:rowOff>
    </xdr:from>
    <xdr:ext cx="2433230" cy="31290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70180D3D-B192-4B31-B370-ACC6EC67021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𝑜</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𝑐𝑜</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𝑐𝑜</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𝑐𝑜</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70180D3D-B192-4B31-B370-ACC6EC67021B}"/>
                </a:ext>
              </a:extLst>
            </xdr:cNvPr>
            <xdr:cNvSpPr txBox="1"/>
          </xdr:nvSpPr>
          <xdr:spPr>
            <a:xfrm>
              <a:off x="3091237" y="1928824"/>
              <a:ext cx="2433230"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𝐸=∑2_𝑐▒∑2_𝑜▒(𝑁_𝑐𝑜×𝑊_𝑐𝑜×𝐸𝐹_𝑐𝑜 ) ×10^(−3)</a:t>
              </a:r>
              <a:endParaRPr lang="en-AU" sz="1000"/>
            </a:p>
          </xdr:txBody>
        </xdr:sp>
      </mc:Fallback>
    </mc:AlternateContent>
    <xdr:clientData/>
  </xdr:oneCellAnchor>
  <xdr:oneCellAnchor>
    <xdr:from>
      <xdr:col>3</xdr:col>
      <xdr:colOff>43237</xdr:colOff>
      <xdr:row>101</xdr:row>
      <xdr:rowOff>61924</xdr:rowOff>
    </xdr:from>
    <xdr:ext cx="1651028"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DBB16C3-FC45-42D5-8FA1-5A0CA8934FFA}"/>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3" name="TextBox 2">
              <a:extLst>
                <a:ext uri="{FF2B5EF4-FFF2-40B4-BE49-F238E27FC236}">
                  <a16:creationId xmlns:a16="http://schemas.microsoft.com/office/drawing/2014/main" id="{3DBB16C3-FC45-42D5-8FA1-5A0CA8934FFA}"/>
                </a:ext>
              </a:extLst>
            </xdr:cNvPr>
            <xdr:cNvSpPr txBox="1"/>
          </xdr:nvSpPr>
          <xdr:spPr>
            <a:xfrm>
              <a:off x="3091237" y="25207924"/>
              <a:ext cx="165102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×10^(−3)</a:t>
              </a:r>
              <a:endParaRPr lang="en-AU" sz="1000"/>
            </a:p>
          </xdr:txBody>
        </xdr:sp>
      </mc:Fallback>
    </mc:AlternateContent>
    <xdr:clientData/>
  </xdr:oneCellAnchor>
  <xdr:oneCellAnchor>
    <xdr:from>
      <xdr:col>3</xdr:col>
      <xdr:colOff>43237</xdr:colOff>
      <xdr:row>166</xdr:row>
      <xdr:rowOff>61924</xdr:rowOff>
    </xdr:from>
    <xdr:ext cx="1780296" cy="31290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59A4534C-CE36-46CA-AAEA-B07620CA3752}"/>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59A4534C-CE36-46CA-AAEA-B07620CA3752}"/>
                </a:ext>
              </a:extLst>
            </xdr:cNvPr>
            <xdr:cNvSpPr txBox="1"/>
          </xdr:nvSpPr>
          <xdr:spPr>
            <a:xfrm>
              <a:off x="3091237" y="41305174"/>
              <a:ext cx="178029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𝐸=∑2_𝑚▒(𝑄_𝑚×𝐸𝐹_𝑚 ) ×10^(−3)</a:t>
              </a:r>
              <a:endParaRPr lang="en-AU" sz="1000"/>
            </a:p>
          </xdr:txBody>
        </xdr:sp>
      </mc:Fallback>
    </mc:AlternateContent>
    <xdr:clientData/>
  </xdr:oneCellAnchor>
  <xdr:oneCellAnchor>
    <xdr:from>
      <xdr:col>3</xdr:col>
      <xdr:colOff>43237</xdr:colOff>
      <xdr:row>203</xdr:row>
      <xdr:rowOff>61924</xdr:rowOff>
    </xdr:from>
    <xdr:ext cx="2099229"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8D1A4FDC-1FA9-4E40-80E9-4A7EFC02AB6F}"/>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8D1A4FDC-1FA9-4E40-80E9-4A7EFC02AB6F}"/>
                </a:ext>
              </a:extLst>
            </xdr:cNvPr>
            <xdr:cNvSpPr txBox="1"/>
          </xdr:nvSpPr>
          <xdr:spPr>
            <a:xfrm>
              <a:off x="3091237" y="50468224"/>
              <a:ext cx="2099229"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𝐸=∑2_𝑓▒∑2_𝑗▒(𝑇𝑀_𝑗𝑓×𝐸𝐹_𝑓 ) ×10^(−3)</a:t>
              </a:r>
              <a:endParaRPr lang="en-AU" sz="1000"/>
            </a:p>
          </xdr:txBody>
        </xdr:sp>
      </mc:Fallback>
    </mc:AlternateContent>
    <xdr:clientData/>
  </xdr:oneCellAnchor>
  <xdr:oneCellAnchor>
    <xdr:from>
      <xdr:col>4</xdr:col>
      <xdr:colOff>1999881</xdr:colOff>
      <xdr:row>218</xdr:row>
      <xdr:rowOff>51204</xdr:rowOff>
    </xdr:from>
    <xdr:ext cx="2458430" cy="256032"/>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9B13A81E-6517-4AA3-8CDC-C299FDC9EB2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f>
                                    <m:fPr>
                                      <m:ctrlPr>
                                        <a:rPr lang="en-AU" sz="1000" i="1">
                                          <a:latin typeface="Cambria Math" panose="02040503050406030204" pitchFamily="18" charset="0"/>
                                        </a:rPr>
                                      </m:ctrlPr>
                                    </m:fPr>
                                    <m:num>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num>
                                    <m:den>
                                      <m:r>
                                        <a:rPr lang="en-AU" sz="1000" i="1">
                                          <a:latin typeface="Cambria Math" panose="02040503050406030204" pitchFamily="18" charset="0"/>
                                        </a:rPr>
                                        <m:t>100</m:t>
                                      </m:r>
                                    </m:den>
                                  </m:f>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oMath>
              </a14:m>
              <a:endParaRPr lang="en-AU" sz="1000"/>
            </a:p>
          </xdr:txBody>
        </xdr:sp>
      </mc:Choice>
      <mc:Fallback xmlns="">
        <xdr:sp macro="" textlink="">
          <xdr:nvSpPr>
            <xdr:cNvPr id="6" name="TextBox 5">
              <a:extLst>
                <a:ext uri="{FF2B5EF4-FFF2-40B4-BE49-F238E27FC236}">
                  <a16:creationId xmlns:a16="http://schemas.microsoft.com/office/drawing/2014/main" id="{9B13A81E-6517-4AA3-8CDC-C299FDC9EB29}"/>
                </a:ext>
              </a:extLst>
            </xdr:cNvPr>
            <xdr:cNvSpPr txBox="1"/>
          </xdr:nvSpPr>
          <xdr:spPr>
            <a:xfrm>
              <a:off x="7086231" y="54172254"/>
              <a:ext cx="2458430" cy="2560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C00000"/>
                  </a:solidFill>
                </a:rPr>
                <a:t>ORIGINAL:</a:t>
              </a:r>
              <a:r>
                <a:rPr lang="en-AU" sz="1000" baseline="0"/>
                <a:t> </a:t>
              </a:r>
              <a:r>
                <a:rPr lang="en-AU" sz="1000" i="0">
                  <a:latin typeface="Cambria Math" panose="02040503050406030204" pitchFamily="18" charset="0"/>
                </a:rPr>
                <a:t>𝐸=∑2_𝑓▒∑2_𝑐▒∑2_𝑗▒((𝐹_𝑐𝑓×𝑇𝑀_𝑗𝑓)/100×𝐸𝐹_𝑐 ) </a:t>
              </a:r>
              <a:endParaRPr lang="en-AU" sz="1000"/>
            </a:p>
          </xdr:txBody>
        </xdr:sp>
      </mc:Fallback>
    </mc:AlternateContent>
    <xdr:clientData/>
  </xdr:oneCellAnchor>
  <xdr:oneCellAnchor>
    <xdr:from>
      <xdr:col>3</xdr:col>
      <xdr:colOff>2070</xdr:colOff>
      <xdr:row>218</xdr:row>
      <xdr:rowOff>60464</xdr:rowOff>
    </xdr:from>
    <xdr:ext cx="2708818" cy="332079"/>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585E92EC-8086-4725-B6ED-22E7DDFF0028}"/>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e>
                        </m:nary>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7" name="TextBox 6">
              <a:extLst>
                <a:ext uri="{FF2B5EF4-FFF2-40B4-BE49-F238E27FC236}">
                  <a16:creationId xmlns:a16="http://schemas.microsoft.com/office/drawing/2014/main" id="{585E92EC-8086-4725-B6ED-22E7DDFF0028}"/>
                </a:ext>
              </a:extLst>
            </xdr:cNvPr>
            <xdr:cNvSpPr txBox="1"/>
          </xdr:nvSpPr>
          <xdr:spPr>
            <a:xfrm>
              <a:off x="3050070" y="54181514"/>
              <a:ext cx="2708818"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𝐸=∑2_𝑓▒∑2_𝑐▒∑2_𝑗▒(𝐹_𝑐𝑓×𝑇𝑀_𝑗𝑓×𝐸𝐹_𝑐 ) ×10^(−3)</a:t>
              </a:r>
              <a:endParaRPr lang="en-AU" sz="1000"/>
            </a:p>
          </xdr:txBody>
        </xdr:sp>
      </mc:Fallback>
    </mc:AlternateContent>
    <xdr:clientData/>
  </xdr:oneCellAnchor>
  <xdr:oneCellAnchor>
    <xdr:from>
      <xdr:col>3</xdr:col>
      <xdr:colOff>19050</xdr:colOff>
      <xdr:row>189</xdr:row>
      <xdr:rowOff>114300</xdr:rowOff>
    </xdr:from>
    <xdr:ext cx="1375312" cy="312906"/>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B65FF77-1AD9-48AE-B79B-59D6AC45E32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𝑐</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𝑐</m:t>
                                </m:r>
                              </m:sub>
                            </m:sSub>
                          </m:e>
                        </m:d>
                      </m:e>
                    </m:nary>
                  </m:oMath>
                </m:oMathPara>
              </a14:m>
              <a:endParaRPr lang="en-AU" sz="1000"/>
            </a:p>
          </xdr:txBody>
        </xdr:sp>
      </mc:Choice>
      <mc:Fallback xmlns="">
        <xdr:sp macro="" textlink="">
          <xdr:nvSpPr>
            <xdr:cNvPr id="8" name="TextBox 7">
              <a:extLst>
                <a:ext uri="{FF2B5EF4-FFF2-40B4-BE49-F238E27FC236}">
                  <a16:creationId xmlns:a16="http://schemas.microsoft.com/office/drawing/2014/main" id="{AB65FF77-1AD9-48AE-B79B-59D6AC45E324}"/>
                </a:ext>
              </a:extLst>
            </xdr:cNvPr>
            <xdr:cNvSpPr txBox="1"/>
          </xdr:nvSpPr>
          <xdr:spPr>
            <a:xfrm>
              <a:off x="3067050" y="47053500"/>
              <a:ext cx="1375312"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𝐸𝐹_𝑓=∑2_𝑐▒(𝐹_𝑐𝑓×𝐸𝐹_𝑐 ) </a:t>
              </a:r>
              <a:endParaRPr lang="en-AU" sz="1000"/>
            </a:p>
          </xdr:txBody>
        </xdr:sp>
      </mc:Fallback>
    </mc:AlternateContent>
    <xdr:clientData/>
  </xdr:oneCellAnchor>
  <xdr:oneCellAnchor>
    <xdr:from>
      <xdr:col>3</xdr:col>
      <xdr:colOff>19051</xdr:colOff>
      <xdr:row>273</xdr:row>
      <xdr:rowOff>153521</xdr:rowOff>
    </xdr:from>
    <xdr:ext cx="1698157" cy="312971"/>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66C2AA43-954D-400F-AF70-48CD262B7372}"/>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ℎ</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ℎ</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ℎ</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9" name="TextBox 8">
              <a:extLst>
                <a:ext uri="{FF2B5EF4-FFF2-40B4-BE49-F238E27FC236}">
                  <a16:creationId xmlns:a16="http://schemas.microsoft.com/office/drawing/2014/main" id="{66C2AA43-954D-400F-AF70-48CD262B7372}"/>
                </a:ext>
              </a:extLst>
            </xdr:cNvPr>
            <xdr:cNvSpPr txBox="1"/>
          </xdr:nvSpPr>
          <xdr:spPr>
            <a:xfrm>
              <a:off x="3067051" y="67895321"/>
              <a:ext cx="1698157" cy="3129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𝐸=∑2_ℎ▒(𝑄_ℎ×𝐸𝐹_ℎ ) ×10^(−3)</a:t>
              </a:r>
              <a:endParaRPr lang="en-AU" sz="1000"/>
            </a:p>
          </xdr:txBody>
        </xdr:sp>
      </mc:Fallback>
    </mc:AlternateContent>
    <xdr:clientData/>
  </xdr:oneCellAnchor>
  <xdr:oneCellAnchor>
    <xdr:from>
      <xdr:col>3</xdr:col>
      <xdr:colOff>30256</xdr:colOff>
      <xdr:row>305</xdr:row>
      <xdr:rowOff>97491</xdr:rowOff>
    </xdr:from>
    <xdr:ext cx="1022459" cy="173766"/>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76FB5BF4-B951-45C3-B447-90CF86ABAD60}"/>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m:t>
                        </m:r>
                      </m:sub>
                    </m:sSub>
                  </m:oMath>
                </m:oMathPara>
              </a14:m>
              <a:endParaRPr lang="en-AU" sz="1000"/>
            </a:p>
          </xdr:txBody>
        </xdr:sp>
      </mc:Choice>
      <mc:Fallback xmlns="">
        <xdr:sp macro="" textlink="">
          <xdr:nvSpPr>
            <xdr:cNvPr id="10" name="TextBox 9">
              <a:extLst>
                <a:ext uri="{FF2B5EF4-FFF2-40B4-BE49-F238E27FC236}">
                  <a16:creationId xmlns:a16="http://schemas.microsoft.com/office/drawing/2014/main" id="{76FB5BF4-B951-45C3-B447-90CF86ABAD60}"/>
                </a:ext>
              </a:extLst>
            </xdr:cNvPr>
            <xdr:cNvSpPr txBox="1"/>
          </xdr:nvSpPr>
          <xdr:spPr>
            <a:xfrm>
              <a:off x="3078256" y="75764091"/>
              <a:ext cx="102245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𝐸=𝑀_𝑙𝑖𝑚𝑒×𝐸𝐹_𝑙</a:t>
              </a:r>
              <a:endParaRPr lang="en-AU" sz="1000"/>
            </a:p>
          </xdr:txBody>
        </xdr:sp>
      </mc:Fallback>
    </mc:AlternateContent>
    <xdr:clientData/>
  </xdr:oneCellAnchor>
  <xdr:oneCellAnchor>
    <xdr:from>
      <xdr:col>3</xdr:col>
      <xdr:colOff>97491</xdr:colOff>
      <xdr:row>338</xdr:row>
      <xdr:rowOff>75080</xdr:rowOff>
    </xdr:from>
    <xdr:ext cx="1692515" cy="331501"/>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60E93F7D-6C43-4885-968D-A764D88576E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𝐴</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1" name="TextBox 10">
              <a:extLst>
                <a:ext uri="{FF2B5EF4-FFF2-40B4-BE49-F238E27FC236}">
                  <a16:creationId xmlns:a16="http://schemas.microsoft.com/office/drawing/2014/main" id="{60E93F7D-6C43-4885-968D-A764D88576E8}"/>
                </a:ext>
              </a:extLst>
            </xdr:cNvPr>
            <xdr:cNvSpPr txBox="1"/>
          </xdr:nvSpPr>
          <xdr:spPr>
            <a:xfrm>
              <a:off x="3145491" y="83914130"/>
              <a:ext cx="1692515"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𝐸=∑2_𝑝▒(𝐴_𝑝×𝐸𝐹_𝑝 ) ×10^(−3)</a:t>
              </a:r>
              <a:endParaRPr lang="en-AU" sz="1000"/>
            </a:p>
          </xdr:txBody>
        </xdr:sp>
      </mc:Fallback>
    </mc:AlternateContent>
    <xdr:clientData/>
  </xdr:oneCellAnchor>
  <xdr:oneCellAnchor>
    <xdr:from>
      <xdr:col>3</xdr:col>
      <xdr:colOff>63874</xdr:colOff>
      <xdr:row>370</xdr:row>
      <xdr:rowOff>119902</xdr:rowOff>
    </xdr:from>
    <xdr:ext cx="1694117" cy="331501"/>
    <mc:AlternateContent xmlns:mc="http://schemas.openxmlformats.org/markup-compatibility/2006" xmlns:a14="http://schemas.microsoft.com/office/drawing/2010/main">
      <mc:Choice Requires="a14">
        <xdr:sp macro="" textlink="">
          <xdr:nvSpPr>
            <xdr:cNvPr id="12" name="TextBox 11">
              <a:extLst>
                <a:ext uri="{FF2B5EF4-FFF2-40B4-BE49-F238E27FC236}">
                  <a16:creationId xmlns:a16="http://schemas.microsoft.com/office/drawing/2014/main" id="{A2223F53-DD85-46AF-B141-41E6D01E4CF0}"/>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𝑝</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𝑝</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𝑝</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2" name="TextBox 11">
              <a:extLst>
                <a:ext uri="{FF2B5EF4-FFF2-40B4-BE49-F238E27FC236}">
                  <a16:creationId xmlns:a16="http://schemas.microsoft.com/office/drawing/2014/main" id="{A2223F53-DD85-46AF-B141-41E6D01E4CF0}"/>
                </a:ext>
              </a:extLst>
            </xdr:cNvPr>
            <xdr:cNvSpPr txBox="1"/>
          </xdr:nvSpPr>
          <xdr:spPr>
            <a:xfrm>
              <a:off x="3111874" y="91883752"/>
              <a:ext cx="1694117"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𝐸=∑2_𝑝▒(𝑄_𝑝×𝐸𝐹_𝑝 ) ×10^(−3)</a:t>
              </a:r>
              <a:endParaRPr lang="en-AU" sz="1000"/>
            </a:p>
          </xdr:txBody>
        </xdr:sp>
      </mc:Fallback>
    </mc:AlternateContent>
    <xdr:clientData/>
  </xdr:oneCellAnchor>
  <xdr:oneCellAnchor>
    <xdr:from>
      <xdr:col>3</xdr:col>
      <xdr:colOff>41461</xdr:colOff>
      <xdr:row>400</xdr:row>
      <xdr:rowOff>131109</xdr:rowOff>
    </xdr:from>
    <xdr:ext cx="1698863" cy="332207"/>
    <mc:AlternateContent xmlns:mc="http://schemas.openxmlformats.org/markup-compatibility/2006" xmlns:a14="http://schemas.microsoft.com/office/drawing/2010/main">
      <mc:Choice Requires="a14">
        <xdr:sp macro="" textlink="">
          <xdr:nvSpPr>
            <xdr:cNvPr id="13" name="TextBox 12">
              <a:extLst>
                <a:ext uri="{FF2B5EF4-FFF2-40B4-BE49-F238E27FC236}">
                  <a16:creationId xmlns:a16="http://schemas.microsoft.com/office/drawing/2014/main" id="{29C75BC0-7FAC-41BA-BAE9-A12BAE9AD092}"/>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𝑔</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𝑔</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𝑔</m:t>
                                </m:r>
                              </m:sub>
                            </m:sSub>
                          </m:e>
                        </m:d>
                      </m:e>
                    </m:nary>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3" name="TextBox 12">
              <a:extLst>
                <a:ext uri="{FF2B5EF4-FFF2-40B4-BE49-F238E27FC236}">
                  <a16:creationId xmlns:a16="http://schemas.microsoft.com/office/drawing/2014/main" id="{29C75BC0-7FAC-41BA-BAE9-A12BAE9AD092}"/>
                </a:ext>
              </a:extLst>
            </xdr:cNvPr>
            <xdr:cNvSpPr txBox="1"/>
          </xdr:nvSpPr>
          <xdr:spPr>
            <a:xfrm>
              <a:off x="3089461" y="99324459"/>
              <a:ext cx="1698863" cy="3322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𝐸=∑2_𝑔▒(𝑄_𝑔×𝐸𝐹_𝑔 ) ×10^(−3)</a:t>
              </a:r>
              <a:endParaRPr lang="en-AU" sz="1000"/>
            </a:p>
          </xdr:txBody>
        </xdr:sp>
      </mc:Fallback>
    </mc:AlternateContent>
    <xdr:clientData/>
  </xdr:oneCellAnchor>
  <xdr:oneCellAnchor>
    <xdr:from>
      <xdr:col>3</xdr:col>
      <xdr:colOff>28575</xdr:colOff>
      <xdr:row>433</xdr:row>
      <xdr:rowOff>114299</xdr:rowOff>
    </xdr:from>
    <xdr:ext cx="2929969" cy="17376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481C335A-9AA1-4E1B-A198-3FF83FBD96A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𝑒𝑚𝑖𝑠𝑠𝑖𝑜𝑛𝑠</m:t>
                    </m:r>
                    <m:r>
                      <a:rPr lang="en-AU" sz="1000" i="1">
                        <a:latin typeface="Cambria Math" panose="02040503050406030204" pitchFamily="18" charset="0"/>
                      </a:rPr>
                      <m:t>=</m:t>
                    </m:r>
                    <m:r>
                      <a:rPr lang="en-AU" sz="1000" i="1">
                        <a:latin typeface="Cambria Math" panose="02040503050406030204" pitchFamily="18" charset="0"/>
                      </a:rPr>
                      <m:t>𝑎𝑐𝑡𝑖𝑣𝑖𝑡𝑦</m:t>
                    </m:r>
                    <m:r>
                      <m:rPr>
                        <m:lit/>
                      </m:rPr>
                      <a:rPr lang="en-AU" sz="1000" i="1">
                        <a:latin typeface="Cambria Math" panose="02040503050406030204" pitchFamily="18" charset="0"/>
                      </a:rPr>
                      <m:t>_</m:t>
                    </m:r>
                    <m:r>
                      <a:rPr lang="en-AU" sz="1000" i="1">
                        <a:latin typeface="Cambria Math" panose="02040503050406030204" pitchFamily="18" charset="0"/>
                      </a:rPr>
                      <m:t>𝑑𝑎𝑡𝑎</m:t>
                    </m:r>
                    <m:r>
                      <a:rPr lang="en-AU" sz="1000" i="1">
                        <a:latin typeface="Cambria Math" panose="02040503050406030204" pitchFamily="18" charset="0"/>
                      </a:rPr>
                      <m:t>×</m:t>
                    </m:r>
                    <m:r>
                      <a:rPr lang="en-AU" sz="1000" i="1">
                        <a:latin typeface="Cambria Math" panose="02040503050406030204" pitchFamily="18" charset="0"/>
                      </a:rPr>
                      <m:t>𝑒𝑚𝑖𝑠𝑠𝑖𝑜𝑛</m:t>
                    </m:r>
                    <m:r>
                      <m:rPr>
                        <m:lit/>
                      </m:rPr>
                      <a:rPr lang="en-AU" sz="1000" i="1">
                        <a:latin typeface="Cambria Math" panose="02040503050406030204" pitchFamily="18" charset="0"/>
                      </a:rPr>
                      <m:t>_</m:t>
                    </m:r>
                    <m:r>
                      <a:rPr lang="en-AU" sz="1000" i="1">
                        <a:latin typeface="Cambria Math" panose="02040503050406030204" pitchFamily="18" charset="0"/>
                      </a:rPr>
                      <m:t>𝑓𝑎𝑐𝑡𝑜𝑟</m:t>
                    </m:r>
                    <m:r>
                      <a:rPr lang="en-AU" sz="1000" i="1">
                        <a:latin typeface="Cambria Math" panose="02040503050406030204" pitchFamily="18" charset="0"/>
                      </a:rPr>
                      <m:t> </m:t>
                    </m:r>
                  </m:oMath>
                </m:oMathPara>
              </a14:m>
              <a:endParaRPr lang="en-AU" sz="1000"/>
            </a:p>
          </xdr:txBody>
        </xdr:sp>
      </mc:Choice>
      <mc:Fallback xmlns="">
        <xdr:sp macro="" textlink="">
          <xdr:nvSpPr>
            <xdr:cNvPr id="14" name="TextBox 13">
              <a:extLst>
                <a:ext uri="{FF2B5EF4-FFF2-40B4-BE49-F238E27FC236}">
                  <a16:creationId xmlns:a16="http://schemas.microsoft.com/office/drawing/2014/main" id="{481C335A-9AA1-4E1B-A198-3FF83FBD96A3}"/>
                </a:ext>
              </a:extLst>
            </xdr:cNvPr>
            <xdr:cNvSpPr txBox="1"/>
          </xdr:nvSpPr>
          <xdr:spPr>
            <a:xfrm>
              <a:off x="3076575" y="107480099"/>
              <a:ext cx="2929969"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𝑒𝑚𝑖𝑠𝑠𝑖𝑜𝑛𝑠=𝑎𝑐𝑡𝑖𝑣𝑖𝑡𝑦\_𝑑𝑎𝑡𝑎×𝑒𝑚𝑖𝑠𝑠𝑖𝑜𝑛\_𝑓𝑎𝑐𝑡𝑜𝑟 </a:t>
              </a:r>
              <a:endParaRPr lang="en-AU" sz="1000"/>
            </a:p>
          </xdr:txBody>
        </xdr:sp>
      </mc:Fallback>
    </mc:AlternateContent>
    <xdr:clientData/>
  </xdr:oneCellAnchor>
  <xdr:oneCellAnchor>
    <xdr:from>
      <xdr:col>3</xdr:col>
      <xdr:colOff>30257</xdr:colOff>
      <xdr:row>523</xdr:row>
      <xdr:rowOff>103094</xdr:rowOff>
    </xdr:from>
    <xdr:ext cx="2229713" cy="331501"/>
    <mc:AlternateContent xmlns:mc="http://schemas.openxmlformats.org/markup-compatibility/2006" xmlns:a14="http://schemas.microsoft.com/office/drawing/2010/main">
      <mc:Choice Requires="a14">
        <xdr:sp macro="" textlink="">
          <xdr:nvSpPr>
            <xdr:cNvPr id="15" name="TextBox 14">
              <a:extLst>
                <a:ext uri="{FF2B5EF4-FFF2-40B4-BE49-F238E27FC236}">
                  <a16:creationId xmlns:a16="http://schemas.microsoft.com/office/drawing/2014/main" id="{CEE1465B-23DB-4245-86A2-8090CE8604E6}"/>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𝑡𝑟𝑎𝑛𝑠</m:t>
                            </m:r>
                            <m:r>
                              <a:rPr lang="en-AU" sz="1000" i="1">
                                <a:latin typeface="Cambria Math" panose="02040503050406030204" pitchFamily="18" charset="0"/>
                              </a:rPr>
                              <m:t>,</m:t>
                            </m:r>
                            <m:r>
                              <a:rPr lang="en-AU" sz="1000" i="1">
                                <a:latin typeface="Cambria Math" panose="02040503050406030204" pitchFamily="18" charset="0"/>
                              </a:rPr>
                              <m:t>𝑞</m:t>
                            </m:r>
                          </m:sub>
                        </m:sSub>
                      </m:e>
                    </m:nary>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𝑞</m:t>
                        </m:r>
                      </m:sub>
                      <m:sup/>
                      <m:e>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𝑊𝑇𝑇</m:t>
                            </m:r>
                            <m:r>
                              <a:rPr lang="en-AU" sz="1000" i="1">
                                <a:latin typeface="Cambria Math" panose="02040503050406030204" pitchFamily="18" charset="0"/>
                              </a:rPr>
                              <m:t>,</m:t>
                            </m:r>
                            <m:r>
                              <a:rPr lang="en-AU" sz="1000" i="1">
                                <a:latin typeface="Cambria Math" panose="02040503050406030204" pitchFamily="18" charset="0"/>
                              </a:rPr>
                              <m:t>𝑆𝐶</m:t>
                            </m:r>
                            <m:r>
                              <a:rPr lang="en-AU" sz="1000" i="1">
                                <a:latin typeface="Cambria Math" panose="02040503050406030204" pitchFamily="18" charset="0"/>
                              </a:rPr>
                              <m:t>,</m:t>
                            </m:r>
                            <m:r>
                              <a:rPr lang="en-AU" sz="1000" i="1">
                                <a:latin typeface="Cambria Math" panose="02040503050406030204" pitchFamily="18" charset="0"/>
                              </a:rPr>
                              <m:t>𝑞</m:t>
                            </m:r>
                          </m:sub>
                        </m:sSub>
                      </m:e>
                    </m:nary>
                  </m:oMath>
                </m:oMathPara>
              </a14:m>
              <a:endParaRPr lang="en-AU" sz="1000"/>
            </a:p>
          </xdr:txBody>
        </xdr:sp>
      </mc:Choice>
      <mc:Fallback xmlns="">
        <xdr:sp macro="" textlink="">
          <xdr:nvSpPr>
            <xdr:cNvPr id="15" name="TextBox 14">
              <a:extLst>
                <a:ext uri="{FF2B5EF4-FFF2-40B4-BE49-F238E27FC236}">
                  <a16:creationId xmlns:a16="http://schemas.microsoft.com/office/drawing/2014/main" id="{CEE1465B-23DB-4245-86A2-8090CE8604E6}"/>
                </a:ext>
              </a:extLst>
            </xdr:cNvPr>
            <xdr:cNvSpPr txBox="1"/>
          </xdr:nvSpPr>
          <xdr:spPr>
            <a:xfrm>
              <a:off x="3078257" y="129757394"/>
              <a:ext cx="2229713"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𝐸=∑2_𝑞▒𝐸_(𝑊𝑇𝑇,𝑡𝑟𝑎𝑛𝑠,𝑞) +∑2_𝑞▒𝐸_(𝑊𝑇𝑇,𝑆𝐶,𝑞) </a:t>
              </a:r>
              <a:endParaRPr lang="en-AU" sz="1000"/>
            </a:p>
          </xdr:txBody>
        </xdr:sp>
      </mc:Fallback>
    </mc:AlternateContent>
    <xdr:clientData/>
  </xdr:oneCellAnchor>
  <xdr:oneCellAnchor>
    <xdr:from>
      <xdr:col>3</xdr:col>
      <xdr:colOff>30256</xdr:colOff>
      <xdr:row>538</xdr:row>
      <xdr:rowOff>80682</xdr:rowOff>
    </xdr:from>
    <xdr:ext cx="1958037" cy="180114"/>
    <mc:AlternateContent xmlns:mc="http://schemas.openxmlformats.org/markup-compatibility/2006" xmlns:a14="http://schemas.microsoft.com/office/drawing/2010/main">
      <mc:Choice Requires="a14">
        <xdr:sp macro="" textlink="">
          <xdr:nvSpPr>
            <xdr:cNvPr id="16" name="TextBox 15">
              <a:extLst>
                <a:ext uri="{FF2B5EF4-FFF2-40B4-BE49-F238E27FC236}">
                  <a16:creationId xmlns:a16="http://schemas.microsoft.com/office/drawing/2014/main" id="{4962C935-EE74-4D13-AE4B-E87FD2EB2C2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6" name="TextBox 15">
              <a:extLst>
                <a:ext uri="{FF2B5EF4-FFF2-40B4-BE49-F238E27FC236}">
                  <a16:creationId xmlns:a16="http://schemas.microsoft.com/office/drawing/2014/main" id="{4962C935-EE74-4D13-AE4B-E87FD2EB2C26}"/>
                </a:ext>
              </a:extLst>
            </xdr:cNvPr>
            <xdr:cNvSpPr txBox="1"/>
          </xdr:nvSpPr>
          <xdr:spPr>
            <a:xfrm>
              <a:off x="3078256" y="133449732"/>
              <a:ext cx="195803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𝐸_(3,𝑒𝑙𝑒𝑐)=𝑄_𝑒𝑙𝑒𝑐×𝐸𝐹_(3,𝑒𝑙𝑒𝑐)×10^(−3)</a:t>
              </a:r>
              <a:endParaRPr lang="en-AU" sz="1000"/>
            </a:p>
          </xdr:txBody>
        </xdr:sp>
      </mc:Fallback>
    </mc:AlternateContent>
    <xdr:clientData/>
  </xdr:oneCellAnchor>
  <xdr:oneCellAnchor>
    <xdr:from>
      <xdr:col>5</xdr:col>
      <xdr:colOff>2137393</xdr:colOff>
      <xdr:row>555</xdr:row>
      <xdr:rowOff>162570</xdr:rowOff>
    </xdr:from>
    <xdr:ext cx="6938886" cy="191078"/>
    <mc:AlternateContent xmlns:mc="http://schemas.openxmlformats.org/markup-compatibility/2006" xmlns:a14="http://schemas.microsoft.com/office/drawing/2010/main">
      <mc:Choice Requires="a14">
        <xdr:sp macro="" textlink="">
          <xdr:nvSpPr>
            <xdr:cNvPr id="17" name="TextBox 16">
              <a:extLst>
                <a:ext uri="{FF2B5EF4-FFF2-40B4-BE49-F238E27FC236}">
                  <a16:creationId xmlns:a16="http://schemas.microsoft.com/office/drawing/2014/main" id="{47DA61FF-3156-4189-86F5-3467DBAE28CC}"/>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b="0" i="1">
                            <a:solidFill>
                              <a:srgbClr val="C00000"/>
                            </a:solidFill>
                            <a:latin typeface="Cambria Math" panose="02040503050406030204" pitchFamily="18" charset="0"/>
                          </a:rPr>
                        </m:ctrlPr>
                      </m:sSubPr>
                      <m:e>
                        <m:r>
                          <m:rPr>
                            <m:sty m:val="p"/>
                          </m:rPr>
                          <a:rPr lang="en-AU" sz="1000" b="0" i="1">
                            <a:solidFill>
                              <a:srgbClr val="C00000"/>
                            </a:solidFill>
                            <a:latin typeface="Cambria Math" panose="02040503050406030204" pitchFamily="18" charset="0"/>
                          </a:rPr>
                          <m:t>ORIGINAL</m:t>
                        </m:r>
                        <m:r>
                          <a:rPr lang="en-AU" sz="1000" b="0" i="1">
                            <a:solidFill>
                              <a:srgbClr val="C00000"/>
                            </a:solidFill>
                            <a:latin typeface="Cambria Math" panose="02040503050406030204" pitchFamily="18" charset="0"/>
                          </a:rPr>
                          <m:t>: </m:t>
                        </m:r>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7" name="TextBox 16">
              <a:extLst>
                <a:ext uri="{FF2B5EF4-FFF2-40B4-BE49-F238E27FC236}">
                  <a16:creationId xmlns:a16="http://schemas.microsoft.com/office/drawing/2014/main" id="{47DA61FF-3156-4189-86F5-3467DBAE28CC}"/>
                </a:ext>
              </a:extLst>
            </xdr:cNvPr>
            <xdr:cNvSpPr txBox="1"/>
          </xdr:nvSpPr>
          <xdr:spPr>
            <a:xfrm>
              <a:off x="9166843" y="137741670"/>
              <a:ext cx="6938886"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b="0" i="0">
                  <a:solidFill>
                    <a:srgbClr val="C00000"/>
                  </a:solidFill>
                  <a:latin typeface="Cambria Math" panose="02040503050406030204" pitchFamily="18" charset="0"/>
                </a:rPr>
                <a:t>〖ORIGINAL: </a:t>
              </a:r>
              <a:r>
                <a:rPr lang="en-AU" sz="1000" i="0">
                  <a:latin typeface="Cambria Math" panose="02040503050406030204" pitchFamily="18" charset="0"/>
                </a:rPr>
                <a:t>𝐸</a:t>
              </a:r>
              <a:r>
                <a:rPr lang="en-AU" sz="1000" b="0" i="0">
                  <a:solidFill>
                    <a:srgbClr val="C00000"/>
                  </a:solidFill>
                  <a:latin typeface="Cambria Math" panose="02040503050406030204" pitchFamily="18" charset="0"/>
                </a:rPr>
                <a:t>〗_(</a:t>
              </a:r>
              <a:r>
                <a:rPr lang="en-AU" sz="1000" i="0">
                  <a:latin typeface="Cambria Math" panose="02040503050406030204" pitchFamily="18" charset="0"/>
                </a:rPr>
                <a:t>3,𝑒𝑙𝑒𝑐</a:t>
              </a:r>
              <a:r>
                <a:rPr lang="en-AU" sz="1000" b="0" i="0">
                  <a:solidFill>
                    <a:srgbClr val="C00000"/>
                  </a:solidFill>
                  <a:latin typeface="Cambria Math" panose="02040503050406030204" pitchFamily="18" charset="0"/>
                </a:rPr>
                <a:t>)</a:t>
              </a:r>
              <a:r>
                <a:rPr lang="en-AU" sz="1000" i="0">
                  <a:latin typeface="Cambria Math" panose="02040503050406030204" pitchFamily="18" charset="0"/>
                </a:rPr>
                <a:t>=[𝑄_𝑒𝑙𝑒𝑐×(1−(𝑅𝑃𝑃+𝐽𝑅𝑃𝑃))−├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3</xdr:col>
      <xdr:colOff>5351</xdr:colOff>
      <xdr:row>555</xdr:row>
      <xdr:rowOff>182789</xdr:rowOff>
    </xdr:from>
    <xdr:ext cx="6155275" cy="191078"/>
    <mc:AlternateContent xmlns:mc="http://schemas.openxmlformats.org/markup-compatibility/2006" xmlns:a14="http://schemas.microsoft.com/office/drawing/2010/main">
      <mc:Choice Requires="a14">
        <xdr:sp macro="" textlink="">
          <xdr:nvSpPr>
            <xdr:cNvPr id="18" name="TextBox 17">
              <a:extLst>
                <a:ext uri="{FF2B5EF4-FFF2-40B4-BE49-F238E27FC236}">
                  <a16:creationId xmlns:a16="http://schemas.microsoft.com/office/drawing/2014/main" id="{7D3DFA9B-1B1C-4C7E-BD39-DB07F227FD14}"/>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𝑒𝑙𝑒𝑐</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1−</m:t>
                        </m:r>
                        <m:d>
                          <m:dPr>
                            <m:ctrlPr>
                              <a:rPr lang="en-AU" sz="1000" i="1">
                                <a:latin typeface="Cambria Math" panose="02040503050406030204" pitchFamily="18" charset="0"/>
                              </a:rPr>
                            </m:ctrlPr>
                          </m:dPr>
                          <m:e>
                            <m:r>
                              <a:rPr lang="en-AU" sz="1000" i="1">
                                <a:latin typeface="Cambria Math" panose="02040503050406030204" pitchFamily="18" charset="0"/>
                              </a:rPr>
                              <m:t>𝑅𝑃𝑃</m:t>
                            </m:r>
                            <m:r>
                              <a:rPr lang="en-AU" sz="1000" i="1">
                                <a:latin typeface="Cambria Math" panose="02040503050406030204" pitchFamily="18" charset="0"/>
                              </a:rPr>
                              <m:t>+</m:t>
                            </m:r>
                            <m:r>
                              <a:rPr lang="en-AU" sz="1000" i="1">
                                <a:latin typeface="Cambria Math" panose="02040503050406030204" pitchFamily="18" charset="0"/>
                              </a:rPr>
                              <m:t>𝐽𝑅𝑃𝑃</m:t>
                            </m:r>
                          </m:e>
                        </m:d>
                      </m:e>
                    </m:d>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𝑠𝑢𝑟𝑟𝑒𝑛𝑑𝑒𝑟𝑒𝑑</m:t>
                                    </m:r>
                                  </m:sub>
                                </m:sSub>
                                <m:r>
                                  <a:rPr lang="en-AU" sz="1000" i="1">
                                    <a:latin typeface="Cambria Math" panose="02040503050406030204" pitchFamily="18" charset="0"/>
                                  </a:rPr>
                                  <m:t>−</m:t>
                                </m:r>
                                <m:r>
                                  <a:rPr lang="en-AU" sz="1000" i="1">
                                    <a:latin typeface="Cambria Math" panose="02040503050406030204" pitchFamily="18" charset="0"/>
                                  </a:rPr>
                                  <m:t>𝑅𝐸</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𝑜𝑛𝑠𝑖𝑡𝑒</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𝑅𝑀𝐹</m:t>
                        </m:r>
                        <m:r>
                          <a:rPr lang="en-AU" sz="1000" i="1">
                            <a:latin typeface="Cambria Math" panose="02040503050406030204" pitchFamily="18" charset="0"/>
                          </a:rPr>
                          <m:t>3,</m:t>
                        </m:r>
                        <m:r>
                          <a:rPr lang="en-AU" sz="1000" i="1">
                            <a:latin typeface="Cambria Math" panose="02040503050406030204" pitchFamily="18" charset="0"/>
                          </a:rPr>
                          <m:t>𝑒𝑙𝑒𝑐</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18" name="TextBox 17">
              <a:extLst>
                <a:ext uri="{FF2B5EF4-FFF2-40B4-BE49-F238E27FC236}">
                  <a16:creationId xmlns:a16="http://schemas.microsoft.com/office/drawing/2014/main" id="{7D3DFA9B-1B1C-4C7E-BD39-DB07F227FD14}"/>
                </a:ext>
              </a:extLst>
            </xdr:cNvPr>
            <xdr:cNvSpPr txBox="1"/>
          </xdr:nvSpPr>
          <xdr:spPr>
            <a:xfrm>
              <a:off x="3053351" y="137761889"/>
              <a:ext cx="6155275" cy="19107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𝐸_(3,𝑒𝑙𝑒𝑐)=[𝑄_𝑒𝑙𝑒𝑐×(1−(𝑅𝑃𝑃+𝐽𝑅𝑃𝑃))−├ ((𝑅𝐸𝐶_𝑠𝑢𝑟𝑟𝑒𝑛𝑑𝑒𝑟𝑒𝑑−𝑅𝐸𝐶_𝑜𝑛𝑠𝑖𝑡𝑒 )×10^3 )]×𝐸𝐹_(𝑅𝑀𝐹3,𝑒𝑙𝑒𝑐)×10^(−3)</a:t>
              </a:r>
              <a:endParaRPr lang="en-AU" sz="1000"/>
            </a:p>
          </xdr:txBody>
        </xdr:sp>
      </mc:Fallback>
    </mc:AlternateContent>
    <xdr:clientData/>
  </xdr:oneCellAnchor>
  <xdr:oneCellAnchor>
    <xdr:from>
      <xdr:col>2</xdr:col>
      <xdr:colOff>344020</xdr:colOff>
      <xdr:row>576</xdr:row>
      <xdr:rowOff>114299</xdr:rowOff>
    </xdr:from>
    <xdr:ext cx="1519327" cy="173766"/>
    <mc:AlternateContent xmlns:mc="http://schemas.openxmlformats.org/markup-compatibility/2006" xmlns:a14="http://schemas.microsoft.com/office/drawing/2010/main">
      <mc:Choice Requires="a14">
        <xdr:sp macro="" textlink="">
          <xdr:nvSpPr>
            <xdr:cNvPr id="19" name="TextBox 18">
              <a:extLst>
                <a:ext uri="{FF2B5EF4-FFF2-40B4-BE49-F238E27FC236}">
                  <a16:creationId xmlns:a16="http://schemas.microsoft.com/office/drawing/2014/main" id="{6E750171-9C6A-48F7-B7E1-AA564AF7C51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𝑙𝑒𝑎𝑐ℎ</m:t>
                        </m:r>
                      </m:sub>
                    </m:sSub>
                  </m:oMath>
                </m:oMathPara>
              </a14:m>
              <a:endParaRPr lang="en-AU" sz="1000"/>
            </a:p>
          </xdr:txBody>
        </xdr:sp>
      </mc:Choice>
      <mc:Fallback xmlns="">
        <xdr:sp macro="" textlink="">
          <xdr:nvSpPr>
            <xdr:cNvPr id="19" name="TextBox 18">
              <a:extLst>
                <a:ext uri="{FF2B5EF4-FFF2-40B4-BE49-F238E27FC236}">
                  <a16:creationId xmlns:a16="http://schemas.microsoft.com/office/drawing/2014/main" id="{6E750171-9C6A-48F7-B7E1-AA564AF7C51E}"/>
                </a:ext>
              </a:extLst>
            </xdr:cNvPr>
            <xdr:cNvSpPr txBox="1"/>
          </xdr:nvSpPr>
          <xdr:spPr>
            <a:xfrm>
              <a:off x="3049120" y="142894049"/>
              <a:ext cx="1519327"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𝐸=𝐸_𝑁2𝑂+𝐸_𝑎𝑑+𝐸_𝑙𝑒𝑎𝑐ℎ</a:t>
              </a:r>
              <a:endParaRPr lang="en-AU" sz="1000"/>
            </a:p>
          </xdr:txBody>
        </xdr:sp>
      </mc:Fallback>
    </mc:AlternateContent>
    <xdr:clientData/>
  </xdr:oneCellAnchor>
  <xdr:oneCellAnchor>
    <xdr:from>
      <xdr:col>3</xdr:col>
      <xdr:colOff>30257</xdr:colOff>
      <xdr:row>609</xdr:row>
      <xdr:rowOff>136712</xdr:rowOff>
    </xdr:from>
    <xdr:ext cx="1725537" cy="332014"/>
    <mc:AlternateContent xmlns:mc="http://schemas.openxmlformats.org/markup-compatibility/2006" xmlns:a14="http://schemas.microsoft.com/office/drawing/2010/main">
      <mc:Choice Requires="a14">
        <xdr:sp macro="" textlink="">
          <xdr:nvSpPr>
            <xdr:cNvPr id="20" name="TextBox 19">
              <a:extLst>
                <a:ext uri="{FF2B5EF4-FFF2-40B4-BE49-F238E27FC236}">
                  <a16:creationId xmlns:a16="http://schemas.microsoft.com/office/drawing/2014/main" id="{11113411-BDB7-43AF-A563-309BD13AEA75}"/>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𝑊</m:t>
                                    </m:r>
                                  </m:e>
                                  <m:sub>
                                    <m:r>
                                      <a:rPr lang="en-AU" sz="1000" i="1">
                                        <a:latin typeface="Cambria Math" panose="02040503050406030204" pitchFamily="18" charset="0"/>
                                      </a:rPr>
                                      <m:t>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𝐷</m:t>
                                    </m:r>
                                  </m:e>
                                  <m:sub>
                                    <m:r>
                                      <a:rPr lang="en-AU" sz="1000" i="1">
                                        <a:latin typeface="Cambria Math" panose="02040503050406030204" pitchFamily="18" charset="0"/>
                                      </a:rPr>
                                      <m:t>𝑓</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e>
                        </m:d>
                      </m:e>
                    </m:nary>
                  </m:oMath>
                </m:oMathPara>
              </a14:m>
              <a:endParaRPr lang="en-AU" sz="1000"/>
            </a:p>
          </xdr:txBody>
        </xdr:sp>
      </mc:Choice>
      <mc:Fallback xmlns="">
        <xdr:sp macro="" textlink="">
          <xdr:nvSpPr>
            <xdr:cNvPr id="20" name="TextBox 19">
              <a:extLst>
                <a:ext uri="{FF2B5EF4-FFF2-40B4-BE49-F238E27FC236}">
                  <a16:creationId xmlns:a16="http://schemas.microsoft.com/office/drawing/2014/main" id="{11113411-BDB7-43AF-A563-309BD13AEA75}"/>
                </a:ext>
              </a:extLst>
            </xdr:cNvPr>
            <xdr:cNvSpPr txBox="1"/>
          </xdr:nvSpPr>
          <xdr:spPr>
            <a:xfrm>
              <a:off x="3078257" y="151088912"/>
              <a:ext cx="1725537"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𝐸=∑2_𝑓▒((𝑊_𝑓×𝐷_𝑓 )×𝐸𝐹_𝑓 ) </a:t>
              </a:r>
              <a:endParaRPr lang="en-AU" sz="1000"/>
            </a:p>
          </xdr:txBody>
        </xdr:sp>
      </mc:Fallback>
    </mc:AlternateContent>
    <xdr:clientData/>
  </xdr:oneCellAnchor>
  <xdr:oneCellAnchor>
    <xdr:from>
      <xdr:col>3</xdr:col>
      <xdr:colOff>25919</xdr:colOff>
      <xdr:row>169</xdr:row>
      <xdr:rowOff>143567</xdr:rowOff>
    </xdr:from>
    <xdr:ext cx="1191032" cy="332079"/>
    <mc:AlternateContent xmlns:mc="http://schemas.openxmlformats.org/markup-compatibility/2006" xmlns:a14="http://schemas.microsoft.com/office/drawing/2010/main">
      <mc:Choice Requires="a14">
        <xdr:sp macro="" textlink="">
          <xdr:nvSpPr>
            <xdr:cNvPr id="21" name="TextBox 20">
              <a:extLst>
                <a:ext uri="{FF2B5EF4-FFF2-40B4-BE49-F238E27FC236}">
                  <a16:creationId xmlns:a16="http://schemas.microsoft.com/office/drawing/2014/main" id="{5F7A243A-8699-465B-B8D8-8B339F2A6551}"/>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m:oMathPara>
              </a14:m>
              <a:endParaRPr lang="en-AU" sz="1000"/>
            </a:p>
          </xdr:txBody>
        </xdr:sp>
      </mc:Choice>
      <mc:Fallback xmlns="">
        <xdr:sp macro="" textlink="">
          <xdr:nvSpPr>
            <xdr:cNvPr id="21" name="TextBox 20">
              <a:extLst>
                <a:ext uri="{FF2B5EF4-FFF2-40B4-BE49-F238E27FC236}">
                  <a16:creationId xmlns:a16="http://schemas.microsoft.com/office/drawing/2014/main" id="{5F7A243A-8699-465B-B8D8-8B339F2A6551}"/>
                </a:ext>
              </a:extLst>
            </xdr:cNvPr>
            <xdr:cNvSpPr txBox="1"/>
          </xdr:nvSpPr>
          <xdr:spPr>
            <a:xfrm>
              <a:off x="3073919" y="42129767"/>
              <a:ext cx="1191032"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5</xdr:col>
      <xdr:colOff>263673</xdr:colOff>
      <xdr:row>101</xdr:row>
      <xdr:rowOff>23824</xdr:rowOff>
    </xdr:from>
    <xdr:ext cx="1703480" cy="200696"/>
    <mc:AlternateContent xmlns:mc="http://schemas.openxmlformats.org/markup-compatibility/2006" xmlns:a14="http://schemas.microsoft.com/office/drawing/2010/main">
      <mc:Choice Requires="a14">
        <xdr:sp macro="" textlink="">
          <xdr:nvSpPr>
            <xdr:cNvPr id="22" name="TextBox 21">
              <a:extLst>
                <a:ext uri="{FF2B5EF4-FFF2-40B4-BE49-F238E27FC236}">
                  <a16:creationId xmlns:a16="http://schemas.microsoft.com/office/drawing/2014/main" id="{130B94E1-9B10-4C66-8E28-E4E54C5FA441}"/>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sub>
                          </m:sSub>
                        </m:e>
                      </m:d>
                    </m:e>
                  </m:nary>
                </m:oMath>
              </a14:m>
              <a:endParaRPr lang="en-AU" sz="1000"/>
            </a:p>
          </xdr:txBody>
        </xdr:sp>
      </mc:Choice>
      <mc:Fallback xmlns="">
        <xdr:sp macro="" textlink="">
          <xdr:nvSpPr>
            <xdr:cNvPr id="22" name="TextBox 21">
              <a:extLst>
                <a:ext uri="{FF2B5EF4-FFF2-40B4-BE49-F238E27FC236}">
                  <a16:creationId xmlns:a16="http://schemas.microsoft.com/office/drawing/2014/main" id="{130B94E1-9B10-4C66-8E28-E4E54C5FA441}"/>
                </a:ext>
              </a:extLst>
            </xdr:cNvPr>
            <xdr:cNvSpPr txBox="1"/>
          </xdr:nvSpPr>
          <xdr:spPr>
            <a:xfrm>
              <a:off x="7388373" y="25169824"/>
              <a:ext cx="1703480" cy="2006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 </a:t>
              </a:r>
              <a:r>
                <a:rPr lang="en-AU" sz="1000" i="0">
                  <a:latin typeface="Cambria Math" panose="02040503050406030204" pitchFamily="18" charset="0"/>
                </a:rPr>
                <a:t>𝐸=∑2_𝑗▒(𝑄_𝑗×𝐸𝐹_𝑗 ) </a:t>
              </a:r>
              <a:endParaRPr lang="en-AU" sz="1000"/>
            </a:p>
          </xdr:txBody>
        </xdr:sp>
      </mc:Fallback>
    </mc:AlternateContent>
    <xdr:clientData/>
  </xdr:oneCellAnchor>
  <xdr:oneCellAnchor>
    <xdr:from>
      <xdr:col>4</xdr:col>
      <xdr:colOff>437030</xdr:colOff>
      <xdr:row>166</xdr:row>
      <xdr:rowOff>22412</xdr:rowOff>
    </xdr:from>
    <xdr:ext cx="1832746" cy="173766"/>
    <mc:AlternateContent xmlns:mc="http://schemas.openxmlformats.org/markup-compatibility/2006" xmlns:a14="http://schemas.microsoft.com/office/drawing/2010/main">
      <mc:Choice Requires="a14">
        <xdr:sp macro="" textlink="">
          <xdr:nvSpPr>
            <xdr:cNvPr id="23" name="TextBox 22">
              <a:extLst>
                <a:ext uri="{FF2B5EF4-FFF2-40B4-BE49-F238E27FC236}">
                  <a16:creationId xmlns:a16="http://schemas.microsoft.com/office/drawing/2014/main" id="{1667DD82-392D-4610-98B8-F1A45B32EE8B}"/>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14:m>
                <m:oMath xmlns:m="http://schemas.openxmlformats.org/officeDocument/2006/math">
                  <m:r>
                    <a:rPr lang="en-AU" sz="1000" i="1">
                      <a:latin typeface="Cambria Math" panose="02040503050406030204" pitchFamily="18" charset="0"/>
                    </a:rPr>
                    <m:t>𝐸</m:t>
                  </m:r>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𝑚</m:t>
                      </m:r>
                    </m:sub>
                    <m:sup/>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𝑄</m:t>
                              </m:r>
                            </m:e>
                            <m:sub>
                              <m:r>
                                <a:rPr lang="en-AU" sz="1000" i="1">
                                  <a:latin typeface="Cambria Math" panose="02040503050406030204" pitchFamily="18" charset="0"/>
                                </a:rPr>
                                <m:t>𝑚</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𝑚</m:t>
                              </m:r>
                            </m:sub>
                          </m:sSub>
                        </m:e>
                      </m:d>
                    </m:e>
                  </m:nary>
                </m:oMath>
              </a14:m>
              <a:endParaRPr lang="en-AU" sz="1000"/>
            </a:p>
          </xdr:txBody>
        </xdr:sp>
      </mc:Choice>
      <mc:Fallback xmlns="">
        <xdr:sp macro="" textlink="">
          <xdr:nvSpPr>
            <xdr:cNvPr id="23" name="TextBox 22">
              <a:extLst>
                <a:ext uri="{FF2B5EF4-FFF2-40B4-BE49-F238E27FC236}">
                  <a16:creationId xmlns:a16="http://schemas.microsoft.com/office/drawing/2014/main" id="{1667DD82-392D-4610-98B8-F1A45B32EE8B}"/>
                </a:ext>
              </a:extLst>
            </xdr:cNvPr>
            <xdr:cNvSpPr txBox="1"/>
          </xdr:nvSpPr>
          <xdr:spPr>
            <a:xfrm>
              <a:off x="5523380" y="41265662"/>
              <a:ext cx="1832746" cy="1737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000" b="1">
                  <a:solidFill>
                    <a:srgbClr val="FF0000"/>
                  </a:solidFill>
                </a:rPr>
                <a:t>ORIGINAL:</a:t>
              </a:r>
              <a:r>
                <a:rPr lang="en-AU" sz="1000"/>
                <a:t> </a:t>
              </a:r>
              <a:r>
                <a:rPr lang="en-AU" sz="1000" i="0">
                  <a:latin typeface="Cambria Math" panose="02040503050406030204" pitchFamily="18" charset="0"/>
                </a:rPr>
                <a:t>𝐸=∑2_𝑚▒(𝑄_𝑚×𝐸𝐹_𝑚 ) </a:t>
              </a:r>
              <a:endParaRPr lang="en-AU" sz="1000"/>
            </a:p>
          </xdr:txBody>
        </xdr:sp>
      </mc:Fallback>
    </mc:AlternateContent>
    <xdr:clientData/>
  </xdr:oneCellAnchor>
</xdr:wsDr>
</file>

<file path=xl/drawings/drawing16.xml><?xml version="1.0" encoding="utf-8"?>
<xdr:wsDr xmlns:xdr="http://schemas.openxmlformats.org/drawingml/2006/spreadsheetDrawing" xmlns:a="http://schemas.openxmlformats.org/drawingml/2006/main">
  <xdr:oneCellAnchor>
    <xdr:from>
      <xdr:col>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BC0238BF-C8EA-4B38-B12B-3E74BCA6BAE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BC0238BF-C8EA-4B38-B12B-3E74BCA6BAEE}"/>
                </a:ext>
              </a:extLst>
            </xdr:cNvPr>
            <xdr:cNvSpPr txBox="1"/>
          </xdr:nvSpPr>
          <xdr:spPr>
            <a:xfrm>
              <a:off x="305276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77EC111-9E44-4CED-8972-A3C55A40262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3" name="TextBox 2">
              <a:extLst>
                <a:ext uri="{FF2B5EF4-FFF2-40B4-BE49-F238E27FC236}">
                  <a16:creationId xmlns:a16="http://schemas.microsoft.com/office/drawing/2014/main" id="{D77EC111-9E44-4CED-8972-A3C55A40262E}"/>
                </a:ext>
              </a:extLst>
            </xdr:cNvPr>
            <xdr:cNvSpPr txBox="1"/>
          </xdr:nvSpPr>
          <xdr:spPr>
            <a:xfrm>
              <a:off x="305276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C43EF4B-D980-4B91-B5C8-F07FF415CEBB}"/>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1C43EF4B-D980-4B91-B5C8-F07FF415CEBB}"/>
                </a:ext>
              </a:extLst>
            </xdr:cNvPr>
            <xdr:cNvSpPr txBox="1"/>
          </xdr:nvSpPr>
          <xdr:spPr>
            <a:xfrm>
              <a:off x="306228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5D0EC534-A69A-40EC-A42E-14E9366D0F7E}"/>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5D0EC534-A69A-40EC-A42E-14E9366D0F7E}"/>
                </a:ext>
              </a:extLst>
            </xdr:cNvPr>
            <xdr:cNvSpPr txBox="1"/>
          </xdr:nvSpPr>
          <xdr:spPr>
            <a:xfrm>
              <a:off x="299561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30025A4E-4BEA-4A65-B0ED-E4E6F93E6786}"/>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6" name="TextBox 5">
              <a:extLst>
                <a:ext uri="{FF2B5EF4-FFF2-40B4-BE49-F238E27FC236}">
                  <a16:creationId xmlns:a16="http://schemas.microsoft.com/office/drawing/2014/main" id="{30025A4E-4BEA-4A65-B0ED-E4E6F93E6786}"/>
                </a:ext>
              </a:extLst>
            </xdr:cNvPr>
            <xdr:cNvSpPr txBox="1"/>
          </xdr:nvSpPr>
          <xdr:spPr>
            <a:xfrm>
              <a:off x="306228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oneCellAnchor>
    <xdr:from>
      <xdr:col>13</xdr:col>
      <xdr:colOff>4762</xdr:colOff>
      <xdr:row>7</xdr:row>
      <xdr:rowOff>66675</xdr:rowOff>
    </xdr:from>
    <xdr:ext cx="3299749"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6C72EEE8-1EE7-45AC-91D4-580679EB9EAD}"/>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6C72EEE8-1EE7-45AC-91D4-580679EB9EAD}"/>
                </a:ext>
              </a:extLst>
            </xdr:cNvPr>
            <xdr:cNvSpPr txBox="1"/>
          </xdr:nvSpPr>
          <xdr:spPr>
            <a:xfrm>
              <a:off x="18235612" y="193357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oneCellAnchor>
    <xdr:from>
      <xdr:col>13</xdr:col>
      <xdr:colOff>4762</xdr:colOff>
      <xdr:row>26</xdr:row>
      <xdr:rowOff>66675</xdr:rowOff>
    </xdr:from>
    <xdr:ext cx="2649059" cy="18299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A5A4D1A7-DA91-4FDD-AEED-6F26D2829DC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8" name="TextBox 7">
              <a:extLst>
                <a:ext uri="{FF2B5EF4-FFF2-40B4-BE49-F238E27FC236}">
                  <a16:creationId xmlns:a16="http://schemas.microsoft.com/office/drawing/2014/main" id="{A5A4D1A7-DA91-4FDD-AEED-6F26D2829DCB}"/>
                </a:ext>
              </a:extLst>
            </xdr:cNvPr>
            <xdr:cNvSpPr txBox="1"/>
          </xdr:nvSpPr>
          <xdr:spPr>
            <a:xfrm>
              <a:off x="18235612" y="66389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13</xdr:col>
      <xdr:colOff>14287</xdr:colOff>
      <xdr:row>42</xdr:row>
      <xdr:rowOff>57150</xdr:rowOff>
    </xdr:from>
    <xdr:ext cx="4040786"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1A745712-397B-4BA2-AC6D-73690286576C}"/>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9" name="TextBox 8">
              <a:extLst>
                <a:ext uri="{FF2B5EF4-FFF2-40B4-BE49-F238E27FC236}">
                  <a16:creationId xmlns:a16="http://schemas.microsoft.com/office/drawing/2014/main" id="{1A745712-397B-4BA2-AC6D-73690286576C}"/>
                </a:ext>
              </a:extLst>
            </xdr:cNvPr>
            <xdr:cNvSpPr txBox="1"/>
          </xdr:nvSpPr>
          <xdr:spPr>
            <a:xfrm>
              <a:off x="18245137" y="105918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oneCellAnchor>
    <xdr:from>
      <xdr:col>12</xdr:col>
      <xdr:colOff>252412</xdr:colOff>
      <xdr:row>61</xdr:row>
      <xdr:rowOff>71437</xdr:rowOff>
    </xdr:from>
    <xdr:ext cx="3633944" cy="332014"/>
    <mc:AlternateContent xmlns:mc="http://schemas.openxmlformats.org/markup-compatibility/2006" xmlns:a14="http://schemas.microsoft.com/office/drawing/2010/main">
      <mc:Choice Requires="a14">
        <xdr:sp macro="" textlink="">
          <xdr:nvSpPr>
            <xdr:cNvPr id="10" name="TextBox 9">
              <a:extLst>
                <a:ext uri="{FF2B5EF4-FFF2-40B4-BE49-F238E27FC236}">
                  <a16:creationId xmlns:a16="http://schemas.microsoft.com/office/drawing/2014/main" id="{9EF641EB-D7FA-43D5-B8EE-E81CEC36AE4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10" name="TextBox 9">
              <a:extLst>
                <a:ext uri="{FF2B5EF4-FFF2-40B4-BE49-F238E27FC236}">
                  <a16:creationId xmlns:a16="http://schemas.microsoft.com/office/drawing/2014/main" id="{9EF641EB-D7FA-43D5-B8EE-E81CEC36AE47}"/>
                </a:ext>
              </a:extLst>
            </xdr:cNvPr>
            <xdr:cNvSpPr txBox="1"/>
          </xdr:nvSpPr>
          <xdr:spPr>
            <a:xfrm>
              <a:off x="18178462" y="153114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13</xdr:col>
      <xdr:colOff>14287</xdr:colOff>
      <xdr:row>79</xdr:row>
      <xdr:rowOff>61912</xdr:rowOff>
    </xdr:from>
    <xdr:ext cx="4870692" cy="429926"/>
    <mc:AlternateContent xmlns:mc="http://schemas.openxmlformats.org/markup-compatibility/2006" xmlns:a14="http://schemas.microsoft.com/office/drawing/2010/main">
      <mc:Choice Requires="a14">
        <xdr:sp macro="" textlink="">
          <xdr:nvSpPr>
            <xdr:cNvPr id="11" name="TextBox 10">
              <a:extLst>
                <a:ext uri="{FF2B5EF4-FFF2-40B4-BE49-F238E27FC236}">
                  <a16:creationId xmlns:a16="http://schemas.microsoft.com/office/drawing/2014/main" id="{4A753F6C-C868-4570-9EA9-3D556B000F65}"/>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11" name="TextBox 10">
              <a:extLst>
                <a:ext uri="{FF2B5EF4-FFF2-40B4-BE49-F238E27FC236}">
                  <a16:creationId xmlns:a16="http://schemas.microsoft.com/office/drawing/2014/main" id="{4A753F6C-C868-4570-9EA9-3D556B000F65}"/>
                </a:ext>
              </a:extLst>
            </xdr:cNvPr>
            <xdr:cNvSpPr txBox="1"/>
          </xdr:nvSpPr>
          <xdr:spPr>
            <a:xfrm>
              <a:off x="18245137" y="197596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drawings/drawing17.xml><?xml version="1.0" encoding="utf-8"?>
<xdr:wsDr xmlns:xdr="http://schemas.openxmlformats.org/drawingml/2006/spreadsheetDrawing" xmlns:a="http://schemas.openxmlformats.org/drawingml/2006/main">
  <xdr:oneCellAnchor>
    <xdr:from>
      <xdr:col>3</xdr:col>
      <xdr:colOff>24652</xdr:colOff>
      <xdr:row>7</xdr:row>
      <xdr:rowOff>181536</xdr:rowOff>
    </xdr:from>
    <xdr:ext cx="1792286"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FB4BB27C-4029-49DD-9B65-D7D4DFB0CC1F}"/>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FB4BB27C-4029-49DD-9B65-D7D4DFB0CC1F}"/>
                </a:ext>
              </a:extLst>
            </xdr:cNvPr>
            <xdr:cNvSpPr txBox="1"/>
          </xdr:nvSpPr>
          <xdr:spPr>
            <a:xfrm>
              <a:off x="2701177" y="2048436"/>
              <a:ext cx="1792286"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𝑀𝑁_𝑗𝑓=𝑇𝑀_𝑗𝑓×𝐹𝑁_(𝑖𝑛𝑜𝑟𝑔𝑎𝑛𝑖𝑐,𝑓)</a:t>
              </a:r>
              <a:endParaRPr lang="en-AU" sz="1000"/>
            </a:p>
          </xdr:txBody>
        </xdr:sp>
      </mc:Fallback>
    </mc:AlternateContent>
    <xdr:clientData/>
  </xdr:oneCellAnchor>
  <xdr:oneCellAnchor>
    <xdr:from>
      <xdr:col>3</xdr:col>
      <xdr:colOff>24653</xdr:colOff>
      <xdr:row>42</xdr:row>
      <xdr:rowOff>125506</xdr:rowOff>
    </xdr:from>
    <xdr:ext cx="3047693"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73FE797D-B5A4-441A-BC9A-779F9F72912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73FE797D-B5A4-441A-BC9A-779F9F72912B}"/>
                </a:ext>
              </a:extLst>
            </xdr:cNvPr>
            <xdr:cNvSpPr txBox="1"/>
          </xdr:nvSpPr>
          <xdr:spPr>
            <a:xfrm>
              <a:off x="2701178" y="10660156"/>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oneCellAnchor>
    <xdr:from>
      <xdr:col>12</xdr:col>
      <xdr:colOff>13446</xdr:colOff>
      <xdr:row>40</xdr:row>
      <xdr:rowOff>125506</xdr:rowOff>
    </xdr:from>
    <xdr:ext cx="4661725"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80A7813D-53D8-4797-879A-B2F230C1858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−0.1474+</m:t>
                        </m:r>
                        <m:d>
                          <m:dPr>
                            <m:ctrlPr>
                              <a:rPr lang="en-AU" sz="1000" i="1">
                                <a:latin typeface="Cambria Math" panose="02040503050406030204" pitchFamily="18" charset="0"/>
                              </a:rPr>
                            </m:ctrlPr>
                          </m:dPr>
                          <m:e>
                            <m:r>
                              <a:rPr lang="en-AU" sz="1000" i="1">
                                <a:latin typeface="Cambria Math" panose="02040503050406030204" pitchFamily="18" charset="0"/>
                              </a:rPr>
                              <m:t>0.0061×</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𝑖𝑟𝑟𝑖𝑔𝑎𝑡𝑒𝑑𝑚𝑎𝑖𝑧𝑒</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4" name="TextBox 3">
              <a:extLst>
                <a:ext uri="{FF2B5EF4-FFF2-40B4-BE49-F238E27FC236}">
                  <a16:creationId xmlns:a16="http://schemas.microsoft.com/office/drawing/2014/main" id="{80A7813D-53D8-4797-879A-B2F230C1858C}"/>
                </a:ext>
              </a:extLst>
            </xdr:cNvPr>
            <xdr:cNvSpPr txBox="1"/>
          </xdr:nvSpPr>
          <xdr:spPr>
            <a:xfrm>
              <a:off x="17291796" y="10164856"/>
              <a:ext cx="4661725"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𝐸𝐹_(𝑓𝑗=𝑖𝑟𝑟𝑖𝑔𝑎𝑡𝑒𝑑𝑚𝑎𝑖𝑧𝑒,𝑁2𝑂)=(−0.1474+(0.0061×𝑁_(𝑓𝑗=𝑖𝑟𝑟𝑖𝑔𝑎𝑡𝑒𝑑𝑚𝑎𝑖𝑧𝑒) ))×10^(−2)</a:t>
              </a:r>
              <a:endParaRPr lang="en-AU" sz="1000"/>
            </a:p>
          </xdr:txBody>
        </xdr:sp>
      </mc:Fallback>
    </mc:AlternateContent>
    <xdr:clientData/>
  </xdr:oneCellAnchor>
  <xdr:oneCellAnchor>
    <xdr:from>
      <xdr:col>11</xdr:col>
      <xdr:colOff>304799</xdr:colOff>
      <xdr:row>54</xdr:row>
      <xdr:rowOff>114300</xdr:rowOff>
    </xdr:from>
    <xdr:ext cx="5008229" cy="25333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3EC62AEA-42E2-4F43-BCD0-6AF2CFFDE23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d>
                      <m:dPr>
                        <m:ctrlPr>
                          <a:rPr lang="en-AU" sz="1000" i="1">
                            <a:latin typeface="Cambria Math" panose="02040503050406030204" pitchFamily="18" charset="0"/>
                          </a:rPr>
                        </m:ctrlPr>
                      </m:dPr>
                      <m:e>
                        <m:r>
                          <a:rPr lang="en-AU" sz="1000" i="1">
                            <a:latin typeface="Cambria Math" panose="02040503050406030204" pitchFamily="18" charset="0"/>
                          </a:rPr>
                          <m:t>0.0781+</m:t>
                        </m:r>
                        <m:d>
                          <m:dPr>
                            <m:ctrlPr>
                              <a:rPr lang="en-AU" sz="1000" i="1">
                                <a:latin typeface="Cambria Math" panose="02040503050406030204" pitchFamily="18" charset="0"/>
                              </a:rPr>
                            </m:ctrlPr>
                          </m:dPr>
                          <m:e>
                            <m:r>
                              <a:rPr lang="en-AU" sz="1000" i="1">
                                <a:latin typeface="Cambria Math" panose="02040503050406030204" pitchFamily="18" charset="0"/>
                              </a:rPr>
                              <m:t>0.0075×</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𝑛𝑜𝑛𝑖𝑟𝑟𝑖𝑔𝑎𝑡𝑒𝑑𝑔𝑟𝑎𝑖𝑛𝑠</m:t>
                                </m:r>
                              </m:sub>
                            </m:sSub>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5" name="TextBox 4">
              <a:extLst>
                <a:ext uri="{FF2B5EF4-FFF2-40B4-BE49-F238E27FC236}">
                  <a16:creationId xmlns:a16="http://schemas.microsoft.com/office/drawing/2014/main" id="{3EC62AEA-42E2-4F43-BCD0-6AF2CFFDE23A}"/>
                </a:ext>
              </a:extLst>
            </xdr:cNvPr>
            <xdr:cNvSpPr txBox="1"/>
          </xdr:nvSpPr>
          <xdr:spPr>
            <a:xfrm>
              <a:off x="17268824" y="13620750"/>
              <a:ext cx="5008229"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𝐸𝐹_(𝑓𝑗=𝑛𝑜𝑛𝑖𝑟𝑟𝑖𝑔𝑎𝑡𝑒𝑑𝑔𝑟𝑎𝑖𝑛𝑠,𝑁2𝑂)=(0.0781+(0.0075×𝑁_(𝑓𝑗=𝑛𝑜𝑛𝑖𝑟𝑟𝑖𝑔𝑎𝑡𝑒𝑑𝑔𝑟𝑎𝑖𝑛𝑠) ))×10^(−2)</a:t>
              </a:r>
              <a:endParaRPr lang="en-AU" sz="1000"/>
            </a:p>
          </xdr:txBody>
        </xdr:sp>
      </mc:Fallback>
    </mc:AlternateContent>
    <xdr:clientData/>
  </xdr:oneCellAnchor>
  <xdr:oneCellAnchor>
    <xdr:from>
      <xdr:col>11</xdr:col>
      <xdr:colOff>293593</xdr:colOff>
      <xdr:row>67</xdr:row>
      <xdr:rowOff>79081</xdr:rowOff>
    </xdr:from>
    <xdr:ext cx="3370345" cy="544957"/>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FAB6CF62-0C7E-4063-912A-FA1DAB739B1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d>
                      <m:dPr>
                        <m:ctrlPr>
                          <a:rPr lang="en-AU" sz="1000" i="1">
                            <a:latin typeface="Cambria Math" panose="02040503050406030204" pitchFamily="18" charset="0"/>
                          </a:rPr>
                        </m:ctrlPr>
                      </m:dPr>
                      <m:e>
                        <m:r>
                          <a:rPr lang="en-AU" sz="1000" i="1">
                            <a:latin typeface="Cambria Math" panose="02040503050406030204" pitchFamily="18" charset="0"/>
                          </a:rPr>
                          <m:t>0.01×</m:t>
                        </m:r>
                        <m:d>
                          <m:dPr>
                            <m:ctrlPr>
                              <a:rPr lang="en-AU" sz="1000" i="1">
                                <a:latin typeface="Cambria Math" panose="02040503050406030204" pitchFamily="18" charset="0"/>
                              </a:rPr>
                            </m:ctrlPr>
                          </m:dPr>
                          <m:e>
                            <m:r>
                              <a:rPr lang="en-AU" sz="1000" i="1">
                                <a:latin typeface="Cambria Math" panose="02040503050406030204" pitchFamily="18" charset="0"/>
                              </a:rPr>
                              <m:t>0.29+</m:t>
                            </m:r>
                            <m:f>
                              <m:fPr>
                                <m:ctrlPr>
                                  <a:rPr lang="en-AU" sz="1000" i="1">
                                    <a:latin typeface="Cambria Math" panose="02040503050406030204" pitchFamily="18" charset="0"/>
                                  </a:rPr>
                                </m:ctrlPr>
                              </m:fPr>
                              <m:num>
                                <m:r>
                                  <a:rPr lang="en-AU" sz="1000" i="1">
                                    <a:latin typeface="Cambria Math" panose="02040503050406030204" pitchFamily="18" charset="0"/>
                                  </a:rPr>
                                  <m:t>0.007</m:t>
                                </m:r>
                                <m:d>
                                  <m:dPr>
                                    <m:ctrlPr>
                                      <a:rPr lang="en-AU" sz="1000" i="1">
                                        <a:latin typeface="Cambria Math" panose="02040503050406030204" pitchFamily="18" charset="0"/>
                                      </a:rPr>
                                    </m:ctrlPr>
                                  </m:dPr>
                                  <m:e>
                                    <m:sSup>
                                      <m:sSupPr>
                                        <m:ctrlPr>
                                          <a:rPr lang="en-AU" sz="1000" i="1">
                                            <a:latin typeface="Cambria Math" panose="02040503050406030204" pitchFamily="18" charset="0"/>
                                          </a:rPr>
                                        </m:ctrlPr>
                                      </m:sSupPr>
                                      <m:e>
                                        <m:r>
                                          <a:rPr lang="en-AU" sz="1000" i="1">
                                            <a:latin typeface="Cambria Math" panose="02040503050406030204" pitchFamily="18" charset="0"/>
                                          </a:rPr>
                                          <m:t>𝑒</m:t>
                                        </m:r>
                                      </m:e>
                                      <m:sup>
                                        <m:r>
                                          <a:rPr lang="en-AU" sz="1000" i="1">
                                            <a:latin typeface="Cambria Math" panose="02040503050406030204" pitchFamily="18" charset="0"/>
                                          </a:rPr>
                                          <m:t>0.037×</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sup>
                                    </m:sSup>
                                    <m:r>
                                      <a:rPr lang="en-AU" sz="1000" i="1">
                                        <a:latin typeface="Cambria Math" panose="02040503050406030204" pitchFamily="18" charset="0"/>
                                      </a:rPr>
                                      <m:t>−1</m:t>
                                    </m:r>
                                  </m:e>
                                </m:d>
                              </m:num>
                              <m:den>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𝑓𝑗</m:t>
                                    </m:r>
                                    <m:r>
                                      <a:rPr lang="en-AU" sz="1000" i="1">
                                        <a:latin typeface="Cambria Math" panose="02040503050406030204" pitchFamily="18" charset="0"/>
                                      </a:rPr>
                                      <m:t>=</m:t>
                                    </m:r>
                                    <m:r>
                                      <a:rPr lang="en-AU" sz="1000" i="1">
                                        <a:latin typeface="Cambria Math" panose="02040503050406030204" pitchFamily="18" charset="0"/>
                                      </a:rPr>
                                      <m:t>𝑐𝑜𝑡𝑡𝑜𝑛</m:t>
                                    </m:r>
                                  </m:sub>
                                </m:sSub>
                              </m:den>
                            </m:f>
                          </m:e>
                        </m:d>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−2</m:t>
                        </m:r>
                      </m:sup>
                    </m:sSup>
                  </m:oMath>
                </m:oMathPara>
              </a14:m>
              <a:endParaRPr lang="en-AU" sz="1000"/>
            </a:p>
          </xdr:txBody>
        </xdr:sp>
      </mc:Choice>
      <mc:Fallback xmlns="">
        <xdr:sp macro="" textlink="">
          <xdr:nvSpPr>
            <xdr:cNvPr id="6" name="TextBox 5">
              <a:extLst>
                <a:ext uri="{FF2B5EF4-FFF2-40B4-BE49-F238E27FC236}">
                  <a16:creationId xmlns:a16="http://schemas.microsoft.com/office/drawing/2014/main" id="{FAB6CF62-0C7E-4063-912A-FA1DAB739B1F}"/>
                </a:ext>
              </a:extLst>
            </xdr:cNvPr>
            <xdr:cNvSpPr txBox="1"/>
          </xdr:nvSpPr>
          <xdr:spPr>
            <a:xfrm>
              <a:off x="17257618" y="16804981"/>
              <a:ext cx="3370345" cy="54495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(0.01×(0.29+0.007(𝑒^(0.037×𝑁_(𝑓𝑗=𝑐𝑜𝑡𝑡𝑜𝑛) )−1)/𝑁_(𝑓𝑗=𝑐𝑜𝑡𝑡𝑜𝑛) ))×10^(−2)</a:t>
              </a:r>
              <a:endParaRPr lang="en-AU" sz="1000"/>
            </a:p>
          </xdr:txBody>
        </xdr:sp>
      </mc:Fallback>
    </mc:AlternateContent>
    <xdr:clientData/>
  </xdr:oneCellAnchor>
  <xdr:oneCellAnchor>
    <xdr:from>
      <xdr:col>11</xdr:col>
      <xdr:colOff>304800</xdr:colOff>
      <xdr:row>85</xdr:row>
      <xdr:rowOff>133350</xdr:rowOff>
    </xdr:from>
    <xdr:ext cx="3047693" cy="429926"/>
    <mc:AlternateContent xmlns:mc="http://schemas.openxmlformats.org/markup-compatibility/2006" xmlns:a14="http://schemas.microsoft.com/office/drawing/2010/main">
      <mc:Choice Requires="a14">
        <xdr:sp macro="" textlink="">
          <xdr:nvSpPr>
            <xdr:cNvPr id="7" name="TextBox 6">
              <a:extLst>
                <a:ext uri="{FF2B5EF4-FFF2-40B4-BE49-F238E27FC236}">
                  <a16:creationId xmlns:a16="http://schemas.microsoft.com/office/drawing/2014/main" id="{A75F595F-907F-415D-8BF4-670B84A13875}"/>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𝑗</m:t>
                                        </m:r>
                                        <m:r>
                                          <a:rPr lang="en-AU" sz="1000" i="1">
                                            <a:latin typeface="Cambria Math" panose="02040503050406030204" pitchFamily="18" charset="0"/>
                                          </a:rPr>
                                          <m:t>,</m:t>
                                        </m:r>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7" name="TextBox 6">
              <a:extLst>
                <a:ext uri="{FF2B5EF4-FFF2-40B4-BE49-F238E27FC236}">
                  <a16:creationId xmlns:a16="http://schemas.microsoft.com/office/drawing/2014/main" id="{A75F595F-907F-415D-8BF4-670B84A13875}"/>
                </a:ext>
              </a:extLst>
            </xdr:cNvPr>
            <xdr:cNvSpPr txBox="1"/>
          </xdr:nvSpPr>
          <xdr:spPr>
            <a:xfrm>
              <a:off x="17268825" y="21316950"/>
              <a:ext cx="3047693"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𝐸_𝑁2𝑂=∑_𝑗▒∑_𝑓▒((𝑀𝑁_𝑗𝑓×𝐸𝐹_(𝑗,𝑁2𝑂)×𝐶_𝑁2𝑂 )×10^(−3) ) </a:t>
              </a:r>
              <a:endParaRPr lang="en-AU" sz="1000"/>
            </a:p>
          </xdr:txBody>
        </xdr:sp>
      </mc:Fallback>
    </mc:AlternateContent>
    <xdr:clientData/>
  </xdr:oneCellAnchor>
</xdr:wsDr>
</file>

<file path=xl/drawings/drawing18.xml><?xml version="1.0" encoding="utf-8"?>
<xdr:wsDr xmlns:xdr="http://schemas.openxmlformats.org/drawingml/2006/spreadsheetDrawing" xmlns:a="http://schemas.openxmlformats.org/drawingml/2006/main">
  <xdr:oneCellAnchor>
    <xdr:from>
      <xdr:col>3</xdr:col>
      <xdr:colOff>4762</xdr:colOff>
      <xdr:row>7</xdr:row>
      <xdr:rowOff>104775</xdr:rowOff>
    </xdr:from>
    <xdr:ext cx="1248098" cy="182871"/>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685C1F68-87A3-47AB-ACC6-532AB63DD9A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𝑇</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685C1F68-87A3-47AB-ACC6-532AB63DD9A2}"/>
                </a:ext>
              </a:extLst>
            </xdr:cNvPr>
            <xdr:cNvSpPr txBox="1"/>
          </xdr:nvSpPr>
          <xdr:spPr>
            <a:xfrm>
              <a:off x="2681287" y="1971675"/>
              <a:ext cx="1248098"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𝑀𝑈_𝑗𝑓=𝑇𝑀_𝑗𝑓×𝐹𝑈_𝑓</a:t>
              </a:r>
              <a:endParaRPr lang="en-AU" sz="1000"/>
            </a:p>
          </xdr:txBody>
        </xdr:sp>
      </mc:Fallback>
    </mc:AlternateContent>
    <xdr:clientData/>
  </xdr:oneCellAnchor>
  <xdr:oneCellAnchor>
    <xdr:from>
      <xdr:col>2</xdr:col>
      <xdr:colOff>309562</xdr:colOff>
      <xdr:row>43</xdr:row>
      <xdr:rowOff>19050</xdr:rowOff>
    </xdr:from>
    <xdr:ext cx="3195747"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351CCCA1-C9E3-4827-9E77-E6BEA94D568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𝑈</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𝑢𝑟𝑒𝑎</m:t>
                                        </m:r>
                                        <m:r>
                                          <a:rPr lang="en-AU" sz="1000" i="1">
                                            <a:latin typeface="Cambria Math" panose="02040503050406030204" pitchFamily="18" charset="0"/>
                                          </a:rPr>
                                          <m:t>,</m:t>
                                        </m:r>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351CCCA1-C9E3-4827-9E77-E6BEA94D5685}"/>
                </a:ext>
              </a:extLst>
            </xdr:cNvPr>
            <xdr:cNvSpPr txBox="1"/>
          </xdr:nvSpPr>
          <xdr:spPr>
            <a:xfrm>
              <a:off x="2671762" y="10801350"/>
              <a:ext cx="3195747"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𝐸_𝐶𝑂2=∑_𝑗▒∑_𝑓▒((𝑀𝑈_𝑗𝑓×𝐸𝐹_(𝑢𝑟𝑒𝑎,𝐶𝑂2)×𝐶_𝐶𝑂2 )×10^(−3) ) </a:t>
              </a:r>
              <a:endParaRPr lang="en-AU" sz="1000"/>
            </a:p>
          </xdr:txBody>
        </xdr:sp>
      </mc:Fallback>
    </mc:AlternateContent>
    <xdr:clientData/>
  </xdr:oneCellAnchor>
</xdr:wsDr>
</file>

<file path=xl/drawings/drawing19.xml><?xml version="1.0" encoding="utf-8"?>
<xdr:wsDr xmlns:xdr="http://schemas.openxmlformats.org/drawingml/2006/spreadsheetDrawing" xmlns:a="http://schemas.openxmlformats.org/drawingml/2006/main">
  <xdr:oneCellAnchor>
    <xdr:from>
      <xdr:col>3</xdr:col>
      <xdr:colOff>4762</xdr:colOff>
      <xdr:row>7</xdr:row>
      <xdr:rowOff>104775</xdr:rowOff>
    </xdr:from>
    <xdr:ext cx="2293385"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5A29C2B0-2038-40CB-9108-DB5FD194E80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5A29C2B0-2038-40CB-9108-DB5FD194E80C}"/>
                </a:ext>
              </a:extLst>
            </xdr:cNvPr>
            <xdr:cNvSpPr txBox="1"/>
          </xdr:nvSpPr>
          <xdr:spPr>
            <a:xfrm>
              <a:off x="2681287" y="1971675"/>
              <a:ext cx="2293385"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𝑀𝑁𝑆𝑜𝑖𝑙_𝑗𝑓=𝑀_(𝑜𝑟𝑔𝑎𝑛𝑖𝑐,𝑗𝑓)×𝐹𝑁_(𝑜𝑟𝑔𝑎𝑛𝑖𝑐,𝑓)</a:t>
              </a:r>
              <a:endParaRPr lang="en-AU" sz="1000"/>
            </a:p>
          </xdr:txBody>
        </xdr:sp>
      </mc:Fallback>
    </mc:AlternateContent>
    <xdr:clientData/>
  </xdr:oneCellAnchor>
  <xdr:oneCellAnchor>
    <xdr:from>
      <xdr:col>3</xdr:col>
      <xdr:colOff>4762</xdr:colOff>
      <xdr:row>38</xdr:row>
      <xdr:rowOff>66675</xdr:rowOff>
    </xdr:from>
    <xdr:ext cx="3299749" cy="429926"/>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60599DF9-77CA-400D-9E4D-9654ACF3561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𝑖</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e>
                                </m:d>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60599DF9-77CA-400D-9E4D-9654ACF3561E}"/>
                </a:ext>
              </a:extLst>
            </xdr:cNvPr>
            <xdr:cNvSpPr txBox="1"/>
          </xdr:nvSpPr>
          <xdr:spPr>
            <a:xfrm>
              <a:off x="2681287" y="9610725"/>
              <a:ext cx="3299749"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𝐸_𝑁2𝑂=∑_𝑗▒∑_𝑓▒((𝑀𝑁𝑆𝑜𝑖𝑙_𝑗𝑓×𝐸𝐹_(𝑁2𝑂,𝑖)×𝐶_𝑁2𝑂 )×10^(−3) ) </a:t>
              </a:r>
              <a:endParaRPr lang="en-AU" sz="1000"/>
            </a:p>
          </xdr:txBody>
        </xdr:sp>
      </mc:Fallback>
    </mc:AlternateContent>
    <xdr:clientData/>
  </xdr:oneCellAnchor>
</xdr:wsDr>
</file>

<file path=xl/drawings/drawing20.xml><?xml version="1.0" encoding="utf-8"?>
<xdr:wsDr xmlns:xdr="http://schemas.openxmlformats.org/drawingml/2006/spreadsheetDrawing" xmlns:a="http://schemas.openxmlformats.org/drawingml/2006/main">
  <xdr:oneCellAnchor>
    <xdr:from>
      <xdr:col>2</xdr:col>
      <xdr:colOff>300037</xdr:colOff>
      <xdr:row>7</xdr:row>
      <xdr:rowOff>142875</xdr:rowOff>
    </xdr:from>
    <xdr:ext cx="6015493" cy="16882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9FBAA51-EA07-4EF2-A06D-5F139A94768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𝑙𝑖𝑚𝑒</m:t>
                        </m:r>
                      </m:sub>
                    </m:sSub>
                    <m:r>
                      <a:rPr lang="en-AU" sz="1000" i="1">
                        <a:latin typeface="Cambria Math" panose="02040503050406030204" pitchFamily="18" charset="0"/>
                      </a:rPr>
                      <m:t>=</m:t>
                    </m:r>
                    <m:d>
                      <m:dPr>
                        <m:begChr m:val="["/>
                        <m:endChr m:val="]"/>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𝐹𝑟𝑎𝑐𝐿𝑖𝑚𝑒</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𝑙𝑖𝑚𝑒</m:t>
                                </m:r>
                              </m:sub>
                            </m:sSub>
                          </m:e>
                        </m:d>
                        <m:r>
                          <a:rPr lang="en-AU" sz="1000" i="1">
                            <a:latin typeface="Cambria Math" panose="02040503050406030204" pitchFamily="18" charset="0"/>
                          </a:rPr>
                          <m:t>+</m:t>
                        </m:r>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𝑙𝑖𝑚𝑒</m:t>
                                </m:r>
                              </m:sub>
                            </m:sSub>
                            <m:r>
                              <a:rPr lang="en-AU" sz="1000" i="1">
                                <a:latin typeface="Cambria Math" panose="02040503050406030204" pitchFamily="18" charset="0"/>
                              </a:rPr>
                              <m:t>×</m:t>
                            </m:r>
                            <m:r>
                              <a:rPr lang="en-AU" sz="1000" i="1">
                                <a:latin typeface="Cambria Math" panose="02040503050406030204" pitchFamily="18" charset="0"/>
                              </a:rPr>
                              <m:t>𝐹𝑟𝑎𝑐𝐷𝑜𝑙</m:t>
                            </m:r>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𝑃</m:t>
                                </m:r>
                              </m:e>
                              <m:sub>
                                <m:r>
                                  <a:rPr lang="en-AU" sz="1000" i="1">
                                    <a:latin typeface="Cambria Math" panose="02040503050406030204" pitchFamily="18" charset="0"/>
                                  </a:rPr>
                                  <m:t>𝑑𝑜𝑙</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𝑑𝑜𝑙</m:t>
                                </m:r>
                              </m:sub>
                            </m:sSub>
                          </m:e>
                        </m:d>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𝐶𝑂</m:t>
                        </m:r>
                        <m:r>
                          <a:rPr lang="en-AU" sz="1000" i="1">
                            <a:latin typeface="Cambria Math" panose="02040503050406030204" pitchFamily="18" charset="0"/>
                          </a:rPr>
                          <m:t>2</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oMath>
                </m:oMathPara>
              </a14:m>
              <a:endParaRPr lang="en-AU" sz="1000"/>
            </a:p>
          </xdr:txBody>
        </xdr:sp>
      </mc:Choice>
      <mc:Fallback xmlns="">
        <xdr:sp macro="" textlink="">
          <xdr:nvSpPr>
            <xdr:cNvPr id="2" name="TextBox 1">
              <a:extLst>
                <a:ext uri="{FF2B5EF4-FFF2-40B4-BE49-F238E27FC236}">
                  <a16:creationId xmlns:a16="http://schemas.microsoft.com/office/drawing/2014/main" id="{C9FBAA51-EA07-4EF2-A06D-5F139A947687}"/>
                </a:ext>
              </a:extLst>
            </xdr:cNvPr>
            <xdr:cNvSpPr txBox="1"/>
          </xdr:nvSpPr>
          <xdr:spPr>
            <a:xfrm>
              <a:off x="2662237" y="2009775"/>
              <a:ext cx="6015493"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𝐸_𝑙𝑖𝑚𝑒=[(𝑀_𝑙𝑖𝑚𝑒×𝐹𝑟𝑎𝑐𝐿𝑖𝑚𝑒×𝑃_𝑙𝑖𝑚𝑒×𝐸𝐹_𝑙𝑖𝑚𝑒 )+(𝑀_𝑙𝑖𝑚𝑒×𝐹𝑟𝑎𝑐𝐷𝑜𝑙×𝑃_𝑑𝑜𝑙×𝐸𝐹_𝑑𝑜𝑙 )]×𝐶_𝐶𝑂2×10^(−3)</a:t>
              </a:r>
              <a:endParaRPr lang="en-AU" sz="1000"/>
            </a:p>
          </xdr:txBody>
        </xdr:sp>
      </mc:Fallback>
    </mc:AlternateContent>
    <xdr:clientData/>
  </xdr:oneCellAnchor>
</xdr:wsDr>
</file>

<file path=xl/drawings/drawing21.xml><?xml version="1.0" encoding="utf-8"?>
<xdr:wsDr xmlns:xdr="http://schemas.openxmlformats.org/drawingml/2006/spreadsheetDrawing" xmlns:a="http://schemas.openxmlformats.org/drawingml/2006/main">
  <xdr:oneCellAnchor>
    <xdr:from>
      <xdr:col>3</xdr:col>
      <xdr:colOff>4762</xdr:colOff>
      <xdr:row>7</xdr:row>
      <xdr:rowOff>114300</xdr:rowOff>
    </xdr:from>
    <xdr:ext cx="2328843" cy="18299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AA3435B0-AE3A-4094-AD8C-564E6740990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𝑓</m:t>
                        </m:r>
                      </m:sub>
                    </m:sSub>
                  </m:oMath>
                </m:oMathPara>
              </a14:m>
              <a:endParaRPr lang="en-AU" sz="1000"/>
            </a:p>
          </xdr:txBody>
        </xdr:sp>
      </mc:Choice>
      <mc:Fallback xmlns="">
        <xdr:sp macro="" textlink="">
          <xdr:nvSpPr>
            <xdr:cNvPr id="2" name="TextBox 1">
              <a:extLst>
                <a:ext uri="{FF2B5EF4-FFF2-40B4-BE49-F238E27FC236}">
                  <a16:creationId xmlns:a16="http://schemas.microsoft.com/office/drawing/2014/main" id="{AA3435B0-AE3A-4094-AD8C-564E6740990A}"/>
                </a:ext>
              </a:extLst>
            </xdr:cNvPr>
            <xdr:cNvSpPr txBox="1"/>
          </xdr:nvSpPr>
          <xdr:spPr>
            <a:xfrm>
              <a:off x="2681287" y="1981200"/>
              <a:ext cx="2328843"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𝑀_(𝑣𝑜𝑙,𝑖𝑛𝑜𝑟𝑔𝑎𝑛𝑖𝑐,𝑗𝑓)=𝑀𝑁_𝑗𝑓×𝐹𝑟𝑎𝑐𝐺𝐴𝑆𝐹_𝑓</a:t>
              </a:r>
              <a:endParaRPr lang="en-AU" sz="1000"/>
            </a:p>
          </xdr:txBody>
        </xdr:sp>
      </mc:Fallback>
    </mc:AlternateContent>
    <xdr:clientData/>
  </xdr:oneCellAnchor>
  <xdr:oneCellAnchor>
    <xdr:from>
      <xdr:col>3</xdr:col>
      <xdr:colOff>4762</xdr:colOff>
      <xdr:row>43</xdr:row>
      <xdr:rowOff>57150</xdr:rowOff>
    </xdr:from>
    <xdr:ext cx="4246740" cy="33207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8A8C5F22-8656-4058-8643-11DD4DA5DAB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𝑖𝑛𝑜𝑟𝑔𝑎𝑛𝑖𝑐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8A8C5F22-8656-4058-8643-11DD4DA5DAB7}"/>
                </a:ext>
              </a:extLst>
            </xdr:cNvPr>
            <xdr:cNvSpPr txBox="1"/>
          </xdr:nvSpPr>
          <xdr:spPr>
            <a:xfrm>
              <a:off x="2681287" y="10839450"/>
              <a:ext cx="424674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𝐸_(𝑎𝑑,𝑖𝑛𝑜𝑟𝑔𝑎𝑛𝑖𝑐)=∑2_𝑗▒∑2_𝑓▒((𝑀_(𝑣𝑜𝑙,𝑖𝑛𝑜𝑟𝑔𝑎𝑛𝑖𝑐,𝑗𝑓)×𝐸𝐹_(𝑁2𝑂,𝑗) )×𝐶_𝑁2𝑂×10^(−3) ) </a:t>
              </a:r>
              <a:endParaRPr lang="en-AU" sz="1000"/>
            </a:p>
          </xdr:txBody>
        </xdr:sp>
      </mc:Fallback>
    </mc:AlternateContent>
    <xdr:clientData/>
  </xdr:oneCellAnchor>
  <xdr:oneCellAnchor>
    <xdr:from>
      <xdr:col>3</xdr:col>
      <xdr:colOff>4762</xdr:colOff>
      <xdr:row>90</xdr:row>
      <xdr:rowOff>66675</xdr:rowOff>
    </xdr:from>
    <xdr:ext cx="2649059" cy="18299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F8F0D778-A21A-4240-892D-5EC66466957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𝐹𝑟𝑎𝑐𝐺𝐴𝑆</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𝑠𝑜𝑖𝑙</m:t>
                        </m:r>
                      </m:sub>
                    </m:sSub>
                  </m:oMath>
                </m:oMathPara>
              </a14:m>
              <a:endParaRPr lang="en-AU" sz="1000"/>
            </a:p>
          </xdr:txBody>
        </xdr:sp>
      </mc:Choice>
      <mc:Fallback xmlns="">
        <xdr:sp macro="" textlink="">
          <xdr:nvSpPr>
            <xdr:cNvPr id="4" name="TextBox 3">
              <a:extLst>
                <a:ext uri="{FF2B5EF4-FFF2-40B4-BE49-F238E27FC236}">
                  <a16:creationId xmlns:a16="http://schemas.microsoft.com/office/drawing/2014/main" id="{F8F0D778-A21A-4240-892D-5EC66466957C}"/>
                </a:ext>
              </a:extLst>
            </xdr:cNvPr>
            <xdr:cNvSpPr txBox="1"/>
          </xdr:nvSpPr>
          <xdr:spPr>
            <a:xfrm>
              <a:off x="2681287" y="22488525"/>
              <a:ext cx="2649059" cy="18299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𝑀_(𝑣𝑜𝑙,𝑜𝑟𝑔𝑎𝑛𝑖𝑐,𝑗𝑓)=𝑀𝑁𝑆𝑜𝑖𝑙_𝑗𝑓×𝐹𝑟𝑎𝑐𝐺𝐴𝑆𝑀_𝑠𝑜𝑖𝑙</a:t>
              </a:r>
              <a:endParaRPr lang="en-AU" sz="1000"/>
            </a:p>
          </xdr:txBody>
        </xdr:sp>
      </mc:Fallback>
    </mc:AlternateContent>
    <xdr:clientData/>
  </xdr:oneCellAnchor>
  <xdr:oneCellAnchor>
    <xdr:from>
      <xdr:col>3</xdr:col>
      <xdr:colOff>14287</xdr:colOff>
      <xdr:row>118</xdr:row>
      <xdr:rowOff>57150</xdr:rowOff>
    </xdr:from>
    <xdr:ext cx="4040786" cy="332079"/>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1C3EE2C6-1A5D-4415-842A-E74461115DD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𝑎𝑑</m:t>
                        </m:r>
                        <m:r>
                          <a:rPr lang="en-AU" sz="1000" i="1">
                            <a:latin typeface="Cambria Math" panose="02040503050406030204" pitchFamily="18" charset="0"/>
                          </a:rPr>
                          <m:t>,</m:t>
                        </m:r>
                        <m:r>
                          <a:rPr lang="en-AU" sz="1000" i="1">
                            <a:latin typeface="Cambria Math" panose="02040503050406030204" pitchFamily="18" charset="0"/>
                          </a:rPr>
                          <m:t>𝑜𝑟𝑔𝑎𝑛𝑖𝑐</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𝑣𝑜𝑙</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e>
                    </m:nary>
                  </m:oMath>
                </m:oMathPara>
              </a14:m>
              <a:endParaRPr lang="en-AU" sz="1000"/>
            </a:p>
          </xdr:txBody>
        </xdr:sp>
      </mc:Choice>
      <mc:Fallback xmlns="">
        <xdr:sp macro="" textlink="">
          <xdr:nvSpPr>
            <xdr:cNvPr id="5" name="TextBox 4">
              <a:extLst>
                <a:ext uri="{FF2B5EF4-FFF2-40B4-BE49-F238E27FC236}">
                  <a16:creationId xmlns:a16="http://schemas.microsoft.com/office/drawing/2014/main" id="{1C3EE2C6-1A5D-4415-842A-E74461115DD6}"/>
                </a:ext>
              </a:extLst>
            </xdr:cNvPr>
            <xdr:cNvSpPr txBox="1"/>
          </xdr:nvSpPr>
          <xdr:spPr>
            <a:xfrm>
              <a:off x="2690812" y="29413200"/>
              <a:ext cx="4040786"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𝐸_(𝑎𝑑,𝑜𝑟𝑔𝑎𝑛𝑖𝑐)=∑2_𝑗▒∑2_𝑓▒((𝑀_(𝑣𝑜𝑙,𝑜𝑟𝑔𝑎𝑛𝑖𝑐,𝑗𝑓)×𝐸𝐹_(𝑁2𝑂,𝑗) )×𝐶_𝑁2𝑂×10^(−3) ) </a:t>
              </a:r>
              <a:endParaRPr lang="en-AU" sz="1000"/>
            </a:p>
          </xdr:txBody>
        </xdr:sp>
      </mc:Fallback>
    </mc:AlternateContent>
    <xdr:clientData/>
  </xdr:oneCellAnchor>
</xdr:wsDr>
</file>

<file path=xl/drawings/drawing22.xml><?xml version="1.0" encoding="utf-8"?>
<xdr:wsDr xmlns:xdr="http://schemas.openxmlformats.org/drawingml/2006/spreadsheetDrawing" xmlns:a="http://schemas.openxmlformats.org/drawingml/2006/main">
  <xdr:oneCellAnchor>
    <xdr:from>
      <xdr:col>3</xdr:col>
      <xdr:colOff>23812</xdr:colOff>
      <xdr:row>7</xdr:row>
      <xdr:rowOff>100012</xdr:rowOff>
    </xdr:from>
    <xdr:ext cx="3485120" cy="3320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DC163A4-EB6A-40F9-BD6B-CF158ADA284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m:t>
                            </m:r>
                            <m:sSub>
                              <m:sSubPr>
                                <m:ctrlPr>
                                  <a:rPr lang="en-AU" sz="1000" i="1">
                                    <a:latin typeface="Cambria Math" panose="02040503050406030204" pitchFamily="18" charset="0"/>
                                  </a:rPr>
                                </m:ctrlPr>
                              </m:sSubPr>
                              <m:e>
                                <m:r>
                                  <a:rPr lang="en-AU" sz="1000" i="1">
                                    <a:latin typeface="Cambria Math" panose="02040503050406030204" pitchFamily="18" charset="0"/>
                                  </a:rPr>
                                  <m:t>𝑁</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2" name="TextBox 1">
              <a:extLst>
                <a:ext uri="{FF2B5EF4-FFF2-40B4-BE49-F238E27FC236}">
                  <a16:creationId xmlns:a16="http://schemas.microsoft.com/office/drawing/2014/main" id="{2DC163A4-EB6A-40F9-BD6B-CF158ADA2844}"/>
                </a:ext>
              </a:extLst>
            </xdr:cNvPr>
            <xdr:cNvSpPr txBox="1"/>
          </xdr:nvSpPr>
          <xdr:spPr>
            <a:xfrm>
              <a:off x="2700337" y="1966912"/>
              <a:ext cx="3485120"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𝑀_(𝑙𝑒𝑎𝑐ℎ,𝑖𝑛𝑜𝑟𝑔𝑎𝑛𝑖𝑐,𝑗)=∑2_𝑓▒(𝑀𝑁_𝑗𝑓×𝐹𝑟𝑎𝑐_(𝑊𝐸𝑇,𝑗)×𝐹𝑟𝑎𝑐_𝐿𝐸𝐴𝐶𝐻 ) </a:t>
              </a:r>
              <a:endParaRPr lang="en-AU" sz="1000"/>
            </a:p>
          </xdr:txBody>
        </xdr:sp>
      </mc:Fallback>
    </mc:AlternateContent>
    <xdr:clientData/>
  </xdr:oneCellAnchor>
  <xdr:oneCellAnchor>
    <xdr:from>
      <xdr:col>2</xdr:col>
      <xdr:colOff>252412</xdr:colOff>
      <xdr:row>49</xdr:row>
      <xdr:rowOff>71437</xdr:rowOff>
    </xdr:from>
    <xdr:ext cx="3633944" cy="332014"/>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DB45DC76-20FC-439A-9856-E4500AC450E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nary>
                      <m:naryPr>
                        <m:chr m:val="∑"/>
                        <m:limLoc m:val="subSup"/>
                        <m:supHide m:val="on"/>
                        <m:ctrlPr>
                          <a:rPr lang="en-AU" sz="1000" i="1">
                            <a:latin typeface="Cambria Math" panose="02040503050406030204" pitchFamily="18" charset="0"/>
                          </a:rPr>
                        </m:ctrlPr>
                      </m:naryPr>
                      <m:sub>
                        <m:r>
                          <a:rPr lang="en-AU" sz="1000" i="1">
                            <a:latin typeface="Cambria Math" panose="02040503050406030204" pitchFamily="18" charset="0"/>
                          </a:rPr>
                          <m:t>𝑓</m:t>
                        </m:r>
                      </m:sub>
                      <m:sup/>
                      <m:e>
                        <m:d>
                          <m:dPr>
                            <m:ctrlPr>
                              <a:rPr lang="en-AU" sz="1000" i="1">
                                <a:latin typeface="Cambria Math" panose="02040503050406030204" pitchFamily="18" charset="0"/>
                              </a:rPr>
                            </m:ctrlPr>
                          </m:dPr>
                          <m:e>
                            <m:r>
                              <a:rPr lang="en-AU" sz="1000" i="1">
                                <a:latin typeface="Cambria Math" panose="02040503050406030204" pitchFamily="18" charset="0"/>
                              </a:rPr>
                              <m:t>𝑀𝑁𝑆𝑜𝑖</m:t>
                            </m:r>
                            <m:sSub>
                              <m:sSubPr>
                                <m:ctrlPr>
                                  <a:rPr lang="en-AU" sz="1000" i="1">
                                    <a:latin typeface="Cambria Math" panose="02040503050406030204" pitchFamily="18" charset="0"/>
                                  </a:rPr>
                                </m:ctrlPr>
                              </m:sSubPr>
                              <m:e>
                                <m:r>
                                  <a:rPr lang="en-AU" sz="1000" i="1">
                                    <a:latin typeface="Cambria Math" panose="02040503050406030204" pitchFamily="18" charset="0"/>
                                  </a:rPr>
                                  <m:t>𝑙</m:t>
                                </m:r>
                              </m:e>
                              <m:sub>
                                <m:r>
                                  <a:rPr lang="en-AU" sz="1000" i="1">
                                    <a:latin typeface="Cambria Math" panose="02040503050406030204" pitchFamily="18" charset="0"/>
                                  </a:rPr>
                                  <m:t>𝑗𝑓</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𝑊𝐸𝑇</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r>
                              <a:rPr lang="en-AU" sz="1000" i="1">
                                <a:latin typeface="Cambria Math" panose="02040503050406030204" pitchFamily="18" charset="0"/>
                              </a:rPr>
                              <m:t>𝐹𝑟𝑎</m:t>
                            </m:r>
                            <m:sSub>
                              <m:sSubPr>
                                <m:ctrlPr>
                                  <a:rPr lang="en-AU" sz="1000" i="1">
                                    <a:latin typeface="Cambria Math" panose="02040503050406030204" pitchFamily="18" charset="0"/>
                                  </a:rPr>
                                </m:ctrlPr>
                              </m:sSubPr>
                              <m:e>
                                <m:r>
                                  <a:rPr lang="en-AU" sz="1000" i="1">
                                    <a:latin typeface="Cambria Math" panose="02040503050406030204" pitchFamily="18" charset="0"/>
                                  </a:rPr>
                                  <m:t>𝑐</m:t>
                                </m:r>
                              </m:e>
                              <m:sub>
                                <m:r>
                                  <a:rPr lang="en-AU" sz="1000" i="1">
                                    <a:latin typeface="Cambria Math" panose="02040503050406030204" pitchFamily="18" charset="0"/>
                                  </a:rPr>
                                  <m:t>𝐿𝐸𝐴𝐶𝐻</m:t>
                                </m:r>
                              </m:sub>
                            </m:sSub>
                          </m:e>
                        </m:d>
                      </m:e>
                    </m:nary>
                  </m:oMath>
                </m:oMathPara>
              </a14:m>
              <a:endParaRPr lang="en-AU" sz="1000"/>
            </a:p>
          </xdr:txBody>
        </xdr:sp>
      </mc:Choice>
      <mc:Fallback xmlns="">
        <xdr:sp macro="" textlink="">
          <xdr:nvSpPr>
            <xdr:cNvPr id="3" name="TextBox 2">
              <a:extLst>
                <a:ext uri="{FF2B5EF4-FFF2-40B4-BE49-F238E27FC236}">
                  <a16:creationId xmlns:a16="http://schemas.microsoft.com/office/drawing/2014/main" id="{DB45DC76-20FC-439A-9856-E4500AC450EF}"/>
                </a:ext>
              </a:extLst>
            </xdr:cNvPr>
            <xdr:cNvSpPr txBox="1"/>
          </xdr:nvSpPr>
          <xdr:spPr>
            <a:xfrm>
              <a:off x="2614612" y="12339637"/>
              <a:ext cx="3633944" cy="3320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𝑀_(𝑙𝑒𝑎𝑐ℎ,𝑜𝑟𝑔𝑎𝑛𝑖𝑐,𝑗)=∑2_𝑓▒(𝑀𝑁𝑆𝑜𝑖𝑙_𝑗𝑓×𝐹𝑟𝑎𝑐_(𝑊𝐸𝑇,𝑗)×𝐹𝑟𝑎𝑐_𝐿𝐸𝐴𝐶𝐻 ) </a:t>
              </a:r>
              <a:endParaRPr lang="en-AU" sz="1000"/>
            </a:p>
          </xdr:txBody>
        </xdr:sp>
      </mc:Fallback>
    </mc:AlternateContent>
    <xdr:clientData/>
  </xdr:oneCellAnchor>
  <xdr:oneCellAnchor>
    <xdr:from>
      <xdr:col>3</xdr:col>
      <xdr:colOff>14287</xdr:colOff>
      <xdr:row>83</xdr:row>
      <xdr:rowOff>61912</xdr:rowOff>
    </xdr:from>
    <xdr:ext cx="4870692" cy="42992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5CC301D-E8AD-48A4-9880-58FFF8E3560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
                    <m:sSub>
                      <m:sSubPr>
                        <m:ctrlPr>
                          <a:rPr lang="en-AU" sz="1000" i="1">
                            <a:latin typeface="Cambria Math" panose="02040503050406030204" pitchFamily="18" charset="0"/>
                          </a:rPr>
                        </m:ctrlPr>
                      </m:sSubPr>
                      <m:e>
                        <m:r>
                          <a:rPr lang="en-AU" sz="1000" i="1">
                            <a:latin typeface="Cambria Math" panose="02040503050406030204" pitchFamily="18" charset="0"/>
                          </a:rPr>
                          <m:t>𝐸</m:t>
                        </m:r>
                      </m:e>
                      <m:sub>
                        <m:r>
                          <a:rPr lang="en-AU" sz="1000" i="1">
                            <a:latin typeface="Cambria Math" panose="02040503050406030204" pitchFamily="18" charset="0"/>
                          </a:rPr>
                          <m:t>𝑓𝑒𝑟𝑡</m:t>
                        </m:r>
                        <m:r>
                          <a:rPr lang="en-AU" sz="1000" i="1">
                            <a:latin typeface="Cambria Math" panose="02040503050406030204" pitchFamily="18" charset="0"/>
                          </a:rPr>
                          <m:t>,</m:t>
                        </m:r>
                        <m:r>
                          <a:rPr lang="en-AU" sz="1000" i="1">
                            <a:latin typeface="Cambria Math" panose="02040503050406030204" pitchFamily="18" charset="0"/>
                          </a:rPr>
                          <m:t>𝑙𝑒𝑎𝑐ℎ</m:t>
                        </m:r>
                      </m:sub>
                    </m:sSub>
                    <m:r>
                      <a:rPr lang="en-AU" sz="1000" i="1">
                        <a:latin typeface="Cambria Math" panose="02040503050406030204" pitchFamily="18" charset="0"/>
                      </a:rPr>
                      <m:t>=</m:t>
                    </m:r>
                    <m:nary>
                      <m:naryPr>
                        <m:chr m:val="∑"/>
                        <m:supHide m:val="on"/>
                        <m:ctrlPr>
                          <a:rPr lang="en-AU" sz="1000" i="1">
                            <a:latin typeface="Cambria Math" panose="02040503050406030204" pitchFamily="18" charset="0"/>
                          </a:rPr>
                        </m:ctrlPr>
                      </m:naryPr>
                      <m:sub>
                        <m:r>
                          <a:rPr lang="en-AU" sz="1000" i="1">
                            <a:latin typeface="Cambria Math" panose="02040503050406030204" pitchFamily="18" charset="0"/>
                          </a:rPr>
                          <m:t>𝑗</m:t>
                        </m:r>
                      </m:sub>
                      <m:sup/>
                      <m:e>
                        <m:d>
                          <m:dPr>
                            <m:ctrlPr>
                              <a:rPr lang="en-AU" sz="1000" i="1">
                                <a:latin typeface="Cambria Math" panose="02040503050406030204" pitchFamily="18" charset="0"/>
                              </a:rPr>
                            </m:ctrlPr>
                          </m:dPr>
                          <m:e>
                            <m:d>
                              <m:dPr>
                                <m:ctrlPr>
                                  <a:rPr lang="en-AU" sz="1000" i="1">
                                    <a:latin typeface="Cambria Math" panose="02040503050406030204" pitchFamily="18" charset="0"/>
                                  </a:rPr>
                                </m:ctrlPr>
                              </m:dPr>
                              <m:e>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𝑖𝑛𝑜𝑟𝑔𝑎𝑛𝑖𝑐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𝑀</m:t>
                                    </m:r>
                                  </m:e>
                                  <m:sub>
                                    <m:r>
                                      <a:rPr lang="en-AU" sz="1000" i="1">
                                        <a:latin typeface="Cambria Math" panose="02040503050406030204" pitchFamily="18" charset="0"/>
                                      </a:rPr>
                                      <m:t>𝑙𝑒𝑎𝑐ℎ</m:t>
                                    </m:r>
                                    <m:r>
                                      <a:rPr lang="en-AU" sz="1000" i="1">
                                        <a:latin typeface="Cambria Math" panose="02040503050406030204" pitchFamily="18" charset="0"/>
                                      </a:rPr>
                                      <m:t>,</m:t>
                                    </m:r>
                                    <m:r>
                                      <a:rPr lang="en-AU" sz="1000" i="1">
                                        <a:latin typeface="Cambria Math" panose="02040503050406030204" pitchFamily="18" charset="0"/>
                                      </a:rPr>
                                      <m:t>𝑜𝑟𝑔𝑎𝑛𝑖𝑐</m:t>
                                    </m:r>
                                    <m:r>
                                      <a:rPr lang="en-AU" sz="1000" i="1">
                                        <a:latin typeface="Cambria Math" panose="02040503050406030204" pitchFamily="18" charset="0"/>
                                      </a:rPr>
                                      <m:t>,</m:t>
                                    </m:r>
                                    <m:r>
                                      <a:rPr lang="en-AU" sz="1000" i="1">
                                        <a:latin typeface="Cambria Math" panose="02040503050406030204" pitchFamily="18" charset="0"/>
                                      </a:rPr>
                                      <m:t>𝑗</m:t>
                                    </m:r>
                                  </m:sub>
                                </m:sSub>
                              </m:e>
                            </m:d>
                            <m:r>
                              <a:rPr lang="en-AU" sz="1000" i="1">
                                <a:latin typeface="Cambria Math" panose="02040503050406030204" pitchFamily="18" charset="0"/>
                              </a:rPr>
                              <m:t>×</m:t>
                            </m:r>
                            <m:r>
                              <a:rPr lang="en-AU" sz="1000" i="1">
                                <a:latin typeface="Cambria Math" panose="02040503050406030204" pitchFamily="18" charset="0"/>
                              </a:rPr>
                              <m:t>𝐸</m:t>
                            </m:r>
                            <m:sSub>
                              <m:sSubPr>
                                <m:ctrlPr>
                                  <a:rPr lang="en-AU" sz="1000" i="1">
                                    <a:latin typeface="Cambria Math" panose="02040503050406030204" pitchFamily="18" charset="0"/>
                                  </a:rPr>
                                </m:ctrlPr>
                              </m:sSubPr>
                              <m:e>
                                <m:r>
                                  <a:rPr lang="en-AU" sz="1000" i="1">
                                    <a:latin typeface="Cambria Math" panose="02040503050406030204" pitchFamily="18" charset="0"/>
                                  </a:rPr>
                                  <m:t>𝐹</m:t>
                                </m:r>
                              </m:e>
                              <m:sub>
                                <m:r>
                                  <a:rPr lang="en-AU" sz="1000" i="1">
                                    <a:latin typeface="Cambria Math" panose="02040503050406030204" pitchFamily="18" charset="0"/>
                                  </a:rPr>
                                  <m:t>𝑙𝑒𝑎𝑐ℎ</m:t>
                                </m:r>
                              </m:sub>
                            </m:sSub>
                            <m:r>
                              <a:rPr lang="en-AU" sz="1000" i="1">
                                <a:latin typeface="Cambria Math" panose="02040503050406030204" pitchFamily="18" charset="0"/>
                              </a:rPr>
                              <m:t>×</m:t>
                            </m:r>
                            <m:sSub>
                              <m:sSubPr>
                                <m:ctrlPr>
                                  <a:rPr lang="en-AU" sz="1000" i="1">
                                    <a:latin typeface="Cambria Math" panose="02040503050406030204" pitchFamily="18" charset="0"/>
                                  </a:rPr>
                                </m:ctrlPr>
                              </m:sSubPr>
                              <m:e>
                                <m:r>
                                  <a:rPr lang="en-AU" sz="1000" i="1">
                                    <a:latin typeface="Cambria Math" panose="02040503050406030204" pitchFamily="18" charset="0"/>
                                  </a:rPr>
                                  <m:t>𝐶</m:t>
                                </m:r>
                              </m:e>
                              <m:sub>
                                <m:r>
                                  <a:rPr lang="en-AU" sz="1000" i="1">
                                    <a:latin typeface="Cambria Math" panose="02040503050406030204" pitchFamily="18" charset="0"/>
                                  </a:rPr>
                                  <m:t>𝑁</m:t>
                                </m:r>
                                <m:r>
                                  <a:rPr lang="en-AU" sz="1000" i="1">
                                    <a:latin typeface="Cambria Math" panose="02040503050406030204" pitchFamily="18" charset="0"/>
                                  </a:rPr>
                                  <m:t>2</m:t>
                                </m:r>
                                <m:r>
                                  <a:rPr lang="en-AU" sz="1000" i="1">
                                    <a:latin typeface="Cambria Math" panose="02040503050406030204" pitchFamily="18" charset="0"/>
                                  </a:rPr>
                                  <m:t>𝑂</m:t>
                                </m:r>
                              </m:sub>
                            </m:sSub>
                            <m:r>
                              <a:rPr lang="en-AU" sz="1000" i="1">
                                <a:latin typeface="Cambria Math" panose="02040503050406030204" pitchFamily="18" charset="0"/>
                              </a:rPr>
                              <m:t>×</m:t>
                            </m:r>
                            <m:sSup>
                              <m:sSupPr>
                                <m:ctrlPr>
                                  <a:rPr lang="en-AU" sz="1000" i="1">
                                    <a:latin typeface="Cambria Math" panose="02040503050406030204" pitchFamily="18" charset="0"/>
                                  </a:rPr>
                                </m:ctrlPr>
                              </m:sSupPr>
                              <m:e>
                                <m:r>
                                  <a:rPr lang="en-AU" sz="1000" i="1">
                                    <a:latin typeface="Cambria Math" panose="02040503050406030204" pitchFamily="18" charset="0"/>
                                  </a:rPr>
                                  <m:t>10</m:t>
                                </m:r>
                              </m:e>
                              <m:sup>
                                <m:r>
                                  <a:rPr lang="en-AU" sz="1000" i="1">
                                    <a:latin typeface="Cambria Math" panose="02040503050406030204" pitchFamily="18" charset="0"/>
                                  </a:rPr>
                                  <m:t>−3</m:t>
                                </m:r>
                              </m:sup>
                            </m:sSup>
                          </m:e>
                        </m:d>
                      </m:e>
                    </m:nary>
                  </m:oMath>
                </m:oMathPara>
              </a14:m>
              <a:endParaRPr lang="en-AU" sz="1000"/>
            </a:p>
          </xdr:txBody>
        </xdr:sp>
      </mc:Choice>
      <mc:Fallback xmlns="">
        <xdr:sp macro="" textlink="">
          <xdr:nvSpPr>
            <xdr:cNvPr id="4" name="TextBox 3">
              <a:extLst>
                <a:ext uri="{FF2B5EF4-FFF2-40B4-BE49-F238E27FC236}">
                  <a16:creationId xmlns:a16="http://schemas.microsoft.com/office/drawing/2014/main" id="{D5CC301D-E8AD-48A4-9880-58FFF8E3560C}"/>
                </a:ext>
              </a:extLst>
            </xdr:cNvPr>
            <xdr:cNvSpPr txBox="1"/>
          </xdr:nvSpPr>
          <xdr:spPr>
            <a:xfrm>
              <a:off x="2690812" y="20750212"/>
              <a:ext cx="4870692"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000" i="0">
                  <a:latin typeface="Cambria Math" panose="02040503050406030204" pitchFamily="18" charset="0"/>
                </a:rPr>
                <a:t>𝐸_(𝑓𝑒𝑟𝑡,𝑙𝑒𝑎𝑐ℎ)=∑_𝑗▒((𝑀_(𝑙𝑒𝑎𝑐ℎ,𝑖𝑛𝑜𝑟𝑔𝑎𝑛𝑖𝑐,𝑗)+𝑀_(𝑙𝑒𝑎𝑐ℎ,𝑜𝑟𝑔𝑎𝑛𝑖𝑐,𝑗) )×𝐸𝐹_𝑙𝑒𝑎𝑐ℎ×𝐶_𝑁2𝑂×10^(−3) ) </a:t>
              </a:r>
              <a:endParaRPr lang="en-AU" sz="10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023F9A9-894D-4DDA-8C25-E7DAC6870038}" name="Table_Input_Enterprise_PlantingRemovals" displayName="Table_Input_Enterprise_PlantingRemovals" ref="D38:G39" totalsRowShown="0">
  <autoFilter ref="D38:G39" xr:uid="{F023F9A9-894D-4DDA-8C25-E7DAC6870038}"/>
  <tableColumns count="4">
    <tableColumn id="1" xr3:uid="{8F8E4361-8257-4137-8EDC-59B7213402A5}" name="Planting name" dataCellStyle="Input text"/>
    <tableColumn id="2" xr3:uid="{DD40DC10-E06A-4FC1-8C41-EA8FB38A2523}" name="Total removed CO2" dataCellStyle="Input number general"/>
    <tableColumn id="3" xr3:uid="{136E6C57-B7EE-4EB6-9579-D117B756EBEA}" name="Percent allocated to this enterprise" dataCellStyle="Input percent"/>
    <tableColumn id="4" xr3:uid="{D192E6A4-99D9-4CC9-AC9D-975914BE3CEB}" name="Removal allocated to this enterprise" dataCellStyle="Content normal">
      <calculatedColumnFormula>Table_Input_Enterprise_PlantingRemovals[[#This Row],[Total removed CO2]]*Table_Input_Enterprise_PlantingRemovals[[#This Row],[Percent allocated to this enterprise]]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AD26EB4-B85F-40CF-B41E-C50C8896B4C1}" name="Table_Input_LivestockSales" displayName="Table_Input_LivestockSales" ref="D6:I16" totalsRowShown="0">
  <autoFilter ref="D6:I16" xr:uid="{A8D19AA0-5FCF-4F1B-9B46-EF0EC1DC236E}"/>
  <tableColumns count="6">
    <tableColumn id="6" xr3:uid="{E2CA7C24-2440-47BC-8296-4E06A1997FD6}" name="Transaction name" dataCellStyle="Input text"/>
    <tableColumn id="1" xr3:uid="{642394F7-56DA-41DB-A6DF-4604D42201F6}" name="Class (select)" dataCellStyle="Input select"/>
    <tableColumn id="2" xr3:uid="{93AD8A04-E6ED-452A-BA77-CD86A87A2623}" name="Sale date" dataDxfId="438"/>
    <tableColumn id="3" xr3:uid="{FD3BC078-BDA8-41B1-A38C-5D070201A63B}" name="Head sold"/>
    <tableColumn id="4" xr3:uid="{BCCD5BF7-9608-4DD4-83C7-D6C023152096}" name="Average weight per head (kg)"/>
    <tableColumn id="5" xr3:uid="{6625426D-1AE8-4F66-AC8B-2F50B438E4A1}" name="Total liveweight sold" dataCellStyle="Input number general calculated">
      <calculatedColumnFormula>G7*H7</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6" xr:uid="{BF40898D-EA98-40C5-BC1B-510AA86BE6AD}" name="Table_Input_LivestockPurchases_Poultry" displayName="Table_Input_LivestockPurchases_Poultry" ref="D6:H16" totalsRowShown="0">
  <autoFilter ref="D6:H16" xr:uid="{7DCBF554-869B-4226-8D02-B0F5F866C92B}"/>
  <tableColumns count="5">
    <tableColumn id="9" xr3:uid="{00C843CE-58CF-4BC8-91BD-9C2B80322D6D}" name="Transaction name" dataCellStyle="Input text"/>
    <tableColumn id="11" xr3:uid="{00E2029A-84A7-4F9A-AA6A-79EE563E05A1}" name="Class (select)" dataDxfId="437" dataCellStyle="Input select"/>
    <tableColumn id="3" xr3:uid="{70D57EF8-76D2-4C20-AB02-9699EB759654}" name="Quantity (head)" dataCellStyle="Input number general"/>
    <tableColumn id="12" xr3:uid="{AE2B2022-B3C6-4193-8BFC-BAF38F53DFF4}" name="Liveweight (kg/head) Method 1" dataCellStyle="Input number general calculated"/>
    <tableColumn id="4" xr3:uid="{3E8975D0-EC35-4110-B2FF-9B2C54634A7C}" name="Liveweight (kg/head) Method 2" dataCellStyle="Input number general"/>
  </tableColumns>
  <tableStyleInfo name="Editable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5B101A64-A4C9-4358-9E19-D128E04C6954}" name="Table_Input_Fuel" displayName="Table_Input_Fuel" ref="D16:J21" totalsRowDxfId="436"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FF55DF22-285A-4DA6-AE27-E10B0903AAB1}" name="Fuel use (select)" totalsRowFunction="average" totalsRowDxfId="435" dataCellStyle="Input select" totalsRowCellStyle="Input select"/>
    <tableColumn id="3" xr3:uid="{662A7C4B-CA5F-4B29-A644-2432B1694730}" name="Fuel type (select)" totalsRowDxfId="434" dataCellStyle="Input select" totalsRowCellStyle="Input select"/>
    <tableColumn id="4" xr3:uid="{E2E78467-99FF-4DD5-99D0-388AAB2B967F}" name="Amount purchased" totalsRowDxfId="433" totalsRowCellStyle="Content bold"/>
    <tableColumn id="6" xr3:uid="{81290EF1-955B-4E1E-8EEC-17EFB3666223}" name="Amount unit" totalsRowDxfId="432" dataCellStyle="Input number general calculated" totalsRowCellStyle="Input text calculated"/>
    <tableColumn id="5" xr3:uid="{FEA5E631-09CA-4825-80F5-F975A3905690}" name="Percent consumed" totalsRowDxfId="431" totalsRowCellStyle="Input percent">
      <calculatedColumnFormula>1</calculatedColumnFormula>
    </tableColumn>
    <tableColumn id="1" xr3:uid="{C02CA197-D85F-4AD3-837A-5A8341EB32FF}" name="Amount consumed" totalsRowFunction="custom" totalsRowDxfId="430"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F0D21174-1C29-400A-B810-C8CB8683CF6E}" name="Amount consumed unit" totalsRowDxfId="429" dataCellStyle="Input number general calculated"/>
  </tableColumns>
  <tableStyleInfo name="Editable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4491D5E3-7E9C-4749-97A0-74367CF937D2}"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7F254034-329E-42CC-B530-3F94765AD039}" name="Description"/>
    <tableColumn id="5" xr3:uid="{B881D3AF-23B2-4ABB-9305-86B436230A66}" name="Source (select)" dataCellStyle="Input select"/>
    <tableColumn id="2" xr3:uid="{798F4459-CF26-46B4-9050-BF8C06E2ED17}" name="Generation date" dataDxfId="428"/>
    <tableColumn id="3" xr3:uid="{AA3716AF-B731-4283-9DA2-E1BFA9D89AB9}" name="Number of certificates"/>
    <tableColumn id="4" xr3:uid="{2929EBB7-0E56-432A-BE21-CDEF0DFFED1A}" name="MWh" dataCellStyle="Input number general calculated">
      <calculatedColumnFormula>Table_Input_RECSurrendered[[#This Row],[Number of certificates]]</calculatedColumnFormula>
    </tableColumn>
    <tableColumn id="7" xr3:uid="{16DE1BAE-767E-4A97-AA4D-5FE5C597B63B}"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252F8584-FDA2-4DBC-A0AF-CD241D5BD088}"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736D7B3E-0B9B-48B7-B341-0281537B0574}" name="Description"/>
    <tableColumn id="5" xr3:uid="{91094A18-D5B7-4F20-917B-7AED474DC4B3}" name="Source" dataCellStyle="Input text calculated">
      <calculatedColumnFormula>"Issued for generated electricity"</calculatedColumnFormula>
    </tableColumn>
    <tableColumn id="2" xr3:uid="{E7C0C4D3-852D-4932-A7B2-69B693872B0E}" name="Generation date" dataDxfId="427"/>
    <tableColumn id="3" xr3:uid="{A4FD3213-A8D7-4689-AA3D-071796BA9D6A}" name="Number of certificates"/>
    <tableColumn id="4" xr3:uid="{80CED2EB-CD87-41C1-9ABA-97DE1E421974}" name="MWh" dataCellStyle="Input number general calculated">
      <calculatedColumnFormula>Table_Input_RECConsumedByEntity[[#This Row],[Number of certificates]]</calculatedColumnFormula>
    </tableColumn>
    <tableColumn id="7" xr3:uid="{570518AD-BD03-4BC1-960D-838059F52477}"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7" xr:uid="{5439021D-2CEA-4F40-A98E-05BD1D8FD69B}" name="Table_Input_ChemicalsCleaning" displayName="Table_Input_ChemicalsCleaning" ref="D7:F17" totalsRowShown="0" headerRowCellStyle="Input table column header">
  <autoFilter ref="D7:F17" xr:uid="{4FE24B05-BD40-4784-8F98-E98038ED84BF}">
    <filterColumn colId="0" hiddenButton="1"/>
    <filterColumn colId="1" hiddenButton="1"/>
    <filterColumn colId="2" hiddenButton="1"/>
  </autoFilter>
  <tableColumns count="3">
    <tableColumn id="3" xr3:uid="{FF8D7B25-D5CA-468D-826C-CDFAE0B3127D}" name="Product name" dataCellStyle="Input text"/>
    <tableColumn id="1" xr3:uid="{FB45A791-5171-43E1-9C46-E48AD3FCFB6B}" name="Type (select)" dataCellStyle="Input select"/>
    <tableColumn id="2" xr3:uid="{FF40F93E-B9B4-41BF-8CCE-A0308B76838C}" name="Quantity purchased (kg)" dataCellStyle="Input number general"/>
  </tableColumns>
  <tableStyleInfo name="Editable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8" xr:uid="{E18FD87C-F230-48ED-9D07-F59E95577AB7}" name="Table_Input_UncategorisedProductsServices" displayName="Table_Input_UncategorisedProductsServices" ref="D37:F47" totalsRowShown="0" headerRowCellStyle="Input table column header">
  <autoFilter ref="D37:F47" xr:uid="{1E43041F-45A9-4FE7-B27E-F3B8135FFECA}">
    <filterColumn colId="0" hiddenButton="1"/>
    <filterColumn colId="1" hiddenButton="1"/>
    <filterColumn colId="2" hiddenButton="1"/>
  </autoFilter>
  <tableColumns count="3">
    <tableColumn id="1" xr3:uid="{DBD1EC10-1789-4C27-B1C0-C179E0D12193}" name="Product / service name" dataCellStyle="Input text"/>
    <tableColumn id="2" xr3:uid="{41B3EA9D-61CC-46DC-A301-1E9DCF111D3B}" name="Amount" dataCellStyle="Input number general"/>
    <tableColumn id="3" xr3:uid="{085647EF-ECAB-4BC8-B45C-FCFA506CF940}" name="Amount unit" dataCellStyle="Input text"/>
  </tableColumns>
  <tableStyleInfo name="Editable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9" xr:uid="{02025939-A1D2-405B-B94B-D70AC1115196}" name="Table_Input_ServicesAndContractors" displayName="Table_Input_ServicesAndContractors" ref="D22:G32" totalsRowShown="0">
  <autoFilter ref="D22:G32" xr:uid="{EAE4AE15-2AB9-4C21-9268-5CB94316E6E4}">
    <filterColumn colId="0" hiddenButton="1"/>
    <filterColumn colId="1" hiddenButton="1"/>
    <filterColumn colId="2" hiddenButton="1"/>
    <filterColumn colId="3" hiddenButton="1"/>
  </autoFilter>
  <tableColumns count="4">
    <tableColumn id="1" xr3:uid="{8D0D97C2-6CBA-4AE7-B43F-63F93F8298D0}" name="Service provider / contractor" dataCellStyle="Input text"/>
    <tableColumn id="4" xr3:uid="{A7782C8D-C2C5-4EFA-8139-DC67B2EB7AFD}" name="Activity" dataCellStyle="Input text"/>
    <tableColumn id="2" xr3:uid="{7BF1188F-A983-49D9-94E8-F16A47909668}" name="Total amount" dataCellStyle="Input number general"/>
    <tableColumn id="3" xr3:uid="{F3B7CEDC-D714-43F0-80E2-1822C217FF12}" name="Amount unit" dataCellStyle="Input select"/>
  </tableColumns>
  <tableStyleInfo name="Editable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0" xr:uid="{14BDD954-762E-4F51-9BDE-A101D3AAB5B0}" name="Table_Input_FeedBlends" displayName="Table_Input_FeedBlends" ref="D18:Q28" totalsRowShown="0">
  <autoFilter ref="D18:Q28" xr:uid="{6EC3622A-9CA1-4931-8AAA-6FC289090D20}"/>
  <tableColumns count="14">
    <tableColumn id="1" xr3:uid="{9557DD81-C0AF-4751-946B-921561BB9982}" name="Feed blend name" dataCellStyle="Input text"/>
    <tableColumn id="2" xr3:uid="{1678173D-022B-428C-A039-851CF93C0F1C}" name="Amount fed (kg)"/>
    <tableColumn id="4" xr3:uid="{CCF5FE47-CC74-458D-ACAA-6ED1DA6C3BDC}" name="Ingredient 1 (select)" dataCellStyle="Input select"/>
    <tableColumn id="3" xr3:uid="{2322DB24-009C-477E-9246-AEEE97B57C36}" name="Ingredient 1 source region" dataCellStyle="Input select"/>
    <tableColumn id="5" xr3:uid="{FBEB8187-F372-4029-B7A2-76B47642ED0E}" name="Ingredient 1 percent"/>
    <tableColumn id="6" xr3:uid="{C1C969C6-262C-4224-A97C-1FDAEB4E9640}" name="Ingredient 2 (select)" dataCellStyle="Input select"/>
    <tableColumn id="14" xr3:uid="{63729C00-C1FD-4F99-955F-5D5F000A2F17}" name="Ingredient 2 source region" dataCellStyle="Input select"/>
    <tableColumn id="7" xr3:uid="{797CF088-9EAA-4588-8050-CB55B243997F}" name="Ingredient 2 percent"/>
    <tableColumn id="8" xr3:uid="{F76CC073-7B8B-4DD0-BBCA-47ED12CC0B02}" name="Ingredient 3 (select)" dataCellStyle="Input select"/>
    <tableColumn id="15" xr3:uid="{3A6BDC44-486A-4D92-91CB-F70C444AB3D2}" name="Ingredient 3 source region" dataCellStyle="Input select"/>
    <tableColumn id="9" xr3:uid="{252FD3A9-F590-4298-85B4-48AFF1C441FB}" name="Ingredient 3 percent"/>
    <tableColumn id="10" xr3:uid="{9FBE78D7-1CF4-4842-A218-D7BE33D515F8}" name="Ingredient 4 (select)" dataCellStyle="Input select"/>
    <tableColumn id="16" xr3:uid="{78863CAC-7704-4B8B-9092-17A65746D368}" name="Ingredient 4 source region" dataCellStyle="Input select"/>
    <tableColumn id="11" xr3:uid="{1F42261C-CCF1-40ED-9838-96290B628E6E}" name="Ingredient 4 percent"/>
  </tableColumns>
  <tableStyleInfo name="Editable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1" xr:uid="{E38038BC-A844-468E-A65F-9077C1187B3B}" name="Table_Input_ChemicalsPharmacy" displayName="Table_Input_ChemicalsPharmacy" ref="D32:F42" totalsRowShown="0" headerRowCellStyle="Input table column header">
  <autoFilter ref="D32:F42" xr:uid="{F7DA8543-C7DE-49A8-A739-D82C85B7B828}"/>
  <tableColumns count="3">
    <tableColumn id="3" xr3:uid="{8F8FE70F-6C8C-407D-8829-980A146627E0}" name="Product name" dataCellStyle="Input text"/>
    <tableColumn id="1" xr3:uid="{01E2F307-86AC-465D-8FE2-4F37CFB709B2}" name="Type (select)" dataDxfId="426" dataCellStyle="Input select"/>
    <tableColumn id="2" xr3:uid="{C7134E33-1370-418D-B634-84D5CE0AD9A1}" name="Number of head treated" dataDxfId="425" dataCellStyle="Input number general"/>
  </tableColumns>
  <tableStyleInfo name="Editable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2" xr:uid="{7B585C66-AA20-4D04-9D24-A4FC2AD1A17F}" name="Table_Input_FreightIncoming" displayName="Table_Input_FreightIncoming" ref="D8:H18" totalsRowShown="0">
  <autoFilter ref="D8:H18" xr:uid="{4DDF930F-94B2-4B93-B728-B92082E231C7}">
    <filterColumn colId="0" hiddenButton="1"/>
    <filterColumn colId="1" hiddenButton="1"/>
    <filterColumn colId="2" hiddenButton="1"/>
    <filterColumn colId="3" hiddenButton="1"/>
    <filterColumn colId="4" hiddenButton="1"/>
  </autoFilter>
  <tableColumns count="5">
    <tableColumn id="1" xr3:uid="{73046B36-3630-410A-8672-46DA1186509E}" name="Route name" dataCellStyle="Input text"/>
    <tableColumn id="2" xr3:uid="{54533548-3134-4656-B72F-198F35B3A2C6}" name="Freight type (select)" dataCellStyle="Input select"/>
    <tableColumn id="3" xr3:uid="{549324A3-1BB3-4E06-99C4-CEF8036B4D6E}" name="Route distance (km)"/>
    <tableColumn id="4" xr3:uid="{8E0B4DCE-19E1-43E7-A842-06ED62AE3D41}" name="Average weight of freight per trip (t)"/>
    <tableColumn id="5" xr3:uid="{089C6560-8871-476D-9DD3-E903F8E5F98A}" name="Number of trips taken"/>
  </tableColumns>
  <tableStyleInfo name="Editable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3" xr:uid="{2C09B252-1DD1-4085-9853-E98AF2F68AA3}" name="Table_Input_FreightOutgoing" displayName="Table_Input_FreightOutgoing" ref="D24:H34" totalsRowShown="0">
  <autoFilter ref="D24:H34" xr:uid="{C8AEF287-0BE7-46A0-967D-68ED52A309D6}">
    <filterColumn colId="0" hiddenButton="1"/>
    <filterColumn colId="1" hiddenButton="1"/>
    <filterColumn colId="2" hiddenButton="1"/>
    <filterColumn colId="3" hiddenButton="1"/>
    <filterColumn colId="4" hiddenButton="1"/>
  </autoFilter>
  <tableColumns count="5">
    <tableColumn id="1" xr3:uid="{A162B3EB-BAC6-4C9B-B89D-1DB4C916F0AC}" name="Route name" dataCellStyle="Input text"/>
    <tableColumn id="2" xr3:uid="{F6B0AEE5-C320-4B47-AC4A-BE11F2EA48EE}" name="Freight type (select)" dataCellStyle="Input select"/>
    <tableColumn id="3" xr3:uid="{17B40267-9958-4D0F-853F-521637CC4DF8}" name="Route distance (km)"/>
    <tableColumn id="4" xr3:uid="{2C0E188E-4AEE-4F48-8746-AE48BB822369}" name="Average weight of freight per trip (t)"/>
    <tableColumn id="5" xr3:uid="{070E251C-5503-42EC-9213-7337F189BA52}" name="Number of trips taken"/>
  </tableColumns>
  <tableStyleInfo name="Editable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9" xr:uid="{FD1ACCDF-AAE2-4856-B28F-EB8C83188A66}"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37A87D33-FB7E-4F76-95D2-7699A81083EE}" name="Description" dataCellStyle="Input text"/>
    <tableColumn id="5" xr3:uid="{AC90FD3C-84BE-44C3-AA5C-ACB781453583}" name="Treatment type (select)" dataCellStyle="Input select"/>
    <tableColumn id="2" xr3:uid="{9A27EF20-7759-49D4-93DC-4B0077D729BF}" name="Waste type (select)" dataCellStyle="Input select"/>
    <tableColumn id="3" xr3:uid="{060D2526-72A7-413F-A1AB-2C89E85E605A}" name="Treatment location (select)" dataCellStyle="Input select"/>
    <tableColumn id="4" xr3:uid="{D289F403-36E5-415F-A8BA-2879CA89856C}" name="Amount" dataCellStyle="Input number general"/>
    <tableColumn id="7" xr3:uid="{E49F642B-5621-4C14-9BE9-1F6F75F84D00}" name="Amount unit (select)" dataCellStyle="Input select"/>
  </tableColumns>
  <tableStyleInfo name="Editable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9228A77-AAF0-4E4B-B3B6-548B8379325D}" name="Table_Input_DataQuality_Enterprise" displayName="Table_Input_DataQuality_Enterprise" ref="D7:J14" totalsRowShown="0" headerRowCellStyle="Input table column header">
  <autoFilter ref="D7:J14" xr:uid="{A9228A77-AAF0-4E4B-B3B6-548B8379325D}"/>
  <tableColumns count="7">
    <tableColumn id="1" xr3:uid="{D973B6CD-DC02-4FB9-BC72-C7D59E0878F5}" name="Data type" dataCellStyle="Content normal"/>
    <tableColumn id="2" xr3:uid="{8628A244-7FCA-4923-B809-B69CE86B5CDE}" name="When was the data sourced?" dataCellStyle="Input select"/>
    <tableColumn id="3" xr3:uid="{FAD9C63D-6E32-48F0-8A23-222E15F46B11}" name="Where is the data sourced from?" dataCellStyle="Input select"/>
    <tableColumn id="4" xr3:uid="{5EDBE82F-7B3C-458A-8638-8F86879CF287}" name="How much of the data was from direct samples?" dataCellStyle="Input select"/>
    <tableColumn id="5" xr3:uid="{58811FFB-FE3A-4DD8-BE53-E8CB588BCB77}" name="Notes" dataDxfId="424"/>
    <tableColumn id="6" xr3:uid="{1219F6AC-7C79-4EDD-8C55-F7A78277AE3F}" name="Evidence files" dataDxfId="423"/>
    <tableColumn id="7" xr3:uid="{A201D4C4-5F18-4228-8444-52A30734BB16}" name="Score" dataCellStyle="Input number general calculated">
      <calculatedColumnFormula>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14EAFF54-6A37-4172-83F2-4CF40A8CE922}" name="Table_Input_DataQuality_Site" displayName="Table_Input_DataQuality_Site" ref="D19:J25" totalsRowShown="0" headerRowCellStyle="Input table column header">
  <autoFilter ref="D19:J25" xr:uid="{14EAFF54-6A37-4172-83F2-4CF40A8CE922}"/>
  <tableColumns count="7">
    <tableColumn id="1" xr3:uid="{77CE9F47-8CFA-4692-926E-40DA38A1B418}" name="Data type" dataCellStyle="Content normal"/>
    <tableColumn id="2" xr3:uid="{0E7A6865-A484-4EA8-BE54-5D641629A627}" name="When was the data sourced?" dataCellStyle="Input select"/>
    <tableColumn id="3" xr3:uid="{3E8C7762-D226-4D20-9E9C-87D78E3C44EB}" name="Where is the data sourced from?" dataCellStyle="Input select"/>
    <tableColumn id="4" xr3:uid="{4BFD5FBC-8263-4629-836C-DDA0F8DB50DF}" name="How much of the data was from direct samples?" dataCellStyle="Input select"/>
    <tableColumn id="5" xr3:uid="{E8075AB8-A4A6-48D2-A746-36F9CD68017F}" name="Notes" dataDxfId="422"/>
    <tableColumn id="6" xr3:uid="{73F97399-8A3B-4EFB-9481-CBD7CB1C44EB}" name="Evidence files" dataDxfId="421"/>
    <tableColumn id="7" xr3:uid="{5C3D4C29-1D29-4869-8E15-91152F19AFCD}" name="Score" dataCellStyle="Input number general calculated">
      <calculatedColumnFormula>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59F3E1E-E80D-4491-B5B5-2B0458B11142}" name="Table_Input_DataQuality_PastureManagement" displayName="Table_Input_DataQuality_PastureManagement" ref="D30:J38" totalsRowShown="0" headerRowCellStyle="Input table column header">
  <autoFilter ref="D30:J38" xr:uid="{E59F3E1E-E80D-4491-B5B5-2B0458B11142}"/>
  <tableColumns count="7">
    <tableColumn id="1" xr3:uid="{07B7AEAC-42D5-4F2A-9254-E28170F20541}" name="Data type" dataCellStyle="Content normal"/>
    <tableColumn id="2" xr3:uid="{F15C1AF3-5D79-4EFF-A7BC-85CD71AF8BCF}" name="When was the data sourced?" dataCellStyle="Input select"/>
    <tableColumn id="3" xr3:uid="{E627CA70-3484-4F31-AEDF-45A8D9B88D5B}" name="Where is the data sourced from?" dataCellStyle="Input select"/>
    <tableColumn id="4" xr3:uid="{17EAABE4-C534-43AF-A841-58EDEBD26AB6}" name="How much of the data was from direct samples?" dataCellStyle="Input select"/>
    <tableColumn id="5" xr3:uid="{179CA6A6-4732-423D-BA28-31ED41FEC488}" name="Notes" dataDxfId="420"/>
    <tableColumn id="6" xr3:uid="{865FA280-4A36-4101-BD09-20356916B4D5}" name="Evidence files" dataDxfId="419"/>
    <tableColumn id="7" xr3:uid="{399918FC-2F3F-431B-90D1-3CF016CF6FB7}" name="Score" dataCellStyle="Input number general calculated">
      <calculatedColumnFormula>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23CC3CF1-FC3F-4295-9CAA-23D9BE9805DD}" name="Table_Input_DataQuality_FuelElectricity" displayName="Table_Input_DataQuality_FuelElectricity" ref="D44:J48" totalsRowShown="0" headerRowCellStyle="Input table column header">
  <autoFilter ref="D44:J48" xr:uid="{23CC3CF1-FC3F-4295-9CAA-23D9BE9805DD}"/>
  <tableColumns count="7">
    <tableColumn id="1" xr3:uid="{FF68AAD8-CA28-48F0-919A-B5EE00EEC959}" name="Data type" dataCellStyle="Content normal"/>
    <tableColumn id="2" xr3:uid="{BC53EBA0-F074-453F-8CEB-CA1F6ECC908D}" name="When was the data sourced?" dataCellStyle="Input select"/>
    <tableColumn id="3" xr3:uid="{443C80E7-5900-4A26-A586-B5571F50B9F7}" name="Where is the data sourced from?" dataCellStyle="Input select"/>
    <tableColumn id="4" xr3:uid="{C01B1081-DB35-4821-8766-E86DBB122E80}" name="How much of the data was from direct samples?" dataCellStyle="Input select"/>
    <tableColumn id="5" xr3:uid="{A1104D67-6CCD-4845-87B4-822F83200DD9}" name="Notes" dataDxfId="418"/>
    <tableColumn id="6" xr3:uid="{690D112F-6792-478E-99EE-B77B520B2164}" name="Evidence files" dataDxfId="417"/>
    <tableColumn id="7" xr3:uid="{6CAA4E36-3A57-4A0B-8F59-4A9A9900E954}" name="Score" dataCellStyle="Input number general calculated">
      <calculatedColumnFormula>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686FF9E-0D3A-4B3C-AA24-5C854A47B3EC}" name="Table_Input_DataQuality_FarmInputsFreightWaste" displayName="Table_Input_DataQuality_FarmInputsFreightWaste" ref="D54:J59" totalsRowShown="0" headerRowCellStyle="Input table column header">
  <autoFilter ref="D54:J59" xr:uid="{3686FF9E-0D3A-4B3C-AA24-5C854A47B3EC}"/>
  <tableColumns count="7">
    <tableColumn id="1" xr3:uid="{C51E7368-348D-4A43-9E3F-127769A67275}" name="Data type" dataCellStyle="Content normal"/>
    <tableColumn id="2" xr3:uid="{4E3BAE35-86E5-4F71-98DC-491AD05B9B47}" name="When was the data sourced?" dataCellStyle="Input select"/>
    <tableColumn id="3" xr3:uid="{27B2AE81-8632-4140-9460-9C99650189CD}" name="Where is the data sourced from?" dataCellStyle="Input select"/>
    <tableColumn id="4" xr3:uid="{9C973ECC-975D-44BC-8B9B-BFC0C605F944}" name="How much of the data was from direct samples?" dataCellStyle="Input select"/>
    <tableColumn id="5" xr3:uid="{F255A018-D1E3-4FA7-9B50-4726EC2E2E56}" name="Notes" dataDxfId="416"/>
    <tableColumn id="6" xr3:uid="{16D79CDB-80AA-4F28-B5E0-282205F97C41}" name="Evidence files" dataDxfId="415"/>
    <tableColumn id="7" xr3:uid="{73A8FFE4-648C-4FC3-BBE0-724E1B5D1A5A}" name="Score" dataCellStyle="Input number general calculated">
      <calculatedColumnFormula>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calculatedColumnFormula>
    </tableColumn>
  </tableColumns>
  <tableStyleInfo name="Editable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7E293F6-16F2-46CA-BB8C-2192E3E19012}" name="Table_SourceData_Poultry_DietProperties" displayName="Table_SourceData_Poultry_DietProperties" ref="D8:H13" totalsRowShown="0">
  <autoFilter ref="D8:H13" xr:uid="{C0EBB88F-78E2-4301-A115-5D57142F74BA}">
    <filterColumn colId="0" hiddenButton="1"/>
    <filterColumn colId="1" hiddenButton="1"/>
    <filterColumn colId="2" hiddenButton="1"/>
    <filterColumn colId="3" hiddenButton="1"/>
    <filterColumn colId="4" hiddenButton="1"/>
  </autoFilter>
  <tableColumns count="5">
    <tableColumn id="1" xr3:uid="{8E2105F9-C374-4825-B2B5-F92CC52649A4}" name="Nutrient analysis">
      <calculatedColumnFormula array="1">Common_InputFunctions.Utility_DisplayArrayInTable(SourceData_Poultry.SourceData_Poultry_DietProperties_Data(), Table_SourceData_Poultry_DietProperties[[#Headers],[Nutrient analysis]], 0)</calculatedColumnFormula>
    </tableColumn>
    <tableColumn id="2" xr3:uid="{72C73D96-8D5A-4D15-B286-5BB722F47D9A}" name="Layers" dataDxfId="414" dataCellStyle="Content normal">
      <calculatedColumnFormula array="1">Common_InputFunctions.Utility_DisplayArrayInTable(SourceData_Poultry.SourceData_Poultry_DietProperties_Data(), Table_SourceData_Poultry_DietProperties[[#Headers],[Nutrient analysis]], 0)</calculatedColumnFormula>
    </tableColumn>
    <tableColumn id="3" xr3:uid="{489A026E-72F8-4EC7-948E-C162AE22F409}" name="Meat chicken growers" dataDxfId="413" dataCellStyle="Content normal">
      <calculatedColumnFormula array="1">Common_InputFunctions.Utility_DisplayArrayInTable(SourceData_Poultry.SourceData_Poultry_DietProperties_Data(), Table_SourceData_Poultry_DietProperties[[#Headers],[Nutrient analysis]], 0)</calculatedColumnFormula>
    </tableColumn>
    <tableColumn id="4" xr3:uid="{22A6851C-ADD1-4981-9AE9-820256822A4B}" name="Meat chicken breeder" dataDxfId="412" dataCellStyle="Content normal">
      <calculatedColumnFormula array="1">Common_InputFunctions.Utility_DisplayArrayInTable(SourceData_Poultry.SourceData_Poultry_DietProperties_Data(), Table_SourceData_Poultry_DietProperties[[#Headers],[Nutrient analysis]], 0)</calculatedColumnFormula>
    </tableColumn>
    <tableColumn id="5" xr3:uid="{B56A8A4A-710E-40A3-A98D-C3B5241B2D1E}" name="Meat other" dataDxfId="411" dataCellStyle="Content normal">
      <calculatedColumnFormula array="1">Common_InputFunctions.Utility_DisplayArrayInTable(SourceData_Poultry.SourceData_Poultry_DietProperties_Data(), Table_SourceData_Poultry_DietProperties[[#Headers],[Nutrient analysis]],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A2BBF387-C761-49F9-9DF4-3C97C9D0913A}" name="Table_SourceData_Poultry_MethaneEmissionsPotential" displayName="Table_SourceData_Poultry_MethaneEmissionsPotential" ref="D19:E21" totalsRowShown="0">
  <autoFilter ref="D19:E21" xr:uid="{B337049C-2437-4EFA-AAFD-35A825C8877D}">
    <filterColumn colId="0" hiddenButton="1"/>
    <filterColumn colId="1" hiddenButton="1"/>
  </autoFilter>
  <tableColumns count="2">
    <tableColumn id="1" xr3:uid="{C09A6A88-0485-463D-9DA9-202DD9574120}" name="Poultry class">
      <calculatedColumnFormula array="1">Common_InputFunctions.Utility_DisplayArrayInTable(SourceData_Poultry.SourceData_Poultry_MethaneEmissionsPotential_Data(), Table_SourceData_Poultry_MethaneEmissionsPotential[[#Headers],[Poultry class]], 0)</calculatedColumnFormula>
    </tableColumn>
    <tableColumn id="2" xr3:uid="{961F4C32-2A5F-4CA3-868B-0EBB7867C9A1}" name="B0" dataDxfId="410" dataCellStyle="Content normal">
      <calculatedColumnFormula array="1">Common_InputFunctions.Utility_DisplayArrayInTable(SourceData_Poultry.SourceData_Poultry_MethaneEmissionsPotential_Data(), Table_SourceData_Poultry_MethaneEmissionsPotential[[#Headers],[Poultry class]],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4C60668-A573-4500-A3F9-C9DBCBBEAFC0}" name="Table_SourceData_PoultryMMS" displayName="Table_SourceData_PoultryMMS" ref="D28:E38" totalsRowShown="0">
  <autoFilter ref="D28:E38" xr:uid="{AF7090B5-6718-41B7-9B26-A00EDB46BAC3}">
    <filterColumn colId="0" hiddenButton="1"/>
    <filterColumn colId="1" hiddenButton="1"/>
  </autoFilter>
  <tableColumns count="2">
    <tableColumn id="1" xr3:uid="{96710080-902E-4781-A426-BF871F49ED41}" name="MMS"/>
    <tableColumn id="2" xr3:uid="{45EC1F9F-8CF0-43B0-B8D4-FD7D39FB60E0}" name="Symbol and MMS" dataDxfId="409" dataCellStyle="Content normal"/>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805BD2C0-03C5-490D-B87D-B91566657846}" name="Table_SourceData_Poultry_ProductionSystems" displayName="Table_SourceData_Poultry_ProductionSystems" ref="D44:D47" totalsRowShown="0">
  <autoFilter ref="D44:D47" xr:uid="{5810106E-36C6-489E-8962-5DE08C5F2EAC}">
    <filterColumn colId="0" hiddenButton="1"/>
  </autoFilter>
  <tableColumns count="1">
    <tableColumn id="1" xr3:uid="{A2AABF47-BD18-4E62-BD57-30CA10B117EF}" name="Production system">
      <calculatedColumnFormula array="1">Common_InputFunctions.Utility_DisplayArrayInTable(SourceData_Poultry.SourceData_Poultry_ProductionSystems_Data(), Table_SourceData_Poultry_ProductionSystems[[#Headers],[Production system]],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E04D95D-4646-4EBF-8FA9-31707CE52ECE}" name="Table_SourceData_Poultry_MMSMCF" displayName="Table_SourceData_Poultry_MMSMCF" ref="D59:N68" totalsRowShown="0">
  <autoFilter ref="D59:N68" xr:uid="{F26BAEA5-5A43-49B7-A0AB-1CF0D30AA76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15B9C33-0D99-45E4-89CF-65968F9AACC3}" name="MMS m">
      <calculatedColumnFormula array="1">Common_InputFunctions.Utility_DisplayArrayInTable(SourceData_Poultry.SourceData_Poultry_MCF_Data(), Table_SourceData_Poultry_MMSMCF[[#Headers],[MMS m]], 0)</calculatedColumnFormula>
    </tableColumn>
    <tableColumn id="2" xr3:uid="{E50C44C8-F125-474F-B899-4C8375A51CF6}" name="All states" dataDxfId="408" dataCellStyle="Content normal">
      <calculatedColumnFormula array="1">Common_InputFunctions.Utility_DisplayArrayInTable(SourceData_Poultry.SourceData_Poultry_MCF_Data(), Table_SourceData_Poultry_MMSMCF[[#Headers],[MMS m]], 0)</calculatedColumnFormula>
    </tableColumn>
    <tableColumn id="3" xr3:uid="{A32E93D8-3F0F-48C5-BD07-F6698F24D6F3}" name="NSW" dataDxfId="407" dataCellStyle="Content normal">
      <calculatedColumnFormula array="1">Common_InputFunctions.Utility_DisplayArrayInTable(SourceData_Poultry.SourceData_Poultry_MCF_Data(), Table_SourceData_Poultry_MMSMCF[[#Headers],[MMS m]], 0)</calculatedColumnFormula>
    </tableColumn>
    <tableColumn id="4" xr3:uid="{BA2A074F-7008-4856-87E7-F90F1387D019}" name="ACT" dataDxfId="406" dataCellStyle="Content normal">
      <calculatedColumnFormula array="1">Common_InputFunctions.Utility_DisplayArrayInTable(SourceData_Poultry.SourceData_Poultry_MCF_Data(), Table_SourceData_Poultry_MMSMCF[[#Headers],[MMS m]], 0)</calculatedColumnFormula>
    </tableColumn>
    <tableColumn id="5" xr3:uid="{CD45E0BA-086C-4DB4-84AD-E9777F8E481D}" name="QLD" dataDxfId="405" dataCellStyle="Content normal">
      <calculatedColumnFormula array="1">Common_InputFunctions.Utility_DisplayArrayInTable(SourceData_Poultry.SourceData_Poultry_MCF_Data(), Table_SourceData_Poultry_MMSMCF[[#Headers],[MMS m]], 0)</calculatedColumnFormula>
    </tableColumn>
    <tableColumn id="6" xr3:uid="{4319E994-4C1F-4EAA-8A62-CAA19A9675CF}" name="NT" dataDxfId="404" dataCellStyle="Content normal">
      <calculatedColumnFormula array="1">Common_InputFunctions.Utility_DisplayArrayInTable(SourceData_Poultry.SourceData_Poultry_MCF_Data(), Table_SourceData_Poultry_MMSMCF[[#Headers],[MMS m]], 0)</calculatedColumnFormula>
    </tableColumn>
    <tableColumn id="7" xr3:uid="{D6F59118-25BA-4B77-A948-F88C400B4CB2}" name="VIC" dataDxfId="403" dataCellStyle="Content normal">
      <calculatedColumnFormula array="1">Common_InputFunctions.Utility_DisplayArrayInTable(SourceData_Poultry.SourceData_Poultry_MCF_Data(), Table_SourceData_Poultry_MMSMCF[[#Headers],[MMS m]], 0)</calculatedColumnFormula>
    </tableColumn>
    <tableColumn id="8" xr3:uid="{25562868-BA72-46F4-8003-A1BDA3BB38A1}" name="SA" dataDxfId="402" dataCellStyle="Content normal">
      <calculatedColumnFormula array="1">Common_InputFunctions.Utility_DisplayArrayInTable(SourceData_Poultry.SourceData_Poultry_MCF_Data(), Table_SourceData_Poultry_MMSMCF[[#Headers],[MMS m]], 0)</calculatedColumnFormula>
    </tableColumn>
    <tableColumn id="9" xr3:uid="{AB746342-C6F4-4D90-8377-F2D66DD80EBF}" name="WA" dataDxfId="401" dataCellStyle="Content normal">
      <calculatedColumnFormula array="1">Common_InputFunctions.Utility_DisplayArrayInTable(SourceData_Poultry.SourceData_Poultry_MCF_Data(), Table_SourceData_Poultry_MMSMCF[[#Headers],[MMS m]], 0)</calculatedColumnFormula>
    </tableColumn>
    <tableColumn id="10" xr3:uid="{AFE3634A-73DC-4AEE-9047-E98542D6F500}" name="TAS" dataDxfId="400" dataCellStyle="Content normal">
      <calculatedColumnFormula array="1">Common_InputFunctions.Utility_DisplayArrayInTable(SourceData_Poultry.SourceData_Poultry_MCF_Data(), Table_SourceData_Poultry_MMSMCF[[#Headers],[MMS m]], 0)</calculatedColumnFormula>
    </tableColumn>
    <tableColumn id="11" xr3:uid="{E45B0152-8DC5-450E-B0AF-6B8AAA17E6B1}" name="NIR definition" dataDxfId="399" dataCellStyle="Content normal">
      <calculatedColumnFormula array="1">Common_InputFunctions.Utility_DisplayArrayInTable(SourceData_Poultry.SourceData_Poultry_MCF_Data(), Table_SourceData_Poultry_MMSMCF[[#Headers],[MMS m]],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1CFC267-12ED-4832-8D25-371590042768}" name="Table_SourceData_PoultryMMSSTage1" displayName="Table_SourceData_PoultryMMSSTage1" ref="G28:H33" totalsRowShown="0">
  <autoFilter ref="G28:H33" xr:uid="{DEE6EA5E-2B4D-4BFE-9875-EACD468C453A}">
    <filterColumn colId="0" hiddenButton="1"/>
    <filterColumn colId="1" hiddenButton="1"/>
  </autoFilter>
  <tableColumns count="2">
    <tableColumn id="1" xr3:uid="{B804E50B-1613-494B-A376-4577950CA1C2}" name="MMS"/>
    <tableColumn id="2" xr3:uid="{486D1BBF-AA0A-4EA2-8B9D-1854E9177D98}" name="Symbol and MMS" dataDxfId="398" dataCellStyle="Content normal"/>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9621666-CD05-4F08-AC70-287B215E6F21}" name="Table_SourceData_PoultryMMSStage2" displayName="Table_SourceData_PoultryMMSStage2" ref="J28:K34" totalsRowShown="0">
  <autoFilter ref="J28:K34" xr:uid="{EC4CB048-5E1F-4D26-9F6C-B04ADADF31C3}">
    <filterColumn colId="0" hiddenButton="1"/>
    <filterColumn colId="1" hiddenButton="1"/>
  </autoFilter>
  <tableColumns count="2">
    <tableColumn id="1" xr3:uid="{0DFC8704-31A1-4ADC-9421-2834552495C2}" name="MMS"/>
    <tableColumn id="2" xr3:uid="{F62D7559-DAB0-433A-94D0-8C9BA45121F9}" name="Symbol and MMS" dataDxfId="397" dataCellStyle="Content normal"/>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C72EBFB0-1C45-4BE3-AAD2-A8A4786B61CF}" name="Table_SourceData_Poultry_MMSVSL" displayName="Table_SourceData_Poultry_MMSVSL" ref="D75:F78" totalsRowShown="0">
  <autoFilter ref="D75:F78" xr:uid="{9227BAFF-4BC8-4D7F-BDAE-6BC460B8A0CA}">
    <filterColumn colId="0" hiddenButton="1"/>
    <filterColumn colId="1" hiddenButton="1"/>
    <filterColumn colId="2" hiddenButton="1"/>
  </autoFilter>
  <tableColumns count="3">
    <tableColumn id="1" xr3:uid="{11DB5AAC-6ACC-4836-ABFB-ECEC249DD14B}" name="MMS">
      <calculatedColumnFormula array="1">Common_InputFunctions.Utility_DisplayArrayInTable(SourceData_Poultry.SourceData_Poultry_VSL_Data(), Table_SourceData_Poultry_MMSVSL[[#Headers],[MMS]], 0)</calculatedColumnFormula>
    </tableColumn>
    <tableColumn id="2" xr3:uid="{0A634465-A82C-47C5-BBB5-CC2BC1601260}" name="VSL" dataDxfId="396" dataCellStyle="Content normal">
      <calculatedColumnFormula array="1">Common_InputFunctions.Utility_DisplayArrayInTable(SourceData_Poultry.SourceData_Poultry_VSL_Data(), Table_SourceData_Poultry_MMSVSL[[#Headers],[MMS]], 0)</calculatedColumnFormula>
    </tableColumn>
    <tableColumn id="3" xr3:uid="{3A2A1C38-B5E0-48E4-B4F9-2898DC0667F5}" name="NIR definition" dataDxfId="395" dataCellStyle="Content normal">
      <calculatedColumnFormula array="1">Common_InputFunctions.Utility_DisplayArrayInTable(SourceData_Poultry.SourceData_Poultry_VSL_Data(), Table_SourceData_Poultry_MMSVSL[[#Headers],[MMS]], 0)</calculatedColumnFormula>
    </tableColumn>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A0B50021-323B-4454-965F-03FD7EDDD0A1}" name="Table_SourceData_Poultry_FracGASM" displayName="Table_SourceData_Poultry_FracGASM" ref="D84:F91" totalsRowShown="0">
  <autoFilter ref="D84:F91" xr:uid="{9BA131A3-0B04-413F-9D7A-86F5FB660776}">
    <filterColumn colId="0" hiddenButton="1"/>
    <filterColumn colId="1" hiddenButton="1"/>
    <filterColumn colId="2" hiddenButton="1"/>
  </autoFilter>
  <tableColumns count="3">
    <tableColumn id="1" xr3:uid="{9DFEE8E6-3BAF-46B3-8856-8EE25E9AB8BF}" name="MMSm">
      <calculatedColumnFormula array="1">Common_InputFunctions.Utility_DisplayArrayInTable(SourceData_Poultry.SourceData_Poultry_FracGASMmT_Data(), Table_SourceData_Poultry_FracGASM[[#Headers],[MMSm]], 0)</calculatedColumnFormula>
    </tableColumn>
    <tableColumn id="2" xr3:uid="{2C8D8DE5-B67C-4BEC-9158-F87F4DA2E395}" name="FracGASMmT" dataDxfId="394" dataCellStyle="Content normal">
      <calculatedColumnFormula array="1">Common_InputFunctions.Utility_DisplayArrayInTable(SourceData_Poultry.SourceData_Poultry_FracGASMmT_Data(), Table_SourceData_Poultry_FracGASM[[#Headers],[MMSm]], 0)</calculatedColumnFormula>
    </tableColumn>
    <tableColumn id="3" xr3:uid="{92BF23C1-F6B1-4E2B-84C3-D715DE7D3E70}" name="NIR reference" dataDxfId="393" dataCellStyle="Content normal">
      <calculatedColumnFormula array="1">Common_InputFunctions.Utility_DisplayArrayInTable(SourceData_Poultry.SourceData_Poultry_FracGASMmT_Data(), Table_SourceData_Poultry_FracGASM[[#Headers],[MMSm]], 0)</calculatedColumnFormula>
    </tableColumn>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9D2AD09E-B04B-4568-84B8-400A116FDEE7}" name="Table_SourceData_Poultry_EFmT" displayName="Table_SourceData_Poultry_EFmT" ref="D97:F105" totalsRowShown="0">
  <autoFilter ref="D97:F105" xr:uid="{1DCEB6AC-6595-49CF-B6BF-C7F6309D3288}">
    <filterColumn colId="0" hiddenButton="1"/>
    <filterColumn colId="1" hiddenButton="1"/>
    <filterColumn colId="2" hiddenButton="1"/>
  </autoFilter>
  <tableColumns count="3">
    <tableColumn id="1" xr3:uid="{FFF32019-FC30-4241-A413-88D896EBAE7A}" name="MMSm">
      <calculatedColumnFormula array="1">Common_InputFunctions.Utility_DisplayArrayInTable(SourceData_Poultry.SourceData_Poultry_EFmT_Data(),Table_SourceData_Poultry_EFmT[[#Headers],[MMSm]], 0)</calculatedColumnFormula>
    </tableColumn>
    <tableColumn id="2" xr3:uid="{5F6BD5DC-8DDA-43F6-AB10-975D07A2F810}" name="EFmT" dataDxfId="392" dataCellStyle="Content normal">
      <calculatedColumnFormula array="1">Common_InputFunctions.Utility_DisplayArrayInTable(SourceData_Poultry.SourceData_Poultry_EFmT_Data(),Table_SourceData_Poultry_EFmT[[#Headers],[MMSm]], 0)</calculatedColumnFormula>
    </tableColumn>
    <tableColumn id="3" xr3:uid="{DEEAA492-9E6E-4D75-9E4B-6DDFA2D78378}" name="NIR reference" dataDxfId="391" dataCellStyle="Content normal">
      <calculatedColumnFormula array="1">Common_InputFunctions.Utility_DisplayArrayInTable(SourceData_Poultry.SourceData_Poultry_EFmT_Data(),Table_SourceData_Poultry_EFmT[[#Headers],[MMSm]], 0)</calculatedColumnFormula>
    </tableColumn>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EB7E09A-04D6-48CC-A3D9-E6337530F261}" name="Table_SourceData_Poultry_Liveweights" displayName="Table_SourceData_Poultry_Liveweights" ref="D119:E123" totalsRowShown="0">
  <autoFilter ref="D119:E123" xr:uid="{B73BE2B0-042A-4533-9ECF-5538D80194F7}">
    <filterColumn colId="0" hiddenButton="1"/>
    <filterColumn colId="1" hiddenButton="1"/>
  </autoFilter>
  <tableColumns count="2">
    <tableColumn id="1" xr3:uid="{D0AA5686-0583-485E-9A62-CAEB0C35939C}" name="Livestock class j">
      <calculatedColumnFormula array="1">Common_InputFunctions.Utility_DisplayArrayInTable(SourceData_Poultry.SourceData_Poultry_Liveweights_Data(),Table_SourceData_Poultry_Liveweights[[#Headers],[Livestock class j]],0)</calculatedColumnFormula>
    </tableColumn>
    <tableColumn id="2" xr3:uid="{DE7D969F-120E-46CF-9FF0-B9C7053950A1}" name="Average liveweight (kg)" dataDxfId="390" dataCellStyle="Content normal">
      <calculatedColumnFormula array="1">Common_InputFunctions.Utility_DisplayArrayInTable(SourceData_Poultry.SourceData_Poultry_Liveweights_Data(),Table_SourceData_Poultry_Liveweights[[#Headers],[Livestock class j]],0)</calculatedColumnFormula>
    </tableColumn>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B4E98DBB-C364-4C90-9607-3FEDB5AE8325}" name="Table_SourceData_Poultry_CropProdSystems" displayName="Table_SourceData_Poultry_CropProdSystems" ref="G44:G46" totalsRowShown="0">
  <autoFilter ref="G44:G46" xr:uid="{8EDB544D-AFFC-41EF-8AD9-9AD07200476D}"/>
  <tableColumns count="1">
    <tableColumn id="1" xr3:uid="{5E669FB9-0220-464E-A820-529A312EA36B}" name="Production system">
      <calculatedColumnFormula>#REF!</calculatedColumnFormula>
    </tableColumn>
  </tableColumns>
  <tableStyleInfo name="Equation table"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2ABA191E-E1AD-468C-98E5-8B4BA30F6E1D}" name="Table_SourceData_Poultry_IrrigationMethods" displayName="Table_SourceData_Poultry_IrrigationMethods" ref="J44:J49" totalsRowShown="0">
  <autoFilter ref="J44:J49" xr:uid="{C0841426-764B-45EC-B52F-AFA2B3E2A193}"/>
  <tableColumns count="1">
    <tableColumn id="1" xr3:uid="{80AD9B4B-4D77-4960-A905-132A7E4766FF}" name="Irrigation method"/>
  </tableColumns>
  <tableStyleInfo name="Equation table" showFirstColumn="0" showLastColumn="0" showRowStripes="1" showColumnStripes="0"/>
</table>
</file>

<file path=xl/tables/table3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5" xr:uid="{628E93B3-CE7C-4BF0-99D8-3CD8DD60CCD2}"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079DBF2-C702-4737-89D4-DA49DB3ADBC3}" name="Symbol">
      <calculatedColumnFormula array="1">Common_InputFunctions.Utility_DisplayArrayInTable(CommonLivestock_SourceData.SourceData_Livestock_Common_SymbolsMMS_Data(), Table_Data_MMSSymbols[[#Headers],[Symbol]], 0)</calculatedColumnFormula>
    </tableColumn>
    <tableColumn id="2" xr3:uid="{3CFA893C-34E9-4AF5-B372-E612EF8036BB}" name="Manure management system">
      <calculatedColumnFormula array="1">Common_InputFunctions.Utility_DisplayArrayInTable(CommonLivestock_SourceData.SourceData_Livestock_Common_SymbolsMMS_Data(), Table_Data_MMSSymbols[[#Headers],[Symbol]], 0)</calculatedColumnFormula>
    </tableColumn>
    <tableColumn id="3" xr3:uid="{A0022BA7-6A10-4137-9974-0DB1C8197707}" name="Symbol and MMS">
      <calculatedColumnFormula array="1">Common_InputFunctions.Utility_DisplayArrayInTable(CommonLivestock_SourceData.SourceData_Livestock_Common_SymbolsMMS_Data(),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3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4" xr:uid="{B231DB18-1F43-43AA-93DB-309C109740EF}" name="Table_SourceData_ElectricityEFs" displayName="Table_SourceData_ElectricityEFs" ref="D9:F19" totalsRowShown="0" headerRowDxfId="389">
  <autoFilter ref="D9:F19" xr:uid="{3144A982-7A4D-4CF2-8790-1A30DAE3E0A4}">
    <filterColumn colId="0" hiddenButton="1"/>
    <filterColumn colId="1" hiddenButton="1"/>
    <filterColumn colId="2" hiddenButton="1"/>
  </autoFilter>
  <tableColumns count="3">
    <tableColumn id="1" xr3:uid="{C61B6DA5-4FA0-4DE3-A3E8-3A4B7ACA70F3}"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5596214E-2E98-4DDE-88DF-36C77C7E40B8}"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FC17A2E3-5D2D-4AFC-90FC-54D2A798DCE6}"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3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5" xr:uid="{D560E94D-817D-44F6-AA7B-5BE8813AA6C0}"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C323ABDF-E931-43B4-8890-78D4B1D72101}"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0C4C3D15-2BD5-4365-81DB-AE189890AF42}"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A8C0E899-5B89-4E18-AFB9-EF38769888E7}"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BEBE7D77-29E2-485C-B99A-B484A353961B}"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3CEA933C-7D7B-47B2-A0D0-10658EDCE140}"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3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8" xr:uid="{FF64AFA2-A341-4389-A863-2882CB4655BB}" name="Table_Fertiliser_ChemicalCompounds" displayName="Table_Fertiliser_ChemicalCompounds" ref="D19:I38" totalsRowShown="0">
  <autoFilter ref="D19:I38" xr:uid="{C62DD19F-CBC4-42A0-AD7E-F034180A8AA9}">
    <filterColumn colId="0" hiddenButton="1"/>
    <filterColumn colId="1" hiddenButton="1"/>
    <filterColumn colId="2" hiddenButton="1"/>
    <filterColumn colId="3" hiddenButton="1"/>
    <filterColumn colId="4" hiddenButton="1"/>
    <filterColumn colId="5" hiddenButton="1"/>
  </autoFilter>
  <tableColumns count="6">
    <tableColumn id="1" xr3:uid="{22D6586C-7881-45CE-ACE2-6C4DAE187C46}" name="Fertiliser type f">
      <calculatedColumnFormula array="1">Common_InputFunctions.Utility_DisplayArrayInTable(Fertiliser_SourceData.Fertiliser_ChemicalCompoundElements_Data(),Table_Fertiliser_ChemicalCompounds[[#Headers],[Fertiliser type f]], 0)</calculatedColumnFormula>
    </tableColumn>
    <tableColumn id="2" xr3:uid="{E814CAB2-05AF-40A1-BBF1-FBAD93A18D7B}" name="FNinorganic f">
      <calculatedColumnFormula array="1">Common_InputFunctions.Utility_DisplayArrayInTable(Fertiliser_SourceData.Fertiliser_ChemicalCompoundElements_Data(),Table_Fertiliser_ChemicalCompounds[[#Headers],[Fertiliser type f]], 0)</calculatedColumnFormula>
    </tableColumn>
    <tableColumn id="3" xr3:uid="{625D5E24-B6D2-4C3E-A3DD-121B1FA63FAD}" name="FU f">
      <calculatedColumnFormula array="1">Common_InputFunctions.Utility_DisplayArrayInTable(Fertiliser_SourceData.Fertiliser_ChemicalCompoundElements_Data(),Table_Fertiliser_ChemicalCompounds[[#Headers],[Fertiliser type f]], 0)</calculatedColumnFormula>
    </tableColumn>
    <tableColumn id="4" xr3:uid="{283A8C85-7B4B-4B17-BF2D-8EC0783AE14F}" name="Basis">
      <calculatedColumnFormula array="1">Common_InputFunctions.Utility_DisplayArrayInTable(Fertiliser_SourceData.Fertiliser_ChemicalCompoundElements_Data(),Table_Fertiliser_ChemicalCompounds[[#Headers],[Fertiliser type f]], 0)</calculatedColumnFormula>
    </tableColumn>
    <tableColumn id="5" xr3:uid="{7C187939-6DA5-425B-8DE5-1B49288902B7}" name="Lifecycles Scope 3 definition">
      <calculatedColumnFormula array="1">Common_InputFunctions.Utility_DisplayArrayInTable(Fertiliser_SourceData.Fertiliser_ChemicalCompoundElements_Data(),Table_Fertiliser_ChemicalCompounds[[#Headers],[Fertiliser type f]], 0)</calculatedColumnFormula>
    </tableColumn>
    <tableColumn id="6" xr3:uid="{FF26424E-74F4-4062-A31B-F08C0B1E743C}" name="Source">
      <calculatedColumnFormula array="1">Common_InputFunctions.Utility_DisplayArrayInTable(Fertiliser_SourceData.Fertiliser_ChemicalCompoundElements_Data(),Table_Fertiliser_ChemicalCompounds[[#Headers],[Fertiliser type f]], 0)</calculatedColumnFormula>
    </tableColumn>
  </tableColumns>
  <tableStyleInfo name="Equation table" showFirstColumn="0" showLastColumn="0" showRowStripes="1" showColumnStripes="0"/>
</table>
</file>

<file path=xl/tables/table3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9" xr:uid="{A58B979C-F473-4EDD-AB15-3662CD93D8ED}" name="FertiliserProducts" displayName="FertiliserProducts" ref="D89:AH223">
  <autoFilter ref="D89:AH223" xr:uid="{CF03620B-9968-447A-A13F-E60FF3C81E47}">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autoFilter>
  <tableColumns count="31">
    <tableColumn id="1" xr3:uid="{180F7F17-C13E-43E5-A1D6-6F3C3CA04152}" name="Company" totalsRowFunction="custom" totalsRowDxfId="388">
      <calculatedColumnFormula array="1">Common_InputFunctions.Utility_DisplayArrayInTable(Fertiliser_SourceData.Fertiliser_Products_Data1(),FertiliserProducts[[#Headers],[Company]], -1)</calculatedColumnFormula>
      <totalsRowFormula array="1">Common_InputFunctions.Utility_DisplayArrayInTable(Fertiliser_SourceData.Fertiliser_Products_Data3(), FertiliserProducts[[#Headers],[Company]],61)</totalsRowFormula>
    </tableColumn>
    <tableColumn id="2" xr3:uid="{87D4F9D7-94E0-4B5E-B721-9381D887B335}" name="Produc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3" xr3:uid="{3963F26A-4C45-4CF0-8975-5E0279BA3ECC}" name="Unit"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4" xr3:uid="{0B8C8A69-7D8D-4F4D-8FEF-8B87A78C12AF}" name="Density" totalsRowFunction="custom" totalsRowCellStyle="Content normal">
      <calculatedColumnFormula array="1">Common_InputFunctions.Utility_DisplayArrayInTable(Fertiliser_SourceData.Fertiliser_Products_Data1(),FertiliserProducts[[#Headers],[Company]], 0)</calculatedColumnFormula>
      <totalsRowFormula array="1">Common_InputFunctions.Utility_DisplayArrayInTable(Fertiliser_SourceData.Fertiliser_Products_Data3(), FertiliserProducts[[#Headers],[Company]],61)</totalsRowFormula>
    </tableColumn>
    <tableColumn id="5" xr3:uid="{FFAB7D24-D093-43D6-8779-A6B1A99AA1F0}" name="Contains inhibitor"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6" xr3:uid="{C3C25A08-67EB-4112-8C0D-00ABAD4BB537}" name="Ure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7" xr3:uid="{75A97C4E-95D7-4DD3-8B67-F812EE0EB090}" name="Ammonia source"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8" xr3:uid="{9471FADF-D4AD-49E6-BBE1-87806A69E007}" name="N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9" xr3:uid="{6B133BF7-1E39-4C8F-952F-F18035F7BAE8}" name="P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0" xr3:uid="{F84E8473-1889-4E46-8DB9-ACA9B7F1CB7C}" name="K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1" xr3:uid="{3312E320-53B5-4126-9DD1-2F2AE98F2130}" name="S declared"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7" xr3:uid="{4B44467F-C284-4AB6-A8F7-11E0BFDF94DF}" name="Ingredient 1" totalsRowFunction="custom" totalsRowCellStyle="Content normal">
      <totalsRowFormula array="1">Common_InputFunctions.Utility_DisplayArrayInTable(Fertiliser_SourceData.Fertiliser_Products_Data3(), FertiliserProducts[[#Headers],[Company]],61)</totalsRowFormula>
    </tableColumn>
    <tableColumn id="22" xr3:uid="{B2208E2C-B27D-46E8-8F06-CB6FFADB2637}" name="Ingredient 1 percent" totalsRowFunction="custom" totalsRowCellStyle="Content normal">
      <totalsRowFormula array="1">Common_InputFunctions.Utility_DisplayArrayInTable(Fertiliser_SourceData.Fertiliser_Products_Data3(), FertiliserProducts[[#Headers],[Company]],61)</totalsRowFormula>
    </tableColumn>
    <tableColumn id="12" xr3:uid="{E4DEC7DE-2146-4B81-A2C6-4522486122F5}" name="Ingredient 2"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3" xr3:uid="{72D56837-348C-40E4-BBD9-8C26341D89C8}" name="Ingredient 2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4" xr3:uid="{BCEE9A4B-297D-4857-BCF1-437D0F50ADDC}" name="Ingredient 3"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5" xr3:uid="{78FFB45C-8A57-4EBC-9BC1-0D0F3845DF25}" name="Ingredient 3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6" xr3:uid="{DB87B5A5-3EAA-4337-ABB5-DABB684E0EF8}" name="Ingredient 4"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7" xr3:uid="{F29D001C-B4B6-4D3E-B9A8-AFDC6452180C}" name="Ingredient 4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8" xr3:uid="{86966E46-8CFB-42ED-8ACE-03B5CF66DFFA}" name="Ingredient 5"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19" xr3:uid="{056F8B8D-DDDF-4C88-9EF1-4C0C8AB96300}" name="Ingredient 5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7" xr3:uid="{AF767F74-84F8-4B2B-8D19-88D6144EB1B3}" name="Ingredient 6"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0" xr3:uid="{7FDFCA19-CA5C-4F1E-A410-F572658A5A62}" name="Ingredient 6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4" xr3:uid="{EDA3FCED-2AD0-42FD-BEB3-1774CDC0986C}" name="Ingredient 7"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3" xr3:uid="{11F3A71E-6EA8-4719-BB1D-0513180635F9}" name="Ingredient 7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6" xr3:uid="{837ED4F9-F72B-46BA-A586-21DB2FA0CF09}" name="Ingredient 8"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5" xr3:uid="{F7BE6641-F860-4FCD-804A-6D331D081DB4}" name="Ingredient 8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0" xr3:uid="{05C3FF33-B349-413D-AF9B-E6851D40AA31}" name="Ingredient 9"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9" xr3:uid="{196CCE2A-AB0D-4D20-AD68-75A2C8115767}" name="Ingredient 9 percent"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28" xr3:uid="{505FAE7E-7430-4FC4-8DB5-991622823FE5}" name="Ingredient 10" totalsRowFunction="custom" totalsRowCellStyle="Content normal">
      <calculatedColumnFormula array="1">Common_InputFunctions.Utility_DisplayArrayInTable(Fertiliser_SourceData.Fertiliser_Products_Data1(),FertiliserProducts[[#Headers],[Company]], 0,4)</calculatedColumnFormula>
      <totalsRowFormula array="1">Common_InputFunctions.Utility_DisplayArrayInTable(Fertiliser_SourceData.Fertiliser_Products_Data3(), FertiliserProducts[[#Headers],[Company]],61)</totalsRowFormula>
    </tableColumn>
    <tableColumn id="31" xr3:uid="{87D53D33-17F8-4281-805B-3681EBFF4F42}" name="Ingredient 10 percent" totalsRowCellStyle="Content normal"/>
  </tableColumns>
  <tableStyleInfo name="Equation table" showFirstColumn="0" showLastColumn="0" showRowStripes="1" showColumnStripes="0"/>
</table>
</file>

<file path=xl/tables/table3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0" xr:uid="{51059D76-9B14-4A46-A8E9-F0963C223065}" name="Table_SourceData_Fertiliser_FracGASF" displayName="Table_SourceData_Fertiliser_FracGASF" ref="D50:E55" totalsRowShown="0">
  <autoFilter ref="D50:E55" xr:uid="{BA6279EA-7DA2-46FA-80C0-81926E3CFC51}">
    <filterColumn colId="0" hiddenButton="1"/>
    <filterColumn colId="1" hiddenButton="1"/>
  </autoFilter>
  <tableColumns count="2">
    <tableColumn id="1" xr3:uid="{C09FF3C9-852C-45DE-A0B8-F5F829BEED69}" name="Fertiliser type f">
      <calculatedColumnFormula array="1">Common_InputFunctions.Utility_DisplayArrayInTable(Fertiliser_SourceData.Fertiliser_FracGASF_Data(), Table_SourceData_Fertiliser_FracGASF[[#Headers],[Fertiliser type f]], 0)</calculatedColumnFormula>
    </tableColumn>
    <tableColumn id="2" xr3:uid="{B71C1B5D-3E29-4CF9-A6B2-000E5D1AA856}" name="FracGASF f" dataDxfId="387" dataCellStyle="Content normal">
      <calculatedColumnFormula array="1">Common_InputFunctions.Utility_DisplayArrayInTable(Fertiliser_SourceData.Fertiliser_FracGASF_Data(), Table_SourceData_Fertiliser_FracGASF[[#Headers],[Fertiliser type f]], 0)</calculatedColumnFormula>
    </tableColumn>
  </tableColumns>
  <tableStyleInfo name="Equation table" showFirstColumn="0" showLastColumn="0" showRowStripes="1" showColumnStripes="0"/>
</table>
</file>

<file path=xl/tables/table3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1" xr:uid="{531D1346-39C2-489B-A0FD-EFA4EC041276}" name="Table_SourceData_Fertiliser_CropProdSystems" displayName="Table_SourceData_Fertiliser_CropProdSystems" ref="D41:D43" totalsRowShown="0">
  <autoFilter ref="D41:D43" xr:uid="{24F3A11E-40F5-4BB9-BFF4-A71FA2ADA0EF}">
    <filterColumn colId="0" hiddenButton="1"/>
  </autoFilter>
  <tableColumns count="1">
    <tableColumn id="1" xr3:uid="{2A5D0C0C-CE61-4080-A585-310EFDE97EE6}" name="Production system">
      <calculatedColumnFormula>#REF!</calculatedColumnFormula>
    </tableColumn>
  </tableColumns>
  <tableStyleInfo name="Equation table" showFirstColumn="0" showLastColumn="0" showRowStripes="1" showColumnStripes="0"/>
</table>
</file>

<file path=xl/tables/table4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2" xr:uid="{0E2E3E8C-57AE-4939-9B44-32C569F34BCA}" name="Table_SourceData_Fertiliser_IrrigationMethods" displayName="Table_SourceData_Fertiliser_IrrigationMethods" ref="H41:H46" totalsRowShown="0">
  <autoFilter ref="H41:H46" xr:uid="{B6754DF9-B9B7-4777-A419-208519289931}">
    <filterColumn colId="0" hiddenButton="1"/>
  </autoFilter>
  <tableColumns count="1">
    <tableColumn id="1" xr3:uid="{CC444B94-D195-4C38-A1B0-3AD261018379}" name="Irrigation method"/>
  </tableColumns>
  <tableStyleInfo name="Equation table" showFirstColumn="0" showLastColumn="0" showRowStripes="1" showColumnStripes="0"/>
</table>
</file>

<file path=xl/tables/table4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3" xr:uid="{09A01E71-8B62-4BF3-8BFB-49A1A18478E6}" name="Table_SourceData_Fertiliser_CropTypes" displayName="Table_SourceData_Fertiliser_CropTypes" ref="F41:F45" totalsRowShown="0">
  <autoFilter ref="F41:F45" xr:uid="{CB5044B5-FA3C-4AA2-B1AB-72F7E61D072F}">
    <filterColumn colId="0" hiddenButton="1"/>
  </autoFilter>
  <tableColumns count="1">
    <tableColumn id="1" xr3:uid="{93BE5895-6FC9-44B5-90EC-15F4115C6D88}" name="Production system"/>
  </tableColumns>
  <tableStyleInfo name="Equation table" showFirstColumn="0" showLastColumn="0" showRowStripes="1" showColumnStripes="0"/>
</table>
</file>

<file path=xl/tables/table4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4" xr:uid="{95C3E5E5-16B7-47E3-8A1F-AB6B6B7192A0}" name="Table_SourceData_OrganicFertiliserTypes" displayName="Table_SourceData_OrganicFertiliserTypes" ref="J41:J46" totalsRowShown="0">
  <autoFilter ref="J41:J46" xr:uid="{B44627B1-537E-4ABC-92C3-57282CEE5B40}">
    <filterColumn colId="0" hiddenButton="1"/>
  </autoFilter>
  <tableColumns count="1">
    <tableColumn id="1" xr3:uid="{4DF0BF4D-B8C1-43E0-BB4E-D50441983F73}" name="Organic fertiliser type"/>
  </tableColumns>
  <tableStyleInfo name="Equation table" showFirstColumn="0" showLastColumn="0" showRowStripes="1" showColumnStripes="0"/>
</table>
</file>

<file path=xl/tables/table4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5" xr:uid="{3D712A46-4115-49DE-8362-42498075FC6F}" name="Table_SourceData_Fertiliser_LimeDolomiteConstants" displayName="Table_SourceData_Fertiliser_LimeDolomiteConstants" ref="D65:F68" totalsRowShown="0">
  <autoFilter ref="D65:F68" xr:uid="{300169C1-BC7A-441C-840D-3C2EFD141B42}">
    <filterColumn colId="0" hiddenButton="1"/>
    <filterColumn colId="1" hiddenButton="1"/>
    <filterColumn colId="2" hiddenButton="1"/>
  </autoFilter>
  <tableColumns count="3">
    <tableColumn id="1" xr3:uid="{7B4E9AD0-7632-44B6-825E-6603E2F35F23}" name="Element">
      <calculatedColumnFormula array="1">Common_InputFunctions.Utility_DisplayArrayInTable(Fertiliser_SourceData.Fertiliser_LimeDolomiteGypsumConstants_Data(), Table_SourceData_Fertiliser_LimeDolomiteConstants[[#Headers],[Element]], 0)</calculatedColumnFormula>
    </tableColumn>
    <tableColumn id="2" xr3:uid="{9D1372AD-C1EE-4373-B421-21068625D5B3}" name="P" dataDxfId="386"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 id="3" xr3:uid="{844B2598-809D-4CDA-98E3-936D2ECB3963}" name="EF" dataDxfId="385" dataCellStyle="Content normal">
      <calculatedColumnFormula array="1">Common_InputFunctions.Utility_DisplayArrayInTable(Fertiliser_SourceData.Fertiliser_LimeDolomiteGypsumConstants_Data(), Table_SourceData_Fertiliser_LimeDolomiteConstants[[#Headers],[Element]], 0)</calculatedColumnFormula>
    </tableColumn>
  </tableColumns>
  <tableStyleInfo name="Equation table" showFirstColumn="0" showLastColumn="0" showRowStripes="1" showColumnStripes="0"/>
</table>
</file>

<file path=xl/tables/table4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6" xr:uid="{19235305-4C81-42D6-B52C-AF439D106BB2}" name="Table2" displayName="Table2" ref="K19:L28" totalsRowShown="0" dataDxfId="384" dataCellStyle="Content normal">
  <autoFilter ref="K19:L28" xr:uid="{27B93029-EB1F-4C4A-A946-CD673A8A6C46}">
    <filterColumn colId="0" hiddenButton="1"/>
    <filterColumn colId="1" hiddenButton="1"/>
  </autoFilter>
  <tableColumns count="2">
    <tableColumn id="1" xr3:uid="{27884FFF-D523-4D7D-9124-5943DF03E049}" name="Fertiliser type f" dataDxfId="383" dataCellStyle="Content normal">
      <calculatedColumnFormula array="1">Common_InputFunctions.Utility_DisplayArrayInTable(Fertiliser_SourceData.Fertiliser_FractionNCommonFertilisers_Data(), Table2[[#Headers],[Fertiliser type f]], 0)</calculatedColumnFormula>
    </tableColumn>
    <tableColumn id="2" xr3:uid="{3961B467-1652-4832-A8CC-0EF0BEDBFA9F}" name="FNinorganic f" dataDxfId="382" dataCellStyle="Content normal">
      <calculatedColumnFormula array="1">Common_InputFunctions.Utility_DisplayArrayInTable(Fertiliser_SourceData.Fertiliser_FractionNCommonFertilisers_Data(), Table2[[#Headers],[Fertiliser type f]], 0)</calculatedColumnFormula>
    </tableColumn>
  </tableColumns>
  <tableStyleInfo name="Equation table" showFirstColumn="0" showLastColumn="0" showRowStripes="1" showColumnStripes="0"/>
</table>
</file>

<file path=xl/tables/table4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7" xr:uid="{6F98EA2D-5348-4645-80CD-D2D47D75200F}" name="Table28" displayName="Table28" ref="Q19:R28" totalsRowShown="0" dataDxfId="381" dataCellStyle="Content normal">
  <autoFilter ref="Q19:R28" xr:uid="{791CEA59-796C-47AB-86BC-41E8F699030C}">
    <filterColumn colId="0" hiddenButton="1"/>
    <filterColumn colId="1" hiddenButton="1"/>
  </autoFilter>
  <tableColumns count="2">
    <tableColumn id="1" xr3:uid="{1D1F902D-16F0-465E-A36E-1EEF28D711E9}" name="Fertiliser type f" dataDxfId="380" dataCellStyle="Content normal">
      <calculatedColumnFormula array="1">Common_InputFunctions.Utility_DisplayArrayInTable(Fertiliser_SourceData.Fertiliser_FractionUreaCommonFertilisers_Data(), Table28[[#Headers],[Fertiliser type f]], 0)</calculatedColumnFormula>
    </tableColumn>
    <tableColumn id="2" xr3:uid="{F053E6E9-8A47-448C-BF51-8D8483BA458A}" name="FNinorganic f" dataDxfId="379" dataCellStyle="Content normal">
      <calculatedColumnFormula array="1">Common_InputFunctions.Utility_DisplayArrayInTable(Fertiliser_SourceData.Fertiliser_FractionUreaCommonFertilisers_Data(), Table28[[#Headers],[Fertiliser type f]], 0)</calculatedColumnFormula>
    </tableColumn>
  </tableColumns>
  <tableStyleInfo name="Equation table" showFirstColumn="0" showLastColumn="0" showRowStripes="1" showColumnStripes="0"/>
</table>
</file>

<file path=xl/tables/table4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8" xr:uid="{F7F55251-C8F6-467B-BB67-4B96A02CADE6}" name="Table_SourceData_Fertiliser_UreaAmmoniaSources" displayName="Table_SourceData_Fertiliser_UreaAmmoniaSources" ref="V19:V23" totalsRowShown="0">
  <autoFilter ref="V19:V23" xr:uid="{FCD2F96D-F34B-40EA-87DE-66D680DF332D}">
    <filterColumn colId="0" hiddenButton="1"/>
  </autoFilter>
  <tableColumns count="1">
    <tableColumn id="1" xr3:uid="{8088D958-58DD-4DD8-80D9-F8E479AD82BD}" name="Source">
      <calculatedColumnFormula array="1">Common_InputFunctions.Utility_DisplayArrayInTable(Fertiliser_SourceData.Fertiliser_UreaAmmoniaSourceRegions_Data(),Table_SourceData_Fertiliser_UreaAmmoniaSources[[#Headers],[Source]],0)</calculatedColumnFormula>
    </tableColumn>
  </tableColumns>
  <tableStyleInfo name="Equation table" showFirstColumn="0" showLastColumn="0" showRowStripes="1" showColumnStripes="0"/>
</table>
</file>

<file path=xl/tables/table4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0515E68B-2FF4-48F0-B54A-4347624CFC03}" name="Table_Fuel_EFs_StationaryLiquid" displayName="Table_Fuel_EFs_StationaryLiquid" ref="D53:K77" totalsRowShown="0" headerRowDxfId="378" dataDxfId="377">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8690D177-0DD3-4041-BE1D-07E77465127A}" name="Fuel combusted" dataDxfId="376">
      <calculatedColumnFormula array="1">Common_InputFunctions.Utility_DisplayArrayInTable(Fuel_SourceData.Fuel_Scope1Scope3EmissionFactorsStationaryLiquid_Data(), Table_Fuel_EFs_StationaryLiquid[[#Headers],[Fuel combusted]],0)</calculatedColumnFormula>
    </tableColumn>
    <tableColumn id="2" xr3:uid="{2595957D-C889-4EBA-BED9-456A20C1BAC5}" name="Energy Content Factor (GJ per unit of fuel)" dataDxfId="375">
      <calculatedColumnFormula array="1">Common_InputFunctions.Utility_DisplayArrayInTable(Fuel_SourceData.Fuel_Scope1Scope3EmissionFactorsStationaryLiquid_Data(), Table_Fuel_EFs_StationaryLiquid[[#Headers],[Fuel combusted]],0)</calculatedColumnFormula>
    </tableColumn>
    <tableColumn id="3" xr3:uid="{E413CACD-A9AE-47C7-98AA-30B8DA30ACD0}" name="Fuel unit" dataDxfId="374">
      <calculatedColumnFormula array="1">Common_InputFunctions.Utility_DisplayArrayInTable(Fuel_SourceData.Fuel_Scope1Scope3EmissionFactorsStationaryLiquid_Data(), Table_Fuel_EFs_StationaryLiquid[[#Headers],[Fuel combusted]],0)</calculatedColumnFormula>
    </tableColumn>
    <tableColumn id="4" xr3:uid="{F9A48066-0CCF-4F0B-B328-9690F7A1205D}" name="Scope 1 Emission Factor (kg CO2 - e / GJ) CO2" dataDxfId="373">
      <calculatedColumnFormula array="1">Common_InputFunctions.Utility_DisplayArrayInTable(Fuel_SourceData.Fuel_Scope1Scope3EmissionFactorsStationaryLiquid_Data(), Table_Fuel_EFs_StationaryLiquid[[#Headers],[Fuel combusted]],0)</calculatedColumnFormula>
    </tableColumn>
    <tableColumn id="5" xr3:uid="{7CBD4E52-0DEE-461B-85CD-2A8BF5C2109D}" name="Scope 1 Emission Factor (kg CO2 - e / GJ) CH4" dataDxfId="372">
      <calculatedColumnFormula array="1">Common_InputFunctions.Utility_DisplayArrayInTable(Fuel_SourceData.Fuel_Scope1Scope3EmissionFactorsStationaryLiquid_Data(), Table_Fuel_EFs_StationaryLiquid[[#Headers],[Fuel combusted]],0)</calculatedColumnFormula>
    </tableColumn>
    <tableColumn id="6" xr3:uid="{E86B8D44-9175-4994-8935-12A645943998}" name="Scope 1 Emission Factor (kg CO2 - e / GJ) N2O" dataDxfId="371">
      <calculatedColumnFormula array="1">Common_InputFunctions.Utility_DisplayArrayInTable(Fuel_SourceData.Fuel_Scope1Scope3EmissionFactorsStationaryLiquid_Data(), Table_Fuel_EFs_StationaryLiquid[[#Headers],[Fuel combusted]],0)</calculatedColumnFormula>
    </tableColumn>
    <tableColumn id="7" xr3:uid="{1C734FFD-396E-43EC-A0B1-69EC03ACB5F8}" name="Scope 1 Emission Factor (kg CO2 - e / GJ) Combined gases" dataDxfId="370">
      <calculatedColumnFormula array="1">Common_InputFunctions.Utility_DisplayArrayInTable(Fuel_SourceData.Fuel_Scope1Scope3EmissionFactorsStationaryLiquid_Data(), Table_Fuel_EFs_StationaryLiquid[[#Headers],[Fuel combusted]],0)</calculatedColumnFormula>
    </tableColumn>
    <tableColumn id="8" xr3:uid="{7CF2230E-A25F-4AFC-8B6B-56481A0A9A0A}" name="Scope 3 Emission Factor (kg CO2 - e / GJ)" dataDxfId="369">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4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7745E81A-B92E-4BEC-B5BC-28221A6AE74E}" name="Table_Fuel_EFs_Transport" displayName="Table_Fuel_EFs_Transport" ref="D9:L34" totalsRowShown="0" headerRowDxfId="368" dataDxfId="367">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A6E622AE-750F-4614-BEA1-49DBB4D644EE}" name="Transport type" dataDxfId="366">
      <calculatedColumnFormula array="1">Common_InputFunctions.Utility_DisplayArrayInTable(Fuel_SourceData.Fuel_Scope1Scope3EmissionFactorsTransport_Data(), Table_Fuel_EFs_Transport[[#Headers],[Transport type]], 0)</calculatedColumnFormula>
    </tableColumn>
    <tableColumn id="2" xr3:uid="{2B1A5702-E349-48D1-A314-2E6D17994751}" name="Fuel combusted" dataDxfId="365">
      <calculatedColumnFormula array="1">Common_InputFunctions.Utility_DisplayArrayInTable(Fuel_SourceData.Fuel_Scope1Scope3EmissionFactorsTransport_Data(), Table_Fuel_EFs_Transport[[#Headers],[Transport type]], 0)</calculatedColumnFormula>
    </tableColumn>
    <tableColumn id="3" xr3:uid="{2663A4BD-96DF-4B79-8457-11F1FA38EB07}" name="Energy Content Factor (GJ per unit of fuel)" dataDxfId="364">
      <calculatedColumnFormula array="1">Common_InputFunctions.Utility_DisplayArrayInTable(Fuel_SourceData.Fuel_Scope1Scope3EmissionFactorsTransport_Data(), Table_Fuel_EFs_Transport[[#Headers],[Transport type]], 0)</calculatedColumnFormula>
    </tableColumn>
    <tableColumn id="4" xr3:uid="{75CA29D2-D20B-4A01-AB75-76448474223A}" name="Fuel unit" dataDxfId="363">
      <calculatedColumnFormula array="1">Common_InputFunctions.Utility_DisplayArrayInTable(Fuel_SourceData.Fuel_Scope1Scope3EmissionFactorsTransport_Data(), Table_Fuel_EFs_Transport[[#Headers],[Transport type]], 0)</calculatedColumnFormula>
    </tableColumn>
    <tableColumn id="8" xr3:uid="{4FC00CDC-9157-4113-A630-74BE722381E4}" name="Scope 1 Emission Factor (kg CO2 - e / GJ) CO2" dataDxfId="362">
      <calculatedColumnFormula array="1">Common_InputFunctions.Utility_DisplayArrayInTable(Fuel_SourceData.Fuel_Scope1Scope3EmissionFactorsTransport_Data(), Table_Fuel_EFs_Transport[[#Headers],[Transport type]], 0)</calculatedColumnFormula>
    </tableColumn>
    <tableColumn id="9" xr3:uid="{B475710B-6298-4F8D-8C2D-130DEFF78EA2}" name="Scope 1 Emission Factor (kg CO2 - e / GJ) CH4" dataDxfId="361">
      <calculatedColumnFormula array="1">Common_InputFunctions.Utility_DisplayArrayInTable(Fuel_SourceData.Fuel_Scope1Scope3EmissionFactorsTransport_Data(), Table_Fuel_EFs_Transport[[#Headers],[Transport type]], 0)</calculatedColumnFormula>
    </tableColumn>
    <tableColumn id="10" xr3:uid="{B3B4AE5E-15F7-4ACF-8FBF-1CA221CEF78D}" name="Scope 1 Emission Factor (kg CO2 - e / GJ) N2O" dataDxfId="360">
      <calculatedColumnFormula array="1">Common_InputFunctions.Utility_DisplayArrayInTable(Fuel_SourceData.Fuel_Scope1Scope3EmissionFactorsTransport_Data(), Table_Fuel_EFs_Transport[[#Headers],[Transport type]], 0)</calculatedColumnFormula>
    </tableColumn>
    <tableColumn id="11" xr3:uid="{44DA118B-3E67-4749-B28E-5AF35C4091B5}" name="Scope 1 Emission Factor (kg CO2 - e / GJ) Combined gases" dataDxfId="359">
      <calculatedColumnFormula array="1">Common_InputFunctions.Utility_DisplayArrayInTable(Fuel_SourceData.Fuel_Scope1Scope3EmissionFactorsTransport_Data(), Table_Fuel_EFs_Transport[[#Headers],[Transport type]], 0)</calculatedColumnFormula>
    </tableColumn>
    <tableColumn id="12" xr3:uid="{95448C19-D9E4-4B09-A78A-BA4E150480F8}" name="Scope 3 Emission Factor (kg CO2 - e / GJ)" dataDxfId="358">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D67CC315-BC75-418A-8DC3-EA34EEA8CB1E}" name="Table_FuelTypesPerUse" displayName="Table_FuelTypesPerUse" ref="D130:I139" totalsRowShown="0" headerRowDxfId="357" dataDxfId="356">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845DB4BA-B9C9-41F0-9B85-FE755FDE2082}" name="Generators" dataDxfId="355"/>
    <tableColumn id="2" xr3:uid="{A0E23DD6-DF91-4091-9EBB-4C9353A5870F}" name="Power standalone machinery or heating" dataDxfId="354"/>
    <tableColumn id="3" xr3:uid="{63B0A323-7745-4AFE-986E-1B5201AB32DB}" name="Aviation" dataDxfId="353"/>
    <tableColumn id="5" xr3:uid="{E29F6E8D-834F-49B5-BE40-E8B0765EF922}" name="Cars and light commercial vehicles" dataDxfId="352"/>
    <tableColumn id="7" xr3:uid="{38CE7374-9E3D-43CB-AEE6-4D420F2D1CE9}" name="Off-road Agriculture and forestry equipment" dataDxfId="351" dataCellStyle="Content bold"/>
    <tableColumn id="8" xr3:uid="{B172F4C7-1704-4CEF-83AE-509C639E4ADF}" name="Vessels" dataDxfId="350" dataCellStyle="Content bold"/>
  </tableColumns>
  <tableStyleInfo name="Equation table" showFirstColumn="0" showLastColumn="0" showRowStripes="1" showColumnStripes="0"/>
</table>
</file>

<file path=xl/tables/table5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6A1E3AB2-D441-4131-8EF8-5A1F9A530B3F}" name="Table_Fuel_EFs_StationaryGaseous" displayName="Table_Fuel_EFs_StationaryGaseous" ref="D86:J104" totalsRowShown="0" headerRowDxfId="349" dataDxfId="348">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151B24E-39CC-4C5E-8615-94F049E195B6}" name="Fuel combusted" dataDxfId="347">
      <calculatedColumnFormula array="1">Common_InputFunctions.Utility_DisplayArrayInTable(Fuel_SourceData.Fuel_Scope1EmissionFactorsStationaryGaseous_Data(), Table_Fuel_EFs_StationaryGaseous[[#Headers],[Fuel combusted]],0)</calculatedColumnFormula>
    </tableColumn>
    <tableColumn id="2" xr3:uid="{0E68CE73-1AE6-473A-8551-5DA77EF0F696}" name="Energy Content Factor (GJ per unit of fuel)" dataDxfId="346">
      <calculatedColumnFormula array="1">Common_InputFunctions.Utility_DisplayArrayInTable(Fuel_SourceData.Fuel_Scope1EmissionFactorsStationaryGaseous_Data(), Table_Fuel_EFs_StationaryGaseous[[#Headers],[Fuel combusted]],0)</calculatedColumnFormula>
    </tableColumn>
    <tableColumn id="3" xr3:uid="{7386DFF0-5766-459E-A426-9E49021E96B9}" name="Fuel unit" dataDxfId="345">
      <calculatedColumnFormula array="1">Common_InputFunctions.Utility_DisplayArrayInTable(Fuel_SourceData.Fuel_Scope1EmissionFactorsStationaryGaseous_Data(), Table_Fuel_EFs_StationaryGaseous[[#Headers],[Fuel combusted]],0)</calculatedColumnFormula>
    </tableColumn>
    <tableColumn id="4" xr3:uid="{907723BA-541B-4534-A0C0-AF49EF78D0EE}" name="Scope 1 Emission Factor (kg CO2 - e / GJ) CO2" dataDxfId="344">
      <calculatedColumnFormula array="1">Common_InputFunctions.Utility_DisplayArrayInTable(Fuel_SourceData.Fuel_Scope1EmissionFactorsStationaryGaseous_Data(), Table_Fuel_EFs_StationaryGaseous[[#Headers],[Fuel combusted]],0)</calculatedColumnFormula>
    </tableColumn>
    <tableColumn id="5" xr3:uid="{0BB4236D-A880-43C1-9B88-4962AFF2A2D0}" name="Scope 1 Emission Factor (kg CO2 - e / GJ) CH4" dataDxfId="343">
      <calculatedColumnFormula array="1">Common_InputFunctions.Utility_DisplayArrayInTable(Fuel_SourceData.Fuel_Scope1EmissionFactorsStationaryGaseous_Data(), Table_Fuel_EFs_StationaryGaseous[[#Headers],[Fuel combusted]],0)</calculatedColumnFormula>
    </tableColumn>
    <tableColumn id="6" xr3:uid="{6F079A93-7D54-427A-80A9-2FC7B2D370C2}" name="Scope 1 Emission Factor (kg CO2 - e / GJ) N2O" dataDxfId="342">
      <calculatedColumnFormula array="1">Common_InputFunctions.Utility_DisplayArrayInTable(Fuel_SourceData.Fuel_Scope1EmissionFactorsStationaryGaseous_Data(), Table_Fuel_EFs_StationaryGaseous[[#Headers],[Fuel combusted]],0)</calculatedColumnFormula>
    </tableColumn>
    <tableColumn id="7" xr3:uid="{ABDC8DBF-0D74-49A3-8479-F99199B35FB9}" name="Scope 1 Emission Factor (kg CO2 - e / GJ) Combined gases" dataDxfId="341">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5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1" xr:uid="{F23F2766-F008-4EF3-8962-6492431BDD6F}" name="Table_Fuel_EFs_StationaryGaseous34" displayName="Table_Fuel_EFs_StationaryGaseous34" ref="D112:F120" headerRowDxfId="340" totalsRowDxfId="339">
  <autoFilter ref="D112:F120" xr:uid="{7D6CE29D-2354-4FAC-9965-9A66FFA42416}">
    <filterColumn colId="0" hiddenButton="1"/>
    <filterColumn colId="1" hiddenButton="1"/>
    <filterColumn colId="2" hiddenButton="1"/>
  </autoFilter>
  <tableColumns count="3">
    <tableColumn id="1" xr3:uid="{25C426D0-DB20-4E33-95E3-9A57520989AA}" name="State or territory" totalsRowDxfId="338">
      <calculatedColumnFormula array="1">Common_InputFunctions.Utility_DisplayArrayInTable(Fuel_SourceData.Fuel_Scope3EmissionFactorsStationaryGaseous_Data(), Table_Fuel_EFs_StationaryGaseous34[[#Headers],[State or territory]],0)</calculatedColumnFormula>
    </tableColumn>
    <tableColumn id="2" xr3:uid="{ABA26575-586F-47A9-87AC-5ECAE47F42A1}" name="Metro" totalsRowDxfId="337">
      <calculatedColumnFormula array="1">Common_InputFunctions.Utility_DisplayArrayInTable(Fuel_SourceData.Fuel_Scope3EmissionFactorsStationaryGaseous_Data(), Table_Fuel_EFs_StationaryGaseous34[[#Headers],[State or territory]],0)</calculatedColumnFormula>
    </tableColumn>
    <tableColumn id="3" xr3:uid="{DFBBC734-5003-45F7-A3F9-E191E633C2DC}" name="Non-metro" totalsRowDxfId="336">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5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2" xr:uid="{F91AD451-96B3-4F9C-B6B6-49ED9E6F7B7A}"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3BE61790-B012-4175-A95B-A4DDD1A470CF}" name="Fuel type"/>
    <tableColumn id="2" xr3:uid="{395DBF0E-0685-4CC9-85F2-D580DB39897A}" name="Unit"/>
    <tableColumn id="3" xr3:uid="{5C0B708D-0D54-456B-A38D-C4184E53B05E}" name="Input Unit" dataDxfId="335"/>
  </tableColumns>
  <tableStyleInfo name="Equation table" showFirstColumn="0" showLastColumn="0" showRowStripes="1" showColumnStripes="0"/>
</table>
</file>

<file path=xl/tables/table5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3" xr:uid="{C9626B9E-56FF-495F-B344-92A60937EB40}"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DE0D38A6-D5DA-4AF2-A0E9-071265CBFBD0}"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2F22B94A-F569-4207-B62C-DE1FE9E074FD}" name="Fuel type q" dataDxfId="334"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4E3CB78F-2188-4FA3-8B67-F722D8414647}" name="ECTrans,q (GJ/kL)" dataDxfId="333"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08A4B786-851F-4465-9604-21C8658D8D7D}" name="Scope 1 CO2 EFTran,1,tqg (kg CO2-e/GJ)" dataDxfId="33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B5C66939-77C3-4BE4-ADAA-5CB7542284B1}" name="Scope 1 CH4 EFTran,1,tgg (kg CO2-e/GJ)" dataDxfId="33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A0F324D6-D77D-4921-B561-28C2ADD798EA}" name="Scope 1 N2O EFTran,1,tgg (kg CO2-e/GJ)" dataDxfId="33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8DF6CBDF-1557-4E04-AA99-82F54610BAB6}" name="Scope 3 EFTrans,3,q (kg CO2-e/GJ)" dataDxfId="32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5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4" xr:uid="{18763531-4690-426F-800E-70C3C65726D8}" name="Table_SourceData_Scope3_Animals" displayName="Table_SourceData_Scope3_Animals" ref="D33:J74" totalsRowShown="0">
  <autoFilter ref="D33:J74" xr:uid="{750CD25E-51AF-4085-A595-601E6358D38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E87113D-0546-4F9C-9605-1E95EA936CF4}" name="Category" dataDxfId="328" dataCellStyle="Content normal">
      <calculatedColumnFormula array="1">Common_InputFunctions.Utility_DisplayArrayInTable(Scope3_SourceData.Scope3_Livestock_Data(), Table_SourceData_Scope3_Animals[[#Headers],[Category]], 0, 2)</calculatedColumnFormula>
    </tableColumn>
    <tableColumn id="2" xr3:uid="{D409E62C-6156-4479-9EA9-DAD097F0981C}" name="Product" dataDxfId="327" dataCellStyle="Content normal">
      <calculatedColumnFormula array="1">Common_InputFunctions.Utility_DisplayArrayInTable(Scope3_SourceData.Scope3_Livestock_Data(), Table_SourceData_Scope3_Animals[[#Headers],[Category]], 0, 2)</calculatedColumnFormula>
    </tableColumn>
    <tableColumn id="3" xr3:uid="{77DD6DE6-FC3D-40A5-835A-2FEE4335D7D6}" name="Region of origin" dataDxfId="326" dataCellStyle="Content normal">
      <calculatedColumnFormula array="1">Common_InputFunctions.Utility_DisplayArrayInTable(Scope3_SourceData.Scope3_Livestock_Data(), Table_SourceData_Scope3_Animals[[#Headers],[Category]], 0, 2)</calculatedColumnFormula>
    </tableColumn>
    <tableColumn id="8" xr3:uid="{E2DD6EB3-6012-413E-8989-3BB86AC7FAF3}" name="Quantity Unit" dataDxfId="325" dataCellStyle="Content normal">
      <calculatedColumnFormula array="1">Common_InputFunctions.Utility_DisplayArrayInTable(Scope3_SourceData.Scope3_Livestock_Data(), Table_SourceData_Scope3_Animals[[#Headers],[Category]], 0, 2)</calculatedColumnFormula>
    </tableColumn>
    <tableColumn id="9" xr3:uid="{1E40C8AF-B3C4-48C1-8F4D-503C7CD6DC44}" name="Emissions intensity" dataDxfId="324" dataCellStyle="Content normal">
      <calculatedColumnFormula array="1">Common_InputFunctions.Utility_DisplayArrayInTable(Scope3_SourceData.Scope3_Livestock_Data(), Table_SourceData_Scope3_Animals[[#Headers],[Category]], 0, 2)</calculatedColumnFormula>
    </tableColumn>
    <tableColumn id="10" xr3:uid="{798E8BE8-BC25-4C71-A227-499EF70AD1C0}" name="System boundary" dataDxfId="323" dataCellStyle="Content normal">
      <calculatedColumnFormula array="1">Common_InputFunctions.Utility_DisplayArrayInTable(Scope3_SourceData.Scope3_Livestock_Data(), Table_SourceData_Scope3_Animals[[#Headers],[Category]], 0, 2)</calculatedColumnFormula>
    </tableColumn>
    <tableColumn id="4" xr3:uid="{BA7F64C5-8091-4F72-81A9-6F06AF921984}" name="Source" dataDxfId="322" dataCellStyle="Content normal"/>
  </tableColumns>
  <tableStyleInfo name="Equation table" showFirstColumn="0" showLastColumn="0" showRowStripes="1" showColumnStripes="0"/>
</table>
</file>

<file path=xl/tables/table5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5" xr:uid="{36565448-3F63-4A32-916E-061186EDADEB}" name="Table_SourceData_Scope3_ChemicalsCleaning" displayName="Table_SourceData_Scope3_ChemicalsCleaning" ref="D77:J80" totalsRowShown="0">
  <autoFilter ref="D77:J80" xr:uid="{10291E5F-4512-44BD-934A-80D446AD4B71}">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2A3A8A6-AFEB-425A-AFB4-CA8961A9FA16}" name="Category" dataDxfId="321" dataCellStyle="Content normal">
      <calculatedColumnFormula array="1">Common_InputFunctions.Utility_DisplayArrayInTable(Scope3_SourceData.Scope3_Chemicals_Data(), Table_SourceData_Scope3_ChemicalsCleaning[[#Headers],[Category]], 0, 2)</calculatedColumnFormula>
    </tableColumn>
    <tableColumn id="2" xr3:uid="{0C08222D-6003-48E0-A815-45DFF4EEB6F4}" name="Product" dataDxfId="320" dataCellStyle="Content normal">
      <calculatedColumnFormula array="1">Common_InputFunctions.Utility_DisplayArrayInTable(Scope3_SourceData.Scope3_Chemicals_Data(), Table_SourceData_Scope3_ChemicalsCleaning[[#Headers],[Category]], 0, 2)</calculatedColumnFormula>
    </tableColumn>
    <tableColumn id="3" xr3:uid="{58E2ACD3-2B04-4CB6-93A7-A0DD99965079}" name="Region of origin" dataDxfId="319" dataCellStyle="Content normal">
      <calculatedColumnFormula array="1">Common_InputFunctions.Utility_DisplayArrayInTable(Scope3_SourceData.Scope3_Chemicals_Data(), Table_SourceData_Scope3_ChemicalsCleaning[[#Headers],[Category]], 0, 2)</calculatedColumnFormula>
    </tableColumn>
    <tableColumn id="8" xr3:uid="{4E2E60E4-6417-4064-8445-C84649F726F1}" name="Quantity Unit" dataDxfId="318" dataCellStyle="Content normal">
      <calculatedColumnFormula array="1">Common_InputFunctions.Utility_DisplayArrayInTable(Scope3_SourceData.Scope3_Chemicals_Data(), Table_SourceData_Scope3_ChemicalsCleaning[[#Headers],[Category]], 0, 2)</calculatedColumnFormula>
    </tableColumn>
    <tableColumn id="9" xr3:uid="{47B3D400-6F39-4EB2-9B1B-85719CDF0FE3}" name="Emissions intensity" dataDxfId="317" dataCellStyle="Content normal">
      <calculatedColumnFormula array="1">Common_InputFunctions.Utility_DisplayArrayInTable(Scope3_SourceData.Scope3_Chemicals_Data(), Table_SourceData_Scope3_ChemicalsCleaning[[#Headers],[Category]], 0, 2)</calculatedColumnFormula>
    </tableColumn>
    <tableColumn id="10" xr3:uid="{F7DAA6B2-5267-4183-A90B-014E48B54392}" name="System boundary" dataDxfId="316" dataCellStyle="Content normal">
      <calculatedColumnFormula array="1">Common_InputFunctions.Utility_DisplayArrayInTable(Scope3_SourceData.Scope3_Chemicals_Data(), Table_SourceData_Scope3_ChemicalsCleaning[[#Headers],[Category]], 0, 2)</calculatedColumnFormula>
    </tableColumn>
    <tableColumn id="4" xr3:uid="{48EC9C80-C608-4F68-8B8B-4FF4D92838A8}" name="Source" dataDxfId="315" dataCellStyle="Content normal"/>
  </tableColumns>
  <tableStyleInfo name="Equation table" showFirstColumn="0" showLastColumn="0" showRowStripes="1" showColumnStripes="0"/>
</table>
</file>

<file path=xl/tables/table5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6" xr:uid="{317F44B3-6AF2-459E-BE52-753AB2534896}" name="Table_SourceData_Scope3_Feed" displayName="Table_SourceData_Scope3_Feed" ref="D89:J158" dataDxfId="314" dataCellStyle="Content normal">
  <autoFilter ref="D89:J158" xr:uid="{7C99A3AF-4B60-47B5-BB9C-19833DBDFFC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755AB3AB-91BC-468A-9D08-FCDCC8864360}" name="Category" totalsRowFunction="custom" dataDxfId="313" totalsRowDxfId="31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2" xr3:uid="{94174276-8140-4C41-B76D-6B1B300973E4}" name="Product" totalsRowFunction="custom" dataDxfId="311" totalsRowDxfId="310"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3" xr3:uid="{911639B2-888A-4435-BE2A-9EAA877C60B0}" name="Region of origin" totalsRowFunction="custom" dataDxfId="309" totalsRowDxfId="308"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8" xr3:uid="{15DBB7C9-189C-45CA-B8CE-EAF695321537}" name="Quantity Unit" totalsRowFunction="custom" dataDxfId="307" totalsRowDxfId="306"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9" xr3:uid="{A94CF422-5D6D-4292-A426-7BFF7D06815D}" name="Emissions intensity" totalsRowFunction="custom" dataDxfId="305" totalsRowDxfId="304"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10" xr3:uid="{FADD91D2-6D18-4A47-AA3A-AE179DBF37CB}" name="System boundary" totalsRowFunction="custom" dataDxfId="303" totalsRowDxfId="302" dataCellStyle="Content normal">
      <calculatedColumnFormula array="1">Common_InputFunctions.Utility_DisplayArrayInTable(Scope3_SourceData.Scope3_Feed_Data(), Table_SourceData_Scope3_Feed[[#Headers],[Category]], 0, 2)</calculatedColumnFormula>
      <totalsRowFormula array="1">Common_InputFunctions.Utility_DisplayArrayInTable(Scope3_SourceData.Scope3_Feed_Data(), Table_SourceData_Scope3_Feed[[#Headers],[Category]], -5, 2)</totalsRowFormula>
    </tableColumn>
    <tableColumn id="4" xr3:uid="{26A412D6-C9CD-44C4-8B87-C4FD44D2CB87}" name="Source" totalsRowLabel="GHGEI-MIAFF" dataDxfId="301" totalsRowDxfId="300" dataCellStyle="Content normal"/>
  </tableColumns>
  <tableStyleInfo name="Equation table" showFirstColumn="0" showLastColumn="0" showRowStripes="1" showColumnStripes="0"/>
</table>
</file>

<file path=xl/tables/table5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7" xr:uid="{42C2F10B-72FA-4294-A3D7-807106BE41D2}" name="Table_SourceData_Scope3_InorganicFertiliser" displayName="Table_SourceData_Scope3_InorganicFertiliser" ref="D173:N198" totalsRowShown="0">
  <autoFilter ref="D173:N198" xr:uid="{0DD1C989-E9CA-4596-81C6-3E0390BF715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99CF9970-2D8A-4EF5-B73E-8506187FE12C}" name="Category">
      <calculatedColumnFormula array="1">Common_InputFunctions.Utility_DisplayArrayInTable(Scope3_SourceData.Scope3_InorganicFertilisers_Data(), Table_SourceData_Scope3_InorganicFertiliser[[#Headers],[Category]], 0, 2)</calculatedColumnFormula>
    </tableColumn>
    <tableColumn id="2" xr3:uid="{6249833A-D3D3-4A4B-B226-8FDBD6EA1487}" name="Product">
      <calculatedColumnFormula array="1">Common_InputFunctions.Utility_DisplayArrayInTable(Scope3_SourceData.Scope3_InorganicFertilisers_Data(), Table_SourceData_Scope3_InorganicFertiliser[[#Headers],[Category]], 0, 2)</calculatedColumnFormula>
    </tableColumn>
    <tableColumn id="3" xr3:uid="{01487A56-EF30-4E0A-8EE6-779A88949B12}" name="Region of origin">
      <calculatedColumnFormula array="1">Common_InputFunctions.Utility_DisplayArrayInTable(Scope3_SourceData.Scope3_InorganicFertilisers_Data(), Table_SourceData_Scope3_InorganicFertiliser[[#Headers],[Category]], 0, 2)</calculatedColumnFormula>
    </tableColumn>
    <tableColumn id="4" xr3:uid="{EEF0416E-A3B8-464F-94AD-C51DD3FAEA2C}" name="Chemical compound"/>
    <tableColumn id="5" xr3:uid="{0CA59CBF-7031-43D0-A50E-E97BC61EA05A}" name="Urea source"/>
    <tableColumn id="6" xr3:uid="{5FC76638-C2C7-409B-8B47-B68A65B0CE74}" name="Ammonia source"/>
    <tableColumn id="7" xr3:uid="{A40AC104-9A45-4E0D-837E-9D1C9D4EDCB0}" name="Quantity"/>
    <tableColumn id="8" xr3:uid="{2F31D939-E769-4B79-A767-56933F348F87}" name="Quantity Unit">
      <calculatedColumnFormula array="1">Common_InputFunctions.Utility_DisplayArrayInTable(Scope3_SourceData.Scope3_InorganicFertilisers_Data(), Table_SourceData_Scope3_InorganicFertiliser[[#Headers],[Category]], 0, -2)</calculatedColumnFormula>
    </tableColumn>
    <tableColumn id="9" xr3:uid="{CB93FB45-1D05-49DA-999F-108AF5B22D24}" name="Emissions intensity">
      <calculatedColumnFormula array="1">Common_InputFunctions.Utility_DisplayArrayInTable(Scope3_SourceData.Scope3_InorganicFertilisers_Data(), Table_SourceData_Scope3_InorganicFertiliser[[#Headers],[Category]], 0, -2)</calculatedColumnFormula>
    </tableColumn>
    <tableColumn id="10" xr3:uid="{463E65C1-D317-4779-8880-C2EF2249FE43}" name="System boundary" dataDxfId="299" dataCellStyle="Content normal">
      <calculatedColumnFormula array="1">Common_InputFunctions.Utility_DisplayArrayInTable(Scope3_SourceData.Scope3_InorganicFertilisers_Data(), Table_SourceData_Scope3_InorganicFertiliser[[#Headers],[Category]], 0, -2)</calculatedColumnFormula>
    </tableColumn>
    <tableColumn id="11" xr3:uid="{0370485A-16A9-41A5-B084-D548CED16740}" name="Source" dataDxfId="298" dataCellStyle="Content normal"/>
  </tableColumns>
  <tableStyleInfo name="Equation table" showFirstColumn="0" showLastColumn="0" showRowStripes="1" showColumnStripes="0"/>
</table>
</file>

<file path=xl/tables/table5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8" xr:uid="{18C5FC97-8D88-497B-98FA-E7B6CECF38B1}" name="Table_SourceData_Scope3_Other" displayName="Table_SourceData_Scope3_Other" ref="D201:J209" totalsRowShown="0" dataDxfId="297" dataCellStyle="Content normal">
  <autoFilter ref="D201:J209" xr:uid="{C703DCE8-2DA9-4607-8111-1323D636A81C}">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DEE3464-9688-4B04-A902-694CC320ECC9}" name="Category" dataDxfId="296" dataCellStyle="Content normal">
      <calculatedColumnFormula array="1">Common_InputFunctions.Utility_DisplayArrayInTable(Scope3_SourceData.Scope3_Other_Data(), Table_SourceData_Scope3_Other[[#Headers],[Category]], 0, 2)</calculatedColumnFormula>
    </tableColumn>
    <tableColumn id="2" xr3:uid="{0F0C7B4C-5204-4F2D-9C51-E3736F355940}" name="Product" dataDxfId="295" dataCellStyle="Content normal">
      <calculatedColumnFormula array="1">Common_InputFunctions.Utility_DisplayArrayInTable(Scope3_SourceData.Scope3_Other_Data(), Table_SourceData_Scope3_Other[[#Headers],[Category]], 0, 2)</calculatedColumnFormula>
    </tableColumn>
    <tableColumn id="3" xr3:uid="{2E409E29-CD49-4FE5-A851-E0287AAF3B5D}" name="Region of origin" dataDxfId="294" dataCellStyle="Content normal">
      <calculatedColumnFormula array="1">Common_InputFunctions.Utility_DisplayArrayInTable(Scope3_SourceData.Scope3_Other_Data(), Table_SourceData_Scope3_Other[[#Headers],[Category]], 0, 2)</calculatedColumnFormula>
    </tableColumn>
    <tableColumn id="8" xr3:uid="{A871D26F-2854-4D9C-AC34-F176EFD7FB07}" name="Quantity Unit" dataDxfId="293" dataCellStyle="Content normal">
      <calculatedColumnFormula array="1">Common_InputFunctions.Utility_DisplayArrayInTable(Scope3_SourceData.Scope3_Other_Data(), Table_SourceData_Scope3_Other[[#Headers],[Category]], 0, 2)</calculatedColumnFormula>
    </tableColumn>
    <tableColumn id="9" xr3:uid="{5BA4AE25-313D-4119-B235-BABFA8CF4A1F}" name="Emissions intensity" dataDxfId="292" dataCellStyle="Content normal">
      <calculatedColumnFormula array="1">Common_InputFunctions.Utility_DisplayArrayInTable(Scope3_SourceData.Scope3_Other_Data(), Table_SourceData_Scope3_Other[[#Headers],[Category]], 0, 2)</calculatedColumnFormula>
    </tableColumn>
    <tableColumn id="10" xr3:uid="{51C0E686-97B2-4EED-B1DE-6E96922BAB8D}" name="System boundary" dataDxfId="291" dataCellStyle="Content normal">
      <calculatedColumnFormula array="1">Common_InputFunctions.Utility_DisplayArrayInTable(Scope3_SourceData.Scope3_Other_Data(), Table_SourceData_Scope3_Other[[#Headers],[Category]], 0, 2)</calculatedColumnFormula>
    </tableColumn>
    <tableColumn id="4" xr3:uid="{E1C8C8E0-7C43-426E-B641-033F4B033EAA}" name="Source" dataDxfId="290" dataCellStyle="Content normal"/>
  </tableColumns>
  <tableStyleInfo name="Equation table" showFirstColumn="0" showLastColumn="0" showRowStripes="1" showColumnStripes="0"/>
</table>
</file>

<file path=xl/tables/table5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9" xr:uid="{B8F20E3D-25CE-419E-B1A6-7D518BFEC500}" name="Table_SourceData_Scope3_Packaging" displayName="Table_SourceData_Scope3_Packaging" ref="D212:J216" totalsRowShown="0" dataDxfId="289" dataCellStyle="Content normal">
  <autoFilter ref="D212:J216" xr:uid="{B95A04D9-DAAA-402E-80F2-94850F70AD8D}">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AC4C325-3B53-471C-AEA5-60F865C13FFE}" name="Category" dataDxfId="288" dataCellStyle="Content normal">
      <calculatedColumnFormula array="1">Common_InputFunctions.Utility_DisplayArrayInTable(Scope3_SourceData.Scope3_Packaging_Data(), Table_SourceData_Scope3_Packaging[[#Headers],[Category]], 0, 2)</calculatedColumnFormula>
    </tableColumn>
    <tableColumn id="2" xr3:uid="{4D9976B1-40CB-4810-B2C0-D35350C447EF}" name="Product" dataDxfId="287" dataCellStyle="Content normal">
      <calculatedColumnFormula array="1">Common_InputFunctions.Utility_DisplayArrayInTable(Scope3_SourceData.Scope3_Packaging_Data(), Table_SourceData_Scope3_Packaging[[#Headers],[Category]], 0, 2)</calculatedColumnFormula>
    </tableColumn>
    <tableColumn id="3" xr3:uid="{8F1CC0DF-2307-4FF3-8306-59ECC567DDED}" name="Region of origin" dataDxfId="286" dataCellStyle="Content normal">
      <calculatedColumnFormula array="1">Common_InputFunctions.Utility_DisplayArrayInTable(Scope3_SourceData.Scope3_Packaging_Data(), Table_SourceData_Scope3_Packaging[[#Headers],[Category]], 0, 2)</calculatedColumnFormula>
    </tableColumn>
    <tableColumn id="8" xr3:uid="{E7C7F558-67A1-459F-A288-167B0A8A3F2B}" name="Quantity Unit" dataDxfId="285" dataCellStyle="Content normal">
      <calculatedColumnFormula array="1">Common_InputFunctions.Utility_DisplayArrayInTable(Scope3_SourceData.Scope3_Packaging_Data(), Table_SourceData_Scope3_Packaging[[#Headers],[Category]], 0, 2)</calculatedColumnFormula>
    </tableColumn>
    <tableColumn id="9" xr3:uid="{47E67E49-753E-423B-A20B-EAB2A55478CA}" name="Emissions intensity" dataDxfId="284" dataCellStyle="Content normal">
      <calculatedColumnFormula array="1">Common_InputFunctions.Utility_DisplayArrayInTable(Scope3_SourceData.Scope3_Packaging_Data(), Table_SourceData_Scope3_Packaging[[#Headers],[Category]], 0, 2)</calculatedColumnFormula>
    </tableColumn>
    <tableColumn id="10" xr3:uid="{15803DF8-0D75-496A-891D-F193F6709858}" name="System boundary" dataDxfId="283" dataCellStyle="Content normal">
      <calculatedColumnFormula array="1">Common_InputFunctions.Utility_DisplayArrayInTable(Scope3_SourceData.Scope3_Packaging_Data(), Table_SourceData_Scope3_Packaging[[#Headers],[Category]], 0, 2)</calculatedColumnFormula>
    </tableColumn>
    <tableColumn id="4" xr3:uid="{B3327803-80EC-405A-8A78-A6950FA3C338}" name="Source" dataDxfId="282" dataCellStyle="Content normal"/>
  </tableColumns>
  <tableStyleInfo name="Equation table" showFirstColumn="0" showLastColumn="0" showRowStripes="1" showColumnStripes="0"/>
</table>
</file>

<file path=xl/tables/table6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0" xr:uid="{1A5AF329-8E3A-40F9-AA1C-355195D27DCF}" name="Table_SourceData_Scope3_Pesticides" displayName="Table_SourceData_Scope3_Pesticides" ref="D219:J231" totalsRowShown="0" dataDxfId="281" dataCellStyle="Content normal">
  <autoFilter ref="D219:J231" xr:uid="{C77460DE-4B5B-491B-885F-B6A288A52BB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CFEA897C-71B1-4C00-B730-AC65D95D3D67}" name="Category" dataDxfId="280" dataCellStyle="Content normal">
      <calculatedColumnFormula array="1">Common_InputFunctions.Utility_DisplayArrayInTable(Scope3_SourceData.Scope3_Pesticides_Data(), Table_SourceData_Scope3_Pesticides[[#Headers],[Category]], 0, 2)</calculatedColumnFormula>
    </tableColumn>
    <tableColumn id="2" xr3:uid="{387766E7-88C9-4640-96AC-1ABD3080CBC7}" name="Product" dataDxfId="279" dataCellStyle="Content normal">
      <calculatedColumnFormula array="1">Common_InputFunctions.Utility_DisplayArrayInTable(Scope3_SourceData.Scope3_Pesticides_Data(), Table_SourceData_Scope3_Pesticides[[#Headers],[Category]], 0, 2)</calculatedColumnFormula>
    </tableColumn>
    <tableColumn id="3" xr3:uid="{AE442266-1AC0-408D-A95B-E8B93F471077}" name="Region of origin" dataDxfId="278" dataCellStyle="Content normal">
      <calculatedColumnFormula array="1">Common_InputFunctions.Utility_DisplayArrayInTable(Scope3_SourceData.Scope3_Pesticides_Data(), Table_SourceData_Scope3_Pesticides[[#Headers],[Category]], 0, 2)</calculatedColumnFormula>
    </tableColumn>
    <tableColumn id="8" xr3:uid="{AA2B567F-C971-49E7-AC85-4D1623EBCFFA}" name="Quantity Unit" dataDxfId="277" dataCellStyle="Content normal">
      <calculatedColumnFormula array="1">Common_InputFunctions.Utility_DisplayArrayInTable(Scope3_SourceData.Scope3_Pesticides_Data(), Table_SourceData_Scope3_Pesticides[[#Headers],[Category]], 0, 2)</calculatedColumnFormula>
    </tableColumn>
    <tableColumn id="9" xr3:uid="{7C04DC67-63D2-47F8-A5E7-BA237F116735}" name="Emissions intensity" dataDxfId="276" dataCellStyle="Content normal">
      <calculatedColumnFormula array="1">Common_InputFunctions.Utility_DisplayArrayInTable(Scope3_SourceData.Scope3_Pesticides_Data(), Table_SourceData_Scope3_Pesticides[[#Headers],[Category]], 0, 2)</calculatedColumnFormula>
    </tableColumn>
    <tableColumn id="10" xr3:uid="{B2ADD9E7-2461-46A9-AA3B-23B5DA462500}" name="System boundary" dataDxfId="275" dataCellStyle="Content normal">
      <calculatedColumnFormula array="1">Common_InputFunctions.Utility_DisplayArrayInTable(Scope3_SourceData.Scope3_Pesticides_Data(), Table_SourceData_Scope3_Pesticides[[#Headers],[Category]], 0, 2)</calculatedColumnFormula>
    </tableColumn>
    <tableColumn id="4" xr3:uid="{982BBF7A-BA53-48EF-8DC9-7C98DCE20370}" name="Source" dataDxfId="274" dataCellStyle="Content normal"/>
  </tableColumns>
  <tableStyleInfo name="Equation table" showFirstColumn="0" showLastColumn="0" showRowStripes="1" showColumnStripes="0"/>
</table>
</file>

<file path=xl/tables/table6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1" xr:uid="{AB21C928-78CA-413A-8718-16A16BAF9AAB}" name="Table_SourceData_Scope3_SoilAmeliorants" displayName="Table_SourceData_Scope3_SoilAmeliorants" ref="D234:J237" totalsRowShown="0" dataDxfId="273" dataCellStyle="Content normal">
  <autoFilter ref="D234:J237" xr:uid="{E06B8FD7-21E4-417D-AAFE-EA3785475B0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0E438980-DDE1-4D3E-9A51-EE0AF7B9BECE}" name="Category" dataDxfId="272" dataCellStyle="Content normal">
      <calculatedColumnFormula array="1">Common_InputFunctions.Utility_DisplayArrayInTable(Scope3_SourceData.Scope3_SoilAmendments_Data(), Table_SourceData_Scope3_SoilAmeliorants[[#Headers],[Category]], 0, 2)</calculatedColumnFormula>
    </tableColumn>
    <tableColumn id="2" xr3:uid="{A9ADD3DB-10C5-4CAA-BA59-1914DD29020A}" name="Product" dataDxfId="271" dataCellStyle="Content normal">
      <calculatedColumnFormula array="1">Common_InputFunctions.Utility_DisplayArrayInTable(Scope3_SourceData.Scope3_SoilAmendments_Data(), Table_SourceData_Scope3_SoilAmeliorants[[#Headers],[Category]], 0, 2)</calculatedColumnFormula>
    </tableColumn>
    <tableColumn id="3" xr3:uid="{B891DEE4-E759-48D6-AD5D-37DD84710988}" name="Region of origin" dataDxfId="270" dataCellStyle="Content normal">
      <calculatedColumnFormula array="1">Common_InputFunctions.Utility_DisplayArrayInTable(Scope3_SourceData.Scope3_SoilAmendments_Data(), Table_SourceData_Scope3_SoilAmeliorants[[#Headers],[Category]], 0, 2)</calculatedColumnFormula>
    </tableColumn>
    <tableColumn id="8" xr3:uid="{F6C83A14-5ADB-4FE9-97CC-D0A1B4D394DA}" name="Quantity Unit" dataDxfId="269" dataCellStyle="Content normal">
      <calculatedColumnFormula array="1">Common_InputFunctions.Utility_DisplayArrayInTable(Scope3_SourceData.Scope3_SoilAmendments_Data(), Table_SourceData_Scope3_SoilAmeliorants[[#Headers],[Category]], 0, 2)</calculatedColumnFormula>
    </tableColumn>
    <tableColumn id="9" xr3:uid="{0674F694-18F0-4D73-AA7F-38C31EF4247C}" name="Emissions intensity" dataDxfId="268" dataCellStyle="Content normal">
      <calculatedColumnFormula array="1">Common_InputFunctions.Utility_DisplayArrayInTable(Scope3_SourceData.Scope3_SoilAmendments_Data(), Table_SourceData_Scope3_SoilAmeliorants[[#Headers],[Category]], 0, 2)</calculatedColumnFormula>
    </tableColumn>
    <tableColumn id="10" xr3:uid="{51FCB251-6C78-437F-AEEE-BF6D4F5AA9B6}" name="System boundary" dataDxfId="267" dataCellStyle="Content normal">
      <calculatedColumnFormula array="1">Common_InputFunctions.Utility_DisplayArrayInTable(Scope3_SourceData.Scope3_SoilAmendments_Data(), Table_SourceData_Scope3_SoilAmeliorants[[#Headers],[Category]], 0, 2)</calculatedColumnFormula>
    </tableColumn>
    <tableColumn id="4" xr3:uid="{72ACCB4E-9962-4E9F-8866-7DF1B0A674C4}" name="Source" dataDxfId="266" dataCellStyle="Content normal"/>
  </tableColumns>
  <tableStyleInfo name="Equation table" showFirstColumn="0" showLastColumn="0" showRowStripes="1" showColumnStripes="0"/>
</table>
</file>

<file path=xl/tables/table6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2" xr:uid="{F6365146-D633-4325-9E47-D55515C553F5}" name="Table_SourceData_Scope3_ChemicalsPharmacy" displayName="Table_SourceData_Scope3_ChemicalsPharmacy" ref="D82:J86" totalsRowShown="0" dataDxfId="265" dataCellStyle="Content normal">
  <autoFilter ref="D82:J86" xr:uid="{C4160DCA-2AAF-4965-B3AD-B53F778A649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78E35FF-6840-4691-9D1C-F3AB404C2165}" name="Category" dataDxfId="264" dataCellStyle="Content normal">
      <calculatedColumnFormula array="1">Common_InputFunctions.Utility_DisplayArrayInTable(Scope3_SourceData.Scope3_Chemicals_Data(), Table_SourceData_Scope3_ChemicalsPharmacy[[#Headers],[Category]], -3, 2)</calculatedColumnFormula>
    </tableColumn>
    <tableColumn id="2" xr3:uid="{F760E31D-D32E-40B4-ADA8-BEBA0211CCDF}" name="Product" dataDxfId="263" dataCellStyle="Content normal">
      <calculatedColumnFormula array="1">Common_InputFunctions.Utility_DisplayArrayInTable(Scope3_SourceData.Scope3_Chemicals_Data(), Table_SourceData_Scope3_ChemicalsPharmacy[[#Headers],[Category]], -3, 2)</calculatedColumnFormula>
    </tableColumn>
    <tableColumn id="3" xr3:uid="{1A0F0905-9C8B-46CE-BAA7-E342EEC7BE72}" name="Region of origin" dataDxfId="262" dataCellStyle="Content normal">
      <calculatedColumnFormula array="1">Common_InputFunctions.Utility_DisplayArrayInTable(Scope3_SourceData.Scope3_Chemicals_Data(), Table_SourceData_Scope3_ChemicalsPharmacy[[#Headers],[Category]], -3, 2)</calculatedColumnFormula>
    </tableColumn>
    <tableColumn id="8" xr3:uid="{6232C8C4-D11E-4A67-8A84-1579FA0035FA}" name="Quantity Unit" dataDxfId="261" dataCellStyle="Content normal">
      <calculatedColumnFormula array="1">Common_InputFunctions.Utility_DisplayArrayInTable(Scope3_SourceData.Scope3_Chemicals_Data(), Table_SourceData_Scope3_ChemicalsPharmacy[[#Headers],[Category]], -3, 2)</calculatedColumnFormula>
    </tableColumn>
    <tableColumn id="9" xr3:uid="{2DFF8FA4-8080-40EF-AB3C-9D8ECA1CDDB7}" name="Emissions intensity" dataDxfId="260" dataCellStyle="Content normal">
      <calculatedColumnFormula array="1">Common_InputFunctions.Utility_DisplayArrayInTable(Scope3_SourceData.Scope3_Chemicals_Data(), Table_SourceData_Scope3_ChemicalsPharmacy[[#Headers],[Category]], -3, 2)</calculatedColumnFormula>
    </tableColumn>
    <tableColumn id="10" xr3:uid="{D4BDEAFC-D23F-445F-B87E-D80DA7424542}" name="System boundary" dataDxfId="259" dataCellStyle="Content normal">
      <calculatedColumnFormula array="1">Common_InputFunctions.Utility_DisplayArrayInTable(Scope3_SourceData.Scope3_Chemicals_Data(), Table_SourceData_Scope3_ChemicalsPharmacy[[#Headers],[Category]], -3, 2)</calculatedColumnFormula>
    </tableColumn>
    <tableColumn id="4" xr3:uid="{D9AD22FE-9023-45EA-BDE2-B86B6D5E1B1F}" name="Source" dataDxfId="258" dataCellStyle="Content normal"/>
  </tableColumns>
  <tableStyleInfo name="Equation table" showFirstColumn="0" showLastColumn="0" showRowStripes="1" showColumnStripes="0"/>
</table>
</file>

<file path=xl/tables/table6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3" xr:uid="{76EE9B6B-CAFB-4CC8-91F3-3F68A38973E0}" name="Table_SourceData_Scope3_LickBlocks" displayName="Table_SourceData_Scope3_LickBlocks" ref="D167:J170" totalsRowShown="0" headerRowDxfId="257" headerRowCellStyle="Content normal">
  <autoFilter ref="D167:J170" xr:uid="{606CCDDA-2BB2-4AA5-B657-09AAAA73295A}">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23E8F86-2BBB-4C50-8CED-00AC37321F40}" name="Category" dataDxfId="256" dataCellStyle="Content normal">
      <calculatedColumnFormula array="1">Common_InputFunctions.Utility_DisplayArrayInTable(Scope3_SourceData.Scope3_Feed_Data(), Table_SourceData_Scope3_LickBlocks[[#Headers],[Category]], -73, 2)</calculatedColumnFormula>
    </tableColumn>
    <tableColumn id="2" xr3:uid="{F5B0F8B4-36AD-4B7B-9B96-F7DBE0A33EDF}" name="Product" dataDxfId="255" dataCellStyle="Content normal">
      <calculatedColumnFormula array="1">Common_InputFunctions.Utility_DisplayArrayInTable(Scope3_SourceData.Scope3_Feed_Data(), Table_SourceData_Scope3_LickBlocks[[#Headers],[Category]], -73, 2)</calculatedColumnFormula>
    </tableColumn>
    <tableColumn id="3" xr3:uid="{94B746AF-5D50-4562-8FF3-2B4E5FEF039D}" name="Region of origin" dataDxfId="254" dataCellStyle="Content normal">
      <calculatedColumnFormula array="1">Common_InputFunctions.Utility_DisplayArrayInTable(Scope3_SourceData.Scope3_Feed_Data(), Table_SourceData_Scope3_LickBlocks[[#Headers],[Category]], -73, 2)</calculatedColumnFormula>
    </tableColumn>
    <tableColumn id="4" xr3:uid="{6E97A621-D020-4838-B1D8-26CE61151DDC}" name="Quantity Unit" dataDxfId="253" dataCellStyle="Content normal">
      <calculatedColumnFormula array="1">Common_InputFunctions.Utility_DisplayArrayInTable(Scope3_SourceData.Scope3_Feed_Data(), Table_SourceData_Scope3_LickBlocks[[#Headers],[Category]], -73, 2)</calculatedColumnFormula>
    </tableColumn>
    <tableColumn id="5" xr3:uid="{BDE53D95-A3A9-41F7-8D95-39601AE4294C}" name="Emissions intensity" dataDxfId="252" dataCellStyle="Content normal">
      <calculatedColumnFormula array="1">Common_InputFunctions.Utility_DisplayArrayInTable(Scope3_SourceData.Scope3_Feed_Data(), Table_SourceData_Scope3_LickBlocks[[#Headers],[Category]], -73, 2)</calculatedColumnFormula>
    </tableColumn>
    <tableColumn id="6" xr3:uid="{27FC07B6-9A2B-4FB6-8949-01C4072B7A7B}" name="System boundary" dataDxfId="251" dataCellStyle="Content normal">
      <calculatedColumnFormula array="1">Common_InputFunctions.Utility_DisplayArrayInTable(Scope3_SourceData.Scope3_Feed_Data(), Table_SourceData_Scope3_LickBlocks[[#Headers],[Category]], -73, 2)</calculatedColumnFormula>
    </tableColumn>
    <tableColumn id="7" xr3:uid="{927D3127-B384-48AA-ABFF-0153CA59B424}" name="Source" dataDxfId="250" dataCellStyle="Content normal"/>
  </tableColumns>
  <tableStyleInfo name="Equation table" showFirstColumn="0" showLastColumn="0" showRowStripes="1" showColumnStripes="0"/>
</table>
</file>

<file path=xl/tables/table6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4" xr:uid="{3F8CC99A-D96C-463B-91E9-2C688A7AB29F}" name="Table_SourceData_Scope3_MixedRations" displayName="Table_SourceData_Scope3_MixedRations" ref="D161:J165" totalsRowShown="0" headerRowDxfId="249" headerRowCellStyle="Content normal">
  <autoFilter ref="D161:J165" xr:uid="{1D958255-6879-4BEB-9F61-8AFE685165B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A337F8AC-ECBC-43E9-A765-28EC3CBF06EF}" name="Category" dataDxfId="248" dataCellStyle="Content normal">
      <calculatedColumnFormula array="1">Common_InputFunctions.Utility_DisplayArrayInTable(Scope3_SourceData.Scope3_Feed_Data(), Table_SourceData_Scope3_MixedRations[[#Headers],[Category]], -66, 2)</calculatedColumnFormula>
    </tableColumn>
    <tableColumn id="2" xr3:uid="{169DE915-AF41-4512-AE25-28132606C438}" name="Product" dataDxfId="247" dataCellStyle="Content normal">
      <calculatedColumnFormula array="1">Common_InputFunctions.Utility_DisplayArrayInTable(Scope3_SourceData.Scope3_Feed_Data(), Table_SourceData_Scope3_MixedRations[[#Headers],[Category]], -66, 2)</calculatedColumnFormula>
    </tableColumn>
    <tableColumn id="3" xr3:uid="{2668C896-65AB-4856-B997-5106D2895980}" name="Region of origin" dataDxfId="246" dataCellStyle="Content normal">
      <calculatedColumnFormula array="1">Common_InputFunctions.Utility_DisplayArrayInTable(Scope3_SourceData.Scope3_Feed_Data(), Table_SourceData_Scope3_MixedRations[[#Headers],[Category]], -66, 2)</calculatedColumnFormula>
    </tableColumn>
    <tableColumn id="4" xr3:uid="{0F71F5F1-25C4-4103-BEA4-F3657B2FC9E5}" name="Quantity Unit" dataDxfId="245" dataCellStyle="Content normal">
      <calculatedColumnFormula array="1">Common_InputFunctions.Utility_DisplayArrayInTable(Scope3_SourceData.Scope3_Feed_Data(), Table_SourceData_Scope3_MixedRations[[#Headers],[Category]], -66, 2)</calculatedColumnFormula>
    </tableColumn>
    <tableColumn id="5" xr3:uid="{4A3B401A-D789-4165-B1EB-47EC7306B742}" name="Emissions intensity" dataDxfId="244" dataCellStyle="Content normal">
      <calculatedColumnFormula array="1">Common_InputFunctions.Utility_DisplayArrayInTable(Scope3_SourceData.Scope3_Feed_Data(), Table_SourceData_Scope3_MixedRations[[#Headers],[Category]], -66, 2)</calculatedColumnFormula>
    </tableColumn>
    <tableColumn id="6" xr3:uid="{1C8532E9-D86E-41D6-9E1D-4643931874DA}" name="System boundary" dataDxfId="243" dataCellStyle="Content normal">
      <calculatedColumnFormula array="1">Common_InputFunctions.Utility_DisplayArrayInTable(Scope3_SourceData.Scope3_Feed_Data(), Table_SourceData_Scope3_MixedRations[[#Headers],[Category]], -66, 2)</calculatedColumnFormula>
    </tableColumn>
    <tableColumn id="7" xr3:uid="{2651A609-697B-4354-848E-795AE58C17FA}" name="Source" dataDxfId="242" dataCellStyle="Content normal"/>
  </tableColumns>
  <tableStyleInfo name="Equation table" showFirstColumn="0" showLastColumn="0" showRowStripes="1" showColumnStripes="0"/>
</table>
</file>

<file path=xl/tables/table6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5" xr:uid="{74DEF0BE-13DA-4CB1-ABC2-FF3C12AF307E}" name="Table_ProductRegions_Sardineswhole" displayName="Table_ProductRegions_Sardineswhole" ref="L241:M243" totalsRowShown="0">
  <autoFilter ref="L241:M243" xr:uid="{CE347908-ACBC-4A97-A54B-325F495C7F74}">
    <filterColumn colId="0" hiddenButton="1"/>
    <filterColumn colId="1" hiddenButton="1"/>
  </autoFilter>
  <tableColumns count="2">
    <tableColumn id="1" xr3:uid="{BDBC371D-58C8-4DD4-BB68-84D15F10A447}" name="Product">
      <calculatedColumnFormula>Table_SourceData_Scope3_FishFeedAndBait[[#This Row],[Product]]</calculatedColumnFormula>
    </tableColumn>
    <tableColumn id="2" xr3:uid="{A112212E-540B-4888-B697-F7FF48DA9761}" name="Region">
      <calculatedColumnFormula>Table_SourceData_Scope3_FishFeedAndBait[[#This Row],[Region of origin]]</calculatedColumnFormula>
    </tableColumn>
  </tableColumns>
  <tableStyleInfo name="Equation table" showFirstColumn="0" showLastColumn="0" showRowStripes="1" showColumnStripes="0"/>
</table>
</file>

<file path=xl/tables/table6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6" xr:uid="{33EEAD82-C088-49B3-8719-E802404B8E14}" name="Table_ProductRegions_Barleygrain" displayName="Table_ProductRegions_Barleygrain" ref="O89:P97" totalsRowShown="0">
  <autoFilter ref="O89:P97" xr:uid="{4CC6C9C2-1CED-45A7-AB1B-72FD8DBB4178}">
    <filterColumn colId="0" hiddenButton="1"/>
    <filterColumn colId="1" hiddenButton="1"/>
  </autoFilter>
  <tableColumns count="2">
    <tableColumn id="1" xr3:uid="{42DE1109-D779-4E68-9F23-1E1E1C2E60D0}" name="Product">
      <calculatedColumnFormula>Table_SourceData_Scope3_Feed[[#This Row],[Product]]</calculatedColumnFormula>
    </tableColumn>
    <tableColumn id="2" xr3:uid="{04FF16F1-B2E1-49E6-8CF8-8B53920ED54D}" name="Region">
      <calculatedColumnFormula>Table_SourceData_Scope3_Feed[[#This Row],[Region of origin]]</calculatedColumnFormula>
    </tableColumn>
  </tableColumns>
  <tableStyleInfo name="Equation table" showFirstColumn="0" showLastColumn="0" showRowStripes="1" showColumnStripes="0"/>
</table>
</file>

<file path=xl/tables/table6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41FA9D12-FE9C-4CA8-B818-627539F4A241}" name="Table_ProductRegions_Maizegrain" displayName="Table_ProductRegions_Maizegrain" ref="L97:M104" totalsRowShown="0" headerRowDxfId="241" headerRowCellStyle="Content normal">
  <autoFilter ref="L97:M104" xr:uid="{70F320A7-5DBE-4A83-91E4-C9B3BDA564BD}">
    <filterColumn colId="0" hiddenButton="1"/>
    <filterColumn colId="1" hiddenButton="1"/>
  </autoFilter>
  <tableColumns count="2">
    <tableColumn id="1" xr3:uid="{D14F2A58-2CA9-4C32-AF60-F5D7ADF9562C}" name="Product">
      <calculatedColumnFormula>Table_SourceData_Scope3_Feed[[#This Row],[Product]]</calculatedColumnFormula>
    </tableColumn>
    <tableColumn id="2" xr3:uid="{31F67E0E-9B70-4AAB-8484-87E451E81891}" name="Region">
      <calculatedColumnFormula>Table_SourceData_Scope3_Feed[[#This Row],[Region of origin]]</calculatedColumnFormula>
    </tableColumn>
  </tableColumns>
  <tableStyleInfo name="Equation table" showFirstColumn="0" showLastColumn="0" showRowStripes="1" showColumnStripes="0"/>
</table>
</file>

<file path=xl/tables/table6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1CB1288B-1C73-429A-B31F-4982D801A1F2}" name="Table_ProductRegions_Sorghumgrain" displayName="Table_ProductRegions_Sorghumgrain" ref="O104:P109" totalsRowShown="0" headerRowDxfId="240" headerRowCellStyle="Content normal">
  <autoFilter ref="O104:P109" xr:uid="{90205417-8A77-41A3-A4E2-624BD92B7269}">
    <filterColumn colId="0" hiddenButton="1"/>
    <filterColumn colId="1" hiddenButton="1"/>
  </autoFilter>
  <tableColumns count="2">
    <tableColumn id="1" xr3:uid="{A83C38C2-BD91-4946-A4AD-A888016D3742}" name="Product">
      <calculatedColumnFormula>Table_SourceData_Scope3_Feed[[#This Row],[Product]]</calculatedColumnFormula>
    </tableColumn>
    <tableColumn id="2" xr3:uid="{A9EC3271-D652-4C3A-8A00-C8D0E21DCB23}" name="Region">
      <calculatedColumnFormula>Table_SourceData_Scope3_Feed[[#This Row],[Region of origin]]</calculatedColumnFormula>
    </tableColumn>
  </tableColumns>
  <tableStyleInfo name="Equation table" showFirstColumn="0" showLastColumn="0" showRowStripes="1" showColumnStripes="0"/>
</table>
</file>

<file path=xl/tables/table6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9" xr:uid="{2A53D6B8-5EAA-4995-BA0E-30CAFCC23901}" name="Table_ProductRegions_Wheatgrain" displayName="Table_ProductRegions_Wheatgrain" ref="L109:M117" totalsRowShown="0" headerRowDxfId="239" headerRowCellStyle="Content normal">
  <autoFilter ref="L109:M117" xr:uid="{9DD7D3AD-59A1-48FC-B80D-99C25A2A79F5}">
    <filterColumn colId="0" hiddenButton="1"/>
    <filterColumn colId="1" hiddenButton="1"/>
  </autoFilter>
  <tableColumns count="2">
    <tableColumn id="1" xr3:uid="{1066505C-4C0A-4BD9-8901-0B0302A7DDB0}" name="Product">
      <calculatedColumnFormula>Table_SourceData_Scope3_Feed[[#This Row],[Product]]</calculatedColumnFormula>
    </tableColumn>
    <tableColumn id="2" xr3:uid="{D1B22B99-E05E-4FB7-B48B-F216093C4C25}" name="Region">
      <calculatedColumnFormula>Table_SourceData_Scope3_Feed[[#This Row],[Region of origin]]</calculatedColumnFormula>
    </tableColumn>
  </tableColumns>
  <tableStyleInfo name="Equation table" showFirstColumn="0" showLastColumn="0" showRowStripes="1" showColumnStripes="0"/>
</table>
</file>

<file path=xl/tables/table7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0" xr:uid="{B213210D-E73E-44F1-8C96-BDB237EED87C}" name="Table_ProductRegions_Cerealhay" displayName="Table_ProductRegions_Cerealhay" ref="O117:P124" totalsRowShown="0">
  <autoFilter ref="O117:P124" xr:uid="{245CC575-8EB6-4B35-B4B5-B1CE9D9C39F8}">
    <filterColumn colId="0" hiddenButton="1"/>
    <filterColumn colId="1" hiddenButton="1"/>
  </autoFilter>
  <tableColumns count="2">
    <tableColumn id="1" xr3:uid="{5D4BDE4D-7B45-44B7-A009-D16BC6FD68B3}" name="Product">
      <calculatedColumnFormula>Table_SourceData_Scope3_Feed[[#This Row],[Product]]</calculatedColumnFormula>
    </tableColumn>
    <tableColumn id="2" xr3:uid="{F4E72289-3FA0-4C67-B1C8-B4A404C809F2}" name="Region">
      <calculatedColumnFormula>Table_SourceData_Scope3_Feed[[#This Row],[Region of origin]]</calculatedColumnFormula>
    </tableColumn>
  </tableColumns>
  <tableStyleInfo name="Equation table" showFirstColumn="0" showLastColumn="0" showRowStripes="1" showColumnStripes="0"/>
</table>
</file>

<file path=xl/tables/table7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1" xr:uid="{8E7536A2-1EB6-4103-BF60-B5F51BD0AAE1}" name="Table_ProductRegions_Cerealsilage" displayName="Table_ProductRegions_Cerealsilage" ref="L124:M130" totalsRowShown="0">
  <autoFilter ref="L124:M130" xr:uid="{FD45B7F5-0F1B-474D-A048-21B8C1E86239}">
    <filterColumn colId="0" hiddenButton="1"/>
    <filterColumn colId="1" hiddenButton="1"/>
  </autoFilter>
  <tableColumns count="2">
    <tableColumn id="1" xr3:uid="{5F67DC41-D7EF-40DD-920E-E982A45292F5}" name="Product">
      <calculatedColumnFormula>Table_SourceData_Scope3_Feed[[#This Row],[Product]]</calculatedColumnFormula>
    </tableColumn>
    <tableColumn id="2" xr3:uid="{320CF58E-35CA-4ED7-9697-B8C3E1F98C53}" name="Region">
      <calculatedColumnFormula>Table_SourceData_Scope3_Feed[[#This Row],[Region of origin]]</calculatedColumnFormula>
    </tableColumn>
  </tableColumns>
  <tableStyleInfo name="Equation table" showFirstColumn="0" showLastColumn="0" showRowStripes="1" showColumnStripes="0"/>
</table>
</file>

<file path=xl/tables/table7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2" xr:uid="{322223F0-5E55-46E9-9230-356545EA72B8}" name="Table_ProductRegions_Lucernehay" displayName="Table_ProductRegions_Lucernehay" ref="O130:P137" totalsRowShown="0">
  <autoFilter ref="O130:P137" xr:uid="{4DF6C49E-FF29-4EC2-AABA-1FE3CF552A22}">
    <filterColumn colId="0" hiddenButton="1"/>
    <filterColumn colId="1" hiddenButton="1"/>
  </autoFilter>
  <tableColumns count="2">
    <tableColumn id="1" xr3:uid="{858DB9EB-7057-499A-B582-1C632305A1F2}" name="Product">
      <calculatedColumnFormula>Table_SourceData_Scope3_Feed[[#This Row],[Product]]</calculatedColumnFormula>
    </tableColumn>
    <tableColumn id="2" xr3:uid="{BD0C37A1-4AD6-4200-B892-708505EC2301}" name="Region">
      <calculatedColumnFormula>Table_SourceData_Scope3_Feed[[#This Row],[Region of origin]]</calculatedColumnFormula>
    </tableColumn>
  </tableColumns>
  <tableStyleInfo name="Equation table" showFirstColumn="0" showLastColumn="0" showRowStripes="1" showColumnStripes="0"/>
</table>
</file>

<file path=xl/tables/table7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3" xr:uid="{7B11FEF8-6FB2-41E6-AF4E-C4611D574693}" name="Table_ProductRegions_Oatenhay" displayName="Table_ProductRegions_Oatenhay" ref="L137:M143" totalsRowShown="0">
  <autoFilter ref="L137:M143" xr:uid="{5CE14642-4488-4D3C-A2B0-48CEF5738148}">
    <filterColumn colId="0" hiddenButton="1"/>
    <filterColumn colId="1" hiddenButton="1"/>
  </autoFilter>
  <tableColumns count="2">
    <tableColumn id="1" xr3:uid="{1DD954D5-8B98-4F0A-9C68-D545D4952764}" name="Product">
      <calculatedColumnFormula>Table_SourceData_Scope3_Feed[[#This Row],[Product]]</calculatedColumnFormula>
    </tableColumn>
    <tableColumn id="2" xr3:uid="{EBD66D1A-A992-422F-AF8F-09A2DFA2C936}" name="Region">
      <calculatedColumnFormula>Table_SourceData_Scope3_Feed[[#This Row],[Region of origin]]</calculatedColumnFormula>
    </tableColumn>
  </tableColumns>
  <tableStyleInfo name="Equation table" showFirstColumn="0" showLastColumn="0" showRowStripes="1" showColumnStripes="0"/>
</table>
</file>

<file path=xl/tables/table7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4" xr:uid="{437F5A21-34BF-450B-B81B-BC8249F557CE}" name="Table_ProductRegions_Pasturehay" displayName="Table_ProductRegions_Pasturehay" ref="O143:P150" totalsRowShown="0">
  <autoFilter ref="O143:P150" xr:uid="{BD72E544-66B7-4CC1-B2C8-F2136AAB32F7}">
    <filterColumn colId="0" hiddenButton="1"/>
    <filterColumn colId="1" hiddenButton="1"/>
  </autoFilter>
  <tableColumns count="2">
    <tableColumn id="1" xr3:uid="{4E71885A-D6E6-42EE-8D92-4C9AC6937280}" name="Product">
      <calculatedColumnFormula>Table_SourceData_Scope3_Feed[[#This Row],[Product]]</calculatedColumnFormula>
    </tableColumn>
    <tableColumn id="2" xr3:uid="{CB7F4F98-C332-45B0-A69F-0531F3C4B6A9}" name="Region">
      <calculatedColumnFormula>Table_SourceData_Scope3_Feed[[#This Row],[Region of origin]]</calculatedColumnFormula>
    </tableColumn>
  </tableColumns>
  <tableStyleInfo name="Equation table" showFirstColumn="0" showLastColumn="0" showRowStripes="1" showColumnStripes="0"/>
</table>
</file>

<file path=xl/tables/table7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5" xr:uid="{9EC58A1B-1013-4245-AE49-D0E4B5BBD76F}" name="Table_ProductRegions_Canolameal" displayName="Table_ProductRegions_Canolameal" ref="L150:M151" totalsRowShown="0" headerRowDxfId="238" headerRowCellStyle="Content normal" dataCellStyle="Content normal">
  <autoFilter ref="L150:M151" xr:uid="{58F78B6F-294E-4D4E-8E3B-BFE4FA85583E}">
    <filterColumn colId="0" hiddenButton="1"/>
    <filterColumn colId="1" hiddenButton="1"/>
  </autoFilter>
  <tableColumns count="2">
    <tableColumn id="1" xr3:uid="{4366DA97-8BC1-45AE-85A3-1A4D39D372BC}" name="Product" dataCellStyle="Content normal">
      <calculatedColumnFormula>Table_SourceData_Scope3_Feed[[#This Row],[Product]]</calculatedColumnFormula>
    </tableColumn>
    <tableColumn id="2" xr3:uid="{BB71C454-278C-4EDB-8C14-FF920CA7E187}" name="Region" dataCellStyle="Content normal">
      <calculatedColumnFormula>Table_SourceData_Scope3_Feed[[#This Row],[Region of origin]]</calculatedColumnFormula>
    </tableColumn>
  </tableColumns>
  <tableStyleInfo name="Equation table" showFirstColumn="0" showLastColumn="0" showRowStripes="1" showColumnStripes="0"/>
</table>
</file>

<file path=xl/tables/table7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6" xr:uid="{9AF5DF6A-6013-4D77-980C-D5CE4F020658}" name="Table_ProductRegions_Meatmeal" displayName="Table_ProductRegions_Meatmeal" ref="O151:P152" totalsRowShown="0">
  <autoFilter ref="O151:P152" xr:uid="{D9ACC97D-5A56-40C9-A49D-02AE70D1528F}">
    <filterColumn colId="0" hiddenButton="1"/>
    <filterColumn colId="1" hiddenButton="1"/>
  </autoFilter>
  <tableColumns count="2">
    <tableColumn id="1" xr3:uid="{6CE41B61-EB3A-4DEB-AC5D-80E7F8B8B40A}" name="Product">
      <calculatedColumnFormula>Table_SourceData_Scope3_Feed[[#This Row],[Product]]</calculatedColumnFormula>
    </tableColumn>
    <tableColumn id="2" xr3:uid="{EE8A6FAA-B9F6-4558-8B44-04F91036F461}" name="Region">
      <calculatedColumnFormula>Table_SourceData_Scope3_Feed[[#This Row],[Region of origin]]</calculatedColumnFormula>
    </tableColumn>
  </tableColumns>
  <tableStyleInfo name="Equation table" showFirstColumn="0" showLastColumn="0" showRowStripes="1" showColumnStripes="0"/>
</table>
</file>

<file path=xl/tables/table7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7" xr:uid="{AD7E9B83-FF5D-4F92-8EB6-B660FB8E2D17}" name="Table_ProductRegions_Soybeanmeal" displayName="Table_ProductRegions_Soybeanmeal" ref="L152:M153" totalsRowShown="0">
  <autoFilter ref="L152:M153" xr:uid="{1C990ACD-1539-48DE-9CB9-7E6ABD45F865}">
    <filterColumn colId="0" hiddenButton="1"/>
    <filterColumn colId="1" hiddenButton="1"/>
  </autoFilter>
  <tableColumns count="2">
    <tableColumn id="1" xr3:uid="{D4A76318-7ED4-459A-925F-9675A648AD5F}" name="Product">
      <calculatedColumnFormula>Table_SourceData_Scope3_Feed[[#This Row],[Product]]</calculatedColumnFormula>
    </tableColumn>
    <tableColumn id="2" xr3:uid="{4F2AC5D4-7B7A-487B-9C92-798E8E0331C2}" name="Region">
      <calculatedColumnFormula>Table_SourceData_Scope3_Feed[[#This Row],[Region of origin]]</calculatedColumnFormula>
    </tableColumn>
  </tableColumns>
  <tableStyleInfo name="Equation table" showFirstColumn="0" showLastColumn="0" showRowStripes="1" showColumnStripes="0"/>
</table>
</file>

<file path=xl/tables/table7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8" xr:uid="{27134EF7-F60F-431F-8F5E-64977B6449C0}" name="Table_ProductRegions_Wheatbran" displayName="Table_ProductRegions_Wheatbran" ref="O153:P154" totalsRowShown="0">
  <autoFilter ref="O153:P154" xr:uid="{27F97D39-363D-44DD-BCB4-6C8D8B6B10B7}">
    <filterColumn colId="0" hiddenButton="1"/>
    <filterColumn colId="1" hiddenButton="1"/>
  </autoFilter>
  <tableColumns count="2">
    <tableColumn id="1" xr3:uid="{585BB8A8-9979-43A1-AD01-D17146A917AD}" name="Product">
      <calculatedColumnFormula>Table_SourceData_Scope3_Feed[[#This Row],[Product]]</calculatedColumnFormula>
    </tableColumn>
    <tableColumn id="2" xr3:uid="{181E6C14-37A6-4BBA-9A65-DA08B4D51653}" name="Region">
      <calculatedColumnFormula>Table_SourceData_Scope3_Feed[[#This Row],[Region of origin]]</calculatedColumnFormula>
    </tableColumn>
  </tableColumns>
  <tableStyleInfo name="Equation table" showFirstColumn="0" showLastColumn="0" showRowStripes="1" showColumnStripes="0"/>
</table>
</file>

<file path=xl/tables/table7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9" xr:uid="{2A55758D-C7AE-4714-B2E5-569D98459E6D}" name="Table_ProductRegions_Bentonite" displayName="Table_ProductRegions_Bentonite" ref="L154:M155" totalsRowShown="0">
  <autoFilter ref="L154:M155" xr:uid="{09E4264E-4E86-40F1-AA3A-76335558A05D}">
    <filterColumn colId="0" hiddenButton="1"/>
    <filterColumn colId="1" hiddenButton="1"/>
  </autoFilter>
  <tableColumns count="2">
    <tableColumn id="1" xr3:uid="{74E823A0-6C3D-457F-A453-A14F0C0893CC}" name="Product">
      <calculatedColumnFormula>Table_SourceData_Scope3_Feed[[#This Row],[Product]]</calculatedColumnFormula>
    </tableColumn>
    <tableColumn id="2" xr3:uid="{DFD2A74A-7B3A-40AC-A7A0-E1BDB16424D7}" name="Region">
      <calculatedColumnFormula>Table_SourceData_Scope3_Feed[[#This Row],[Region of origin]]</calculatedColumnFormula>
    </tableColumn>
  </tableColumns>
  <tableStyleInfo name="Equation table" showFirstColumn="0" showLastColumn="0" showRowStripes="1" showColumnStripes="0"/>
</table>
</file>

<file path=xl/tables/table8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0" xr:uid="{6CB6F6DE-9B45-498B-8680-91BD9E3B5B06}" name="Table_ProductRegions_Canolaoil" displayName="Table_ProductRegions_Canolaoil" ref="O155:P156" totalsRowShown="0">
  <autoFilter ref="O155:P156" xr:uid="{A0E0877F-5B97-438A-89BF-391F139E6C20}">
    <filterColumn colId="0" hiddenButton="1"/>
    <filterColumn colId="1" hiddenButton="1"/>
  </autoFilter>
  <tableColumns count="2">
    <tableColumn id="1" xr3:uid="{0D55E6C4-0B43-4E3F-83AD-5E176604E55E}" name="Product">
      <calculatedColumnFormula>Table_SourceData_Scope3_Feed[[#This Row],[Product]]</calculatedColumnFormula>
    </tableColumn>
    <tableColumn id="2" xr3:uid="{9089069A-FFB2-48CC-A8FF-AFCE067ED1CB}" name="Region">
      <calculatedColumnFormula>Table_SourceData_Scope3_Feed[[#This Row],[Region of origin]]</calculatedColumnFormula>
    </tableColumn>
  </tableColumns>
  <tableStyleInfo name="Equation table" showFirstColumn="0" showLastColumn="0" showRowStripes="1" showColumnStripes="0"/>
</table>
</file>

<file path=xl/tables/table8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1" xr:uid="{182EE8EE-ED4F-4B1E-9B60-F02DC6AE6382}" name="Table_ProductRegions_Cottonseed" displayName="Table_ProductRegions_Cottonseed" ref="L156:M157" totalsRowShown="0">
  <autoFilter ref="L156:M157" xr:uid="{77EE7649-CF58-45FA-964C-E4A392F4902C}">
    <filterColumn colId="0" hiddenButton="1"/>
    <filterColumn colId="1" hiddenButton="1"/>
  </autoFilter>
  <tableColumns count="2">
    <tableColumn id="1" xr3:uid="{CA0704AB-DC47-4884-9EC1-654F835ACDE8}" name="Product">
      <calculatedColumnFormula>Table_SourceData_Scope3_Feed[[#This Row],[Product]]</calculatedColumnFormula>
    </tableColumn>
    <tableColumn id="2" xr3:uid="{D60C6628-EF6A-4BB1-970F-35C037343B02}" name="Region">
      <calculatedColumnFormula>Table_SourceData_Scope3_Feed[[#This Row],[Region of origin]]</calculatedColumnFormula>
    </tableColumn>
  </tableColumns>
  <tableStyleInfo name="Equation table" showFirstColumn="0" showLastColumn="0" showRowStripes="1" showColumnStripes="0"/>
</table>
</file>

<file path=xl/tables/table8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2" xr:uid="{1D62E130-AA2F-44D8-9E1D-A2913384B30A}" name="Table_ProductRegions_Molasses" displayName="Table_ProductRegions_Molasses" ref="O157:P158" totalsRowShown="0">
  <autoFilter ref="O157:P158" xr:uid="{EBEFFF0B-F932-4AFC-ABDF-6907D5107FE5}">
    <filterColumn colId="0" hiddenButton="1"/>
    <filterColumn colId="1" hiddenButton="1"/>
  </autoFilter>
  <tableColumns count="2">
    <tableColumn id="1" xr3:uid="{A2EF47D4-081A-4EA2-AEB7-47C1F9933F6A}" name="Product">
      <calculatedColumnFormula>Table_SourceData_Scope3_Feed[[#This Row],[Product]]</calculatedColumnFormula>
    </tableColumn>
    <tableColumn id="2" xr3:uid="{46F1652B-71B6-4A3D-B794-DE0E8CF87592}" name="Region">
      <calculatedColumnFormula>Table_SourceData_Scope3_Feed[[#This Row],[Region of origin]]</calculatedColumnFormula>
    </tableColumn>
  </tableColumns>
  <tableStyleInfo name="Equation table" showFirstColumn="0" showLastColumn="0" showRowStripes="1" showColumnStripes="0"/>
</table>
</file>

<file path=xl/tables/table8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3" xr:uid="{5CAE5472-E707-48D5-BA57-0B26F72F0815}" name="Table_ProductRegions_Beefcattle" displayName="Table_ProductRegions_Beefcattle" ref="L33:M49" totalsRowShown="0">
  <autoFilter ref="L33:M49" xr:uid="{77539992-728B-4655-965B-FB28372E4BBC}">
    <filterColumn colId="0" hiddenButton="1"/>
    <filterColumn colId="1" hiddenButton="1"/>
  </autoFilter>
  <tableColumns count="2">
    <tableColumn id="1" xr3:uid="{439F76EA-94ED-42A8-8038-27717F31E136}" name="Region"/>
    <tableColumn id="2" xr3:uid="{190ABFE5-91EF-4D43-81CD-20E5B46FD8F8}" name="Scope3 region"/>
  </tableColumns>
  <tableStyleInfo name="Equation table" showFirstColumn="0" showLastColumn="0" showRowStripes="1" showColumnStripes="0"/>
</table>
</file>

<file path=xl/tables/table8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4" xr:uid="{37A28DC9-8CD1-4F97-9DB8-CFDEC15F2332}" name="Table_SourceData_Scope3_FishFeedAndBait" displayName="Table_SourceData_Scope3_FishFeedAndBait" ref="D241:J247" totalsRowShown="0" dataDxfId="237" dataCellStyle="Content normal">
  <autoFilter ref="D241:J247" xr:uid="{CB2ECEE9-6AEB-4C74-BD8F-E665996241EB}">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6" xr3:uid="{70B46334-D96A-4190-A5B8-F34B2665511B}" name="Category" dataDxfId="236" dataCellStyle="Content normal">
      <calculatedColumnFormula array="1">Common_InputFunctions.Utility_DisplayArrayInTable(Scope3_SourceData.Scope3_FishFeedAndBait_Data(), Table_SourceData_Scope3_FishFeedAndBait[[#Headers],[Category]], 0, 1)</calculatedColumnFormula>
    </tableColumn>
    <tableColumn id="1" xr3:uid="{3CD018C8-3FA5-4FB0-9888-DA230A296C85}" name="Product" dataDxfId="235" dataCellStyle="Content normal">
      <calculatedColumnFormula array="1">Common_InputFunctions.Utility_DisplayArrayInTable(Scope3_SourceData.Scope3_FishFeedAndBait_Data(), Table_SourceData_Scope3_FishFeedAndBait[[#Headers],[Category]], 0, 1)</calculatedColumnFormula>
    </tableColumn>
    <tableColumn id="2" xr3:uid="{BBADBC68-70A9-4EEF-A7D9-B0FBD928FC48}" name="Region of origin" dataDxfId="234" dataCellStyle="Content normal">
      <calculatedColumnFormula array="1">Common_InputFunctions.Utility_DisplayArrayInTable(Scope3_SourceData.Scope3_FishFeedAndBait_Data(), Table_SourceData_Scope3_FishFeedAndBait[[#Headers],[Category]], 0, 1)</calculatedColumnFormula>
    </tableColumn>
    <tableColumn id="3" xr3:uid="{F7086DA8-4309-4243-AAB4-6625AD4C58CF}" name="Quantity Unit" dataDxfId="233" dataCellStyle="Content normal">
      <calculatedColumnFormula array="1">Common_InputFunctions.Utility_DisplayArrayInTable(Scope3_SourceData.Scope3_FishFeedAndBait_Data(), Table_SourceData_Scope3_FishFeedAndBait[[#Headers],[Category]], 0, 1)</calculatedColumnFormula>
    </tableColumn>
    <tableColumn id="4" xr3:uid="{96CF76EC-287B-40E0-8F0E-AD6C9255605B}" name="Emissions intensity" dataDxfId="232" dataCellStyle="Content normal">
      <calculatedColumnFormula array="1">Common_InputFunctions.Utility_DisplayArrayInTable(Scope3_SourceData.Scope3_FishFeedAndBait_Data(), Table_SourceData_Scope3_FishFeedAndBait[[#Headers],[Category]], 0, 1)</calculatedColumnFormula>
    </tableColumn>
    <tableColumn id="5" xr3:uid="{E3664776-CF74-4CC0-A987-90FFEAD92D3B}" name="System boundary" dataDxfId="231" dataCellStyle="Content normal">
      <calculatedColumnFormula array="1">Common_InputFunctions.Utility_DisplayArrayInTable(Scope3_SourceData.Scope3_FishFeedAndBait_Data(), Table_SourceData_Scope3_FishFeedAndBait[[#Headers],[Category]], 0, 1)</calculatedColumnFormula>
    </tableColumn>
    <tableColumn id="8" xr3:uid="{87D4C56A-3A07-4D11-9BA4-6E3841A278BD}" name="Source" dataDxfId="230" dataCellStyle="Content normal"/>
  </tableColumns>
  <tableStyleInfo name="Equation table" showFirstColumn="0" showLastColumn="0" showRowStripes="1" showColumnStripes="0"/>
</table>
</file>

<file path=xl/tables/table8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0" xr:uid="{8B1BE39C-59B0-4DA0-BBC7-ACCBD72CF264}"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58FD9670-3EAF-43F0-A27F-8818B6502797}"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D5B36504-5C63-4D6E-8C4D-202003DF808D}" name="Waste type w" dataDxfId="229"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CEF566D1-FA9F-4631-91B6-513435DDAF1B}" name="EFwt" dataDxfId="228"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E9E84BB0-EB15-4906-872B-2D3CD7B0B873}" name="EF source" dataDxfId="227"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8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1" xr:uid="{C6A6A5D8-BEBA-4F8D-9109-797AB747DD65}"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D6A40A56-46A0-4853-B814-E430AD0F4F11}"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20F9A34F-F71F-49AE-990F-FA5132E5C72E}" name="VTMw" dataDxfId="226"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8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2" xr:uid="{E129BF9D-D539-40B1-A9ED-B2000B6D873E}" name="Table_WasteTypes_Landfill" displayName="Table_WasteTypes_Landfill" ref="I16:I27" totalsRowShown="0">
  <autoFilter ref="I16:I27" xr:uid="{99B942E3-1D24-4166-921C-DCC10960718D}">
    <filterColumn colId="0" hiddenButton="1"/>
  </autoFilter>
  <tableColumns count="1">
    <tableColumn id="1" xr3:uid="{C911FD9E-9DB2-48BE-846D-999570550B64}"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8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3" xr:uid="{49BA12F8-882C-4045-A4CD-A2E64B02B37F}" name="Table_WasteTypes_Incineration" displayName="Table_WasteTypes_Incineration" ref="K16:K26" totalsRowShown="0" headerRowDxfId="225" headerRowCellStyle="Content normal" dataCellStyle="Content normal">
  <autoFilter ref="K16:K26" xr:uid="{9A900595-7035-4239-9059-ACC16835BF72}">
    <filterColumn colId="0" hiddenButton="1"/>
  </autoFilter>
  <tableColumns count="1">
    <tableColumn id="1" xr3:uid="{F2512927-BA34-4E47-AC23-C25E9C17CE39}" name="Waste type w" dataCellStyle="Content normal">
      <calculatedColumnFormula>E29</calculatedColumnFormula>
    </tableColumn>
  </tableColumns>
  <tableStyleInfo name="Equation table" showFirstColumn="0" showLastColumn="0" showRowStripes="1" showColumnStripes="0"/>
</table>
</file>

<file path=xl/tables/table8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4" xr:uid="{EEA2453C-5940-4EF1-B596-1E1FE43094AA}" name="Table_WasteTypes_Composting" displayName="Table_WasteTypes_Composting" ref="M16:M21" totalsRowShown="0" headerRowDxfId="224" headerRowCellStyle="Content normal" dataCellStyle="Content normal">
  <autoFilter ref="M16:M21" xr:uid="{5C8D39D3-1330-49EB-B431-1B2B8C8238DC}">
    <filterColumn colId="0" hiddenButton="1"/>
  </autoFilter>
  <tableColumns count="1">
    <tableColumn id="1" xr3:uid="{39293F27-59BE-4464-84FD-5A483366ECF8}" name="Waste type w" totalsRowDxfId="223" dataCellStyle="Content normal">
      <calculatedColumnFormula>E40</calculatedColumnFormula>
    </tableColumn>
  </tableColumns>
  <tableStyleInfo name="Equation table" showFirstColumn="0" showLastColumn="0" showRowStripes="1" showColumnStripes="0"/>
</table>
</file>

<file path=xl/tables/table9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5" xr:uid="{E32184B1-0280-47F0-A9FD-A3AE3F145438}" name="Table_WasteTypes_Anaerobicdigestion" displayName="Table_WasteTypes_Anaerobicdigestion" ref="O16:O21" totalsRowShown="0" headerRowDxfId="222" headerRowCellStyle="Content normal" dataCellStyle="Content normal">
  <autoFilter ref="O16:O21" xr:uid="{331EC43E-DF68-429F-A2A4-58BFE6216EC3}">
    <filterColumn colId="0" hiddenButton="1"/>
  </autoFilter>
  <tableColumns count="1">
    <tableColumn id="1" xr3:uid="{04A85025-CA36-4BC7-8609-B8AC0F372556}" name="Waste type w" totalsRowDxfId="221" dataCellStyle="Content normal">
      <calculatedColumnFormula>E46</calculatedColumnFormula>
    </tableColumn>
  </tableColumns>
  <tableStyleInfo name="Equation table" showFirstColumn="0" showLastColumn="0" showRowStripes="1" showColumnStripes="0"/>
</table>
</file>

<file path=xl/tables/table9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E5DAB1B-E2E2-457B-8EC2-85C9E6034F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141EDE3A-D4F1-463C-A1A1-6E6DC3810C83}" name="State/Territory">
      <calculatedColumnFormula array="1">Common_InputFunctions.Utility_DisplayArrayInTable(Common_SourceData.Common_SourceData_AustralianStatesTerritories_Data(),Table_AustralianStates[[#Headers],[State/Territory]],0)</calculatedColumnFormula>
    </tableColumn>
    <tableColumn id="2" xr3:uid="{28E996F7-E11C-4718-9A56-505885A3261B}" name="Common Name">
      <calculatedColumnFormula array="1">Common_InputFunctions.Utility_DisplayArrayInTable(Common_SourceData.Common_SourceData_AustralianStatesTerritories_Data(),Table_AustralianStates[[#Headers],[State/Territory]],0)</calculatedColumnFormula>
    </tableColumn>
    <tableColumn id="3" xr3:uid="{124BB972-AB3E-4499-BB37-7BE00370D5AB}"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79C2B9C-EA53-43CC-83C9-86D15CCC8F80}" name="Table_WASA4Areas" displayName="Table_WASA4Areas" ref="D20:D30" totalsRowShown="0">
  <autoFilter ref="D20:D30" xr:uid="{5FA81339-C6C8-4D36-BEEA-6C4AEDD9E676}">
    <filterColumn colId="0" hiddenButton="1"/>
  </autoFilter>
  <tableColumns count="1">
    <tableColumn id="1" xr3:uid="{052BF038-B042-499D-B26B-ACB38C3026C2}"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9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3267EB44-489E-4C0E-B82F-5E051FE9BF4A}" name="Table_GWPData" displayName="Table_GWPData" ref="D36:E43" totalsRowShown="0">
  <autoFilter ref="D36:E43" xr:uid="{B8E87A66-3E41-4AD3-925D-01EE21B43D7A}">
    <filterColumn colId="0" hiddenButton="1"/>
    <filterColumn colId="1" hiddenButton="1"/>
  </autoFilter>
  <tableColumns count="2">
    <tableColumn id="1" xr3:uid="{2EA1B09C-EFB1-43EC-8CCD-0AD2E14B783C}" name="Gas">
      <calculatedColumnFormula array="1">Common_InputFunctions.Utility_DisplayArrayInTable(Common_SourceData.Common_SourceData_GWP_Data(), Table_GWPData[[#Headers],[Gas]], 0)</calculatedColumnFormula>
    </tableColumn>
    <tableColumn id="2" xr3:uid="{D5BC830A-D63B-42AE-AB9F-A4B78D260F6F}"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9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514797D9-5E87-4C9E-A5E2-FE5FDB03DDA3}"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FA151FC8-3695-4719-A4EF-7D04EC031B31}" name="Gas">
      <calculatedColumnFormula array="1">Common_InputFunctions.Utility_DisplayArrayInTable(Common_SourceData.Common_SourceData_ConvertGasElementalToMolecular_Data(),Table_GasToMolecularConversionFactor[[#Headers],[Gas]], 0)</calculatedColumnFormula>
    </tableColumn>
    <tableColumn id="5" xr3:uid="{C5A54C07-D112-4D55-AF20-931C32D3D04D}" name="Conversion factor">
      <calculatedColumnFormula array="1">Common_InputFunctions.Utility_DisplayArrayInTable(Common_SourceData.Common_SourceData_ConvertGasElementalToMolecular_Data(),Table_GasToMolecularConversionFactor[[#Headers],[Gas]], 0)</calculatedColumnFormula>
    </tableColumn>
    <tableColumn id="2" xr3:uid="{E068EBC3-E598-409A-A232-E6C5BCE51A48}" name="Conversion factor 1">
      <calculatedColumnFormula array="1">Common_InputFunctions.Utility_DisplayArrayInTable(Common_SourceData.Common_SourceData_ConvertGasElementalToMolecular_Data(),Table_GasToMolecularConversionFactor[[#Headers],[Gas]], 0)</calculatedColumnFormula>
    </tableColumn>
    <tableColumn id="3" xr3:uid="{EF9871F0-4365-41D5-B3FE-1693C79370F8}" name="Conversion factor 2">
      <calculatedColumnFormula array="1">Common_InputFunctions.Utility_DisplayArrayInTable(Common_SourceData.Common_SourceData_ConvertGasElementalToMolecular_Data(),Table_GasToMolecularConversionFactor[[#Headers],[Gas]], 0)</calculatedColumnFormula>
    </tableColumn>
    <tableColumn id="4" xr3:uid="{E50E8067-6E8A-45AD-9E1A-D6A8EEC20566}"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CF9E070-EC5E-422A-AE63-360FA7300FD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92125F-3A0F-4FB3-9096-9A6C09064CE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FD91884A-B7CC-43A5-89E2-EB9ADAD79B74}" name="MAT" totalsRowDxfId="220" totalsRowCellStyle="Content bold">
      <calculatedColumnFormula array="1">Common_InputFunctions.Utility_DisplayArrayInTable(Common_SourceData.Common_SourceData_ClimateZones_Data(), Table_SourceData_ClimateZones[[#Headers],[Climate zone]], 0)</calculatedColumnFormula>
    </tableColumn>
    <tableColumn id="3" xr3:uid="{B580D36E-E641-4419-A5E9-56AD94FD9711}" name="MAP" totalsRowDxfId="219" totalsRowCellStyle="Content bold">
      <calculatedColumnFormula array="1">Common_InputFunctions.Utility_DisplayArrayInTable(Common_SourceData.Common_SourceData_ClimateZones_Data(), Table_SourceData_ClimateZones[[#Headers],[Climate zone]], 0)</calculatedColumnFormula>
    </tableColumn>
    <tableColumn id="4" xr3:uid="{0CE926DB-8FBB-46DD-B2F5-74DB63757391}" name="Frost days per year" totalsRowDxfId="218" totalsRowCellStyle="Content bold">
      <calculatedColumnFormula array="1">Common_InputFunctions.Utility_DisplayArrayInTable(Common_SourceData.Common_SourceData_ClimateZones_Data(), Table_SourceData_ClimateZones[[#Headers],[Climate zone]], 0)</calculatedColumnFormula>
    </tableColumn>
    <tableColumn id="5" xr3:uid="{47751D32-289E-4A5A-90B8-231DD67C9832}" name="Elevation" totalsRowDxfId="217" totalsRowCellStyle="Content bold">
      <calculatedColumnFormula array="1">Common_InputFunctions.Utility_DisplayArrayInTable(Common_SourceData.Common_SourceData_ClimateZones_Data(), Table_SourceData_ClimateZones[[#Headers],[Climate zone]], 0)</calculatedColumnFormula>
    </tableColumn>
    <tableColumn id="6" xr3:uid="{4F949F03-6B35-4E94-829B-0336C4645775}" name="MAP:PET" totalsRowDxfId="216" totalsRowCellStyle="Content bold">
      <calculatedColumnFormula array="1">Common_InputFunctions.Utility_DisplayArrayInTable(Common_SourceData.Common_SourceData_ClimateZones_Data(), Table_SourceData_ClimateZones[[#Headers],[Climate zone]], 0)</calculatedColumnFormula>
    </tableColumn>
    <tableColumn id="7" xr3:uid="{3FBCB33B-842D-41D5-AD5F-83D615C11114}" name="Min temp" totalsRowDxfId="215" totalsRowCellStyle="Content bold">
      <calculatedColumnFormula array="1">Common_InputFunctions.Utility_DisplayArrayInTable(Common_SourceData.Common_SourceData_ClimateZones_Data(), Table_SourceData_ClimateZones[[#Headers],[Climate zone]], 0)</calculatedColumnFormula>
    </tableColumn>
    <tableColumn id="8" xr3:uid="{C2619C9C-0794-4F06-A862-63A4C3CA66EC}" name="Max temp" totalsRowDxfId="214" totalsRowCellStyle="Content bold">
      <calculatedColumnFormula array="1">Common_InputFunctions.Utility_DisplayArrayInTable(Common_SourceData.Common_SourceData_ClimateZones_Data(), Table_SourceData_ClimateZones[[#Headers],[Climate zone]], 0)</calculatedColumnFormula>
    </tableColumn>
    <tableColumn id="9" xr3:uid="{FAF7977F-60AC-4F2F-AA73-CCFEA07FF532}" name="Min rainfall" totalsRowDxfId="213" totalsRowCellStyle="Content bold">
      <calculatedColumnFormula array="1">Common_InputFunctions.Utility_DisplayArrayInTable(Common_SourceData.Common_SourceData_ClimateZones_Data(), Table_SourceData_ClimateZones[[#Headers],[Climate zone]], 0)</calculatedColumnFormula>
    </tableColumn>
    <tableColumn id="10" xr3:uid="{D90DF110-8E64-41CE-9DF1-5AD24AE94500}" name="Max rainfall" totalsRowDxfId="212" totalsRowCellStyle="Content bold">
      <calculatedColumnFormula array="1">Common_InputFunctions.Utility_DisplayArrayInTable(Common_SourceData.Common_SourceData_ClimateZones_Data(), Table_SourceData_ClimateZones[[#Headers],[Climate zone]], 0)</calculatedColumnFormula>
    </tableColumn>
    <tableColumn id="11" xr3:uid="{1226E44E-433A-4C43-A126-43AC4AD90613}" name="Min frost days" totalsRowDxfId="211" totalsRowCellStyle="Content bold">
      <calculatedColumnFormula array="1">Common_InputFunctions.Utility_DisplayArrayInTable(Common_SourceData.Common_SourceData_ClimateZones_Data(), Table_SourceData_ClimateZones[[#Headers],[Climate zone]], 0)</calculatedColumnFormula>
    </tableColumn>
    <tableColumn id="15" xr3:uid="{39232AE3-3382-4B1D-A883-69EAEC386BCA}" name="Max frost days" totalsRowDxfId="210" totalsRowCellStyle="Content bold">
      <calculatedColumnFormula array="1">Common_InputFunctions.Utility_DisplayArrayInTable(Common_SourceData.Common_SourceData_ClimateZones_Data(), Table_SourceData_ClimateZones[[#Headers],[Climate zone]], 0)</calculatedColumnFormula>
    </tableColumn>
    <tableColumn id="12" xr3:uid="{59F4DDE6-C7E7-4BB5-BB18-F669A3EE8FF3}" name="Min elevation" totalsRowDxfId="209" totalsRowCellStyle="Content bold">
      <calculatedColumnFormula array="1">Common_InputFunctions.Utility_DisplayArrayInTable(Common_SourceData.Common_SourceData_ClimateZones_Data(), Table_SourceData_ClimateZones[[#Headers],[Climate zone]], 0)</calculatedColumnFormula>
    </tableColumn>
    <tableColumn id="16" xr3:uid="{72A56AAE-52D9-45B2-A13B-93D81D4FB64C}" name="Max elevation" totalsRowDxfId="208" totalsRowCellStyle="Content bold">
      <calculatedColumnFormula array="1">Common_InputFunctions.Utility_DisplayArrayInTable(Common_SourceData.Common_SourceData_ClimateZones_Data(), Table_SourceData_ClimateZones[[#Headers],[Climate zone]], 0)</calculatedColumnFormula>
    </tableColumn>
    <tableColumn id="13" xr3:uid="{EE7B4570-E79C-43AD-A951-1CDFABFAAADA}" name="Min MAP:PET" totalsRowDxfId="207" totalsRowCellStyle="Content bold">
      <calculatedColumnFormula array="1">Common_InputFunctions.Utility_DisplayArrayInTable(Common_SourceData.Common_SourceData_ClimateZones_Data(), Table_SourceData_ClimateZones[[#Headers],[Climate zone]], 0)</calculatedColumnFormula>
    </tableColumn>
    <tableColumn id="17" xr3:uid="{A609D4ED-0384-43E1-9D16-AE8544F53232}" name="Max MAP:PET" totalsRowDxfId="20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9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8B6ABB3D-00EB-4F67-B55C-B508EAA963D1}"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CF489C9-0C88-4CCB-A29C-4C5E0A706490}"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15DEBDB4-D8D7-40B9-83B3-DA303173B97A}" name="Wet or Dry Zone" totalsRowDxfId="20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9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43EE2944-F83E-4446-B64E-48FA3FE70F7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D46E4B8-878F-4360-99A1-6CE0E4A5E003}" name="Temperature Zone">
      <calculatedColumnFormula array="1">Common_InputFunctions.Utility_DisplayArrayInTable(Common_SourceData.Common_SourceData_TemperatureZones_Data(),Table_SourceData_TemperatureZones[[#Headers],[Temperature Zone]],0)</calculatedColumnFormula>
    </tableColumn>
    <tableColumn id="2" xr3:uid="{932495B2-C13E-4102-A127-9F5124B82CF5}" name="MAT">
      <calculatedColumnFormula array="1">Common_InputFunctions.Utility_DisplayArrayInTable(Common_SourceData.Common_SourceData_TemperatureZones_Data(),Table_SourceData_TemperatureZones[[#Headers],[Temperature Zone]],0)</calculatedColumnFormula>
    </tableColumn>
    <tableColumn id="3" xr3:uid="{F82B298A-282C-4596-A446-8DF92BDC6128}" name="Min MAT">
      <calculatedColumnFormula array="1">Common_InputFunctions.Utility_DisplayArrayInTable(Common_SourceData.Common_SourceData_TemperatureZones_Data(),Table_SourceData_TemperatureZones[[#Headers],[Temperature Zone]],0)</calculatedColumnFormula>
    </tableColumn>
    <tableColumn id="4" xr3:uid="{B4E9480A-A0F0-4B00-ADC0-4B48A0BE56BE}"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2380F265-B880-4441-BD8C-DA4A3D7D0969}"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D3146BF-5F3C-4544-85A3-255604FC5EA1}" name="Rainfall Zone">
      <calculatedColumnFormula array="1">Common_InputFunctions.Utility_DisplayArrayInTable(Common_SourceData.Common_SourceData_RainfallZones_Data(),Table_SourceData_RainfallZones[[#Headers],[Rainfall Zone]],0)</calculatedColumnFormula>
    </tableColumn>
    <tableColumn id="2" xr3:uid="{FF1BCB7D-96C0-4CBD-B2D8-67F056D138E8}" name="Annual rainfall">
      <calculatedColumnFormula array="1">Common_InputFunctions.Utility_DisplayArrayInTable(Common_SourceData.Common_SourceData_RainfallZones_Data(),Table_SourceData_RainfallZones[[#Headers],[Rainfall Zone]],0)</calculatedColumnFormula>
    </tableColumn>
    <tableColumn id="3" xr3:uid="{366380E1-365A-4FFC-8CDF-20279E5243C1}" name="Min rainfall">
      <calculatedColumnFormula array="1">Common_InputFunctions.Utility_DisplayArrayInTable(Common_SourceData.Common_SourceData_RainfallZones_Data(),Table_SourceData_RainfallZones[[#Headers],[Rainfall Zone]],0)</calculatedColumnFormula>
    </tableColumn>
    <tableColumn id="4" xr3:uid="{9FF04DBF-5494-4944-A10B-F1873331455E}"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9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31591D-D840-4C63-B843-7E7AB936311C}"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A5582C67-7F1A-4CB9-81A7-806C7922D294}" name="Leaching Zone">
      <calculatedColumnFormula array="1">Common_InputFunctions.Utility_DisplayArrayInTable(Common_SourceData.Common_SourceData_LeachingZones_Data(), Table_SourceData_LeachingZones[[#Headers],[Leaching Zone]], 0)</calculatedColumnFormula>
    </tableColumn>
    <tableColumn id="2" xr3:uid="{FF42B095-B4EA-47C0-A4CE-2C18113997C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0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9071B43-84C5-4A9B-AC56-87E088211B7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19B94965-E9CF-461F-974A-9D878EA9BE16}" name="Data source">
      <calculatedColumnFormula array="1">Common_InputFunctions.Utility_DisplayArrayInTable(Common_SourceData.Common_SourceData_DataScores_Scope3_Data(), Table_SourceData_DataScores_Scope3[[#Headers],[Data source]], 0)</calculatedColumnFormula>
    </tableColumn>
    <tableColumn id="2" xr3:uid="{A47D2B04-79A0-439E-8055-16F2C7A1BBF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0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6518494-8C9E-4786-94D1-C5716A0FA1E2}" name="Table_SourceData_FracWET" displayName="Table_SourceData_FracWET" ref="D134:E136" totalsRowShown="0">
  <autoFilter ref="D134:E136" xr:uid="{308E99BE-FE1F-47A4-B2CA-97217277C4E9}">
    <filterColumn colId="0" hiddenButton="1"/>
    <filterColumn colId="1" hiddenButton="1"/>
  </autoFilter>
  <tableColumns count="2">
    <tableColumn id="1" xr3:uid="{22C2C6AE-DA6F-4ADB-859F-88523E4E47DC}" name="Is in leaching zone">
      <calculatedColumnFormula array="1">Common_InputFunctions.Utility_DisplayArrayInTable(Common_SourceData.Common_SourceData_FracWET_Data(),Table_SourceData_FracWET[[#Headers],[Is in leaching zone]],0)</calculatedColumnFormula>
    </tableColumn>
    <tableColumn id="2" xr3:uid="{961AE704-9742-40C1-9D0C-522CDADB57B4}" name="FracWET" dataDxfId="20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0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5930FF5B-D32A-4E20-8001-BEC538B5ADB5}"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F5579B01-6791-4441-A783-A578EA998185}" name="Production system j">
      <calculatedColumnFormula array="1">Common_InputFunctions.Utility_DisplayArrayInTable(Common_SourceData.Common_SourceData_EFN2O_Data(), Table_SourceData_Common_EFN2O[[#Headers],[Production system j]], 0)</calculatedColumnFormula>
    </tableColumn>
    <tableColumn id="2" xr3:uid="{951BC42C-328B-45C5-8A5E-DEC49F0A7633}" name="EFN2O">
      <calculatedColumnFormula array="1">Common_InputFunctions.Utility_DisplayArrayInTable(Common_SourceData.Common_SourceData_EFN2O_Data(), Table_SourceData_Common_EFN2O[[#Headers],[Production system j]], 0)</calculatedColumnFormula>
    </tableColumn>
    <tableColumn id="3" xr3:uid="{8C5AD5F0-605F-405F-BC1E-6F6960ECDAF1}" name="Production system only">
      <calculatedColumnFormula array="1">Common_InputFunctions.Utility_DisplayArrayInTable(Common_SourceData.Common_SourceData_EFN2O_Data(), Table_SourceData_Common_EFN2O[[#Headers],[Production system j]], 0)</calculatedColumnFormula>
    </tableColumn>
    <tableColumn id="4" xr3:uid="{3C9492A3-4106-4C7B-9209-216C3BE40055}" name="Irrigation method">
      <calculatedColumnFormula array="1">Common_InputFunctions.Utility_DisplayArrayInTable(Common_SourceData.Common_SourceData_EFN2O_Data(), Table_SourceData_Common_EFN2O[[#Headers],[Production system j]], 0)</calculatedColumnFormula>
    </tableColumn>
    <tableColumn id="5" xr3:uid="{70FBD27E-C4BC-4A2A-9757-D59BA4C8C67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0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72BFD65A-21D6-4297-B99D-D0D42176D761}"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89B8C9C0-487C-456F-A38C-2227312F423D}" name="Irrigation type i">
      <calculatedColumnFormula array="1">Common_InputFunctions.Utility_DisplayArrayInTable(Common_SourceData.Common_SourceData_FracWETIrrigation_Data(), Table_SourceData_FracWETIrrigation[[#Headers],[Irrigation type i]], 0)</calculatedColumnFormula>
    </tableColumn>
    <tableColumn id="2" xr3:uid="{76FEBB52-4BA8-4878-ABD5-A1D385C9CBB2}" name="FracWET" dataDxfId="20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0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F89208A-A2F1-4521-BFB3-FD49A86DCF3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3194017-8420-4A75-BF58-D94E8E366FA5}"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DB7689A4-5F79-4DC6-AEDA-BD27AA7735DE}" name="EFPRP" dataDxfId="20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0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EC6B72B8-D330-4DFF-B354-ADB4E9F1BE85}"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CFA27088-5584-4432-9EBF-9CC908BB3F73}" name="Month">
      <calculatedColumnFormula array="1">Common_InputFunctions.Utility_DisplayArrayInTable(Common_SourceData.Common_SourceData_MonthsToSeasons_Data(), Table_SourceData_Common_MonthToSeason[[#Headers],[Month]], 0)</calculatedColumnFormula>
    </tableColumn>
    <tableColumn id="2" xr3:uid="{562A242E-2C18-4700-B87C-BF0E6D72E55D}" name="Season" dataDxfId="20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0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B15BB5D5-D7B7-49C7-8998-F0613D37DA0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B9C03558-7821-48FC-BA43-9E83FD9DD214}"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AE651B1E-905B-4999-A25B-F342CDE64E0F}" name="MAT (ºC)" dataDxfId="20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DB270A2A-6E0B-40B1-8BF5-FD175022D5E5}" name="Anaerobic lagoon" dataDxfId="19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21E38317-525E-4A5B-86A6-35AD41B903A1}" name="Digester / covered lagoons" dataDxfId="19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017EAE1F-F1D4-4ECA-B2BF-27F27C0B710C}" name="Liquid systems" dataDxfId="19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8D7C0588-F29D-41D2-A4F1-2B6AE80CCB2F}" name="Daily spread" dataDxfId="19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2D7D514E-D604-458B-8BB0-C81C5E0B188D}" name="Composting (passive windrow)" dataDxfId="19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F7536CDB-8030-4364-AAA8-EF005F5E86F7}" name="Solid storage" dataDxfId="19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C345CB6-1C20-4DB9-BB29-CB0010CAD450}" name="Pit storage" dataDxfId="19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124CEA8D-4055-4FCC-9831-B9F593B59067}" name="Deep litter" dataDxfId="19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BE546694-46BB-4C32-9C9E-789A7FB89886}" name="Poultry manure with bedding" dataDxfId="19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12DFD68D-580C-4C50-B683-5DD09E98F6BA}" name="Poultry manure without bedding" dataDxfId="1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E5502853-37BF-4EF6-8B81-BFA61AB1A883}" name="Direct processing" dataDxfId="1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E4B91790-27EC-4CF9-8F1E-156D88349580}" name="Direct application" dataDxfId="1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7B2BAB32-A63B-41E1-BE03-B2A6435DA45E}" name="Pasture range and paddock" dataDxfId="1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52E7C0B-2A2F-4D94-B3EE-F55684FCD251}" name="MAT raw" dataDxfId="1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0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47ABB6EE-804C-4EDC-AFDE-C9586C36A971}"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672554FB-5647-43EE-81BE-BD170F3983CE}"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9E3B7306-38E5-41D5-9D76-8FDBDD9AE302}" name="EFNi &amp; EFN2Oi" dataDxfId="18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10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BFCF4F82-9E1B-4FB1-927B-5EDFE80502DA}" name="Table_SourceData_DataQuality_TemporalRepresentativeness" displayName="Table_SourceData_DataQuality_TemporalRepresentativeness" ref="D265:G270" totalsRowShown="0">
  <autoFilter ref="D265:G270" xr:uid="{9AD44602-D2F2-4D97-923C-A32E98F8C17A}">
    <filterColumn colId="0" hiddenButton="1"/>
    <filterColumn colId="1" hiddenButton="1"/>
    <filterColumn colId="2" hiddenButton="1"/>
    <filterColumn colId="3" hiddenButton="1"/>
  </autoFilter>
  <tableColumns count="4">
    <tableColumn id="4" xr3:uid="{67CB5F21-5858-42C0-820C-FA4341C92233}" name="User friendly description" dataDxfId="184" dataCellStyle="Content normal"/>
    <tableColumn id="2" xr3:uid="{A467D3D2-FAE8-4B4F-AD2F-273B449008EF}" name="Description" dataDxfId="183" dataCellStyle="Content normal"/>
    <tableColumn id="1" xr3:uid="{0177D8A5-3CAD-4019-91CC-E9E92C7CD148}" name="ID"/>
    <tableColumn id="3" xr3:uid="{D129B7D0-4F30-40BA-A6A7-54FEE1CB39A7}" name="Score"/>
  </tableColumns>
  <tableStyleInfo name="Equation table" showFirstColumn="0" showLastColumn="0" showRowStripes="1" showColumnStripes="0"/>
</table>
</file>

<file path=xl/tables/table10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486AF9B4-7499-497E-86B5-6690E450DDAE}" name="Table_SourceData_DataQuality_SpatialRepresentativeness" displayName="Table_SourceData_DataQuality_SpatialRepresentativeness" ref="D274:G279" totalsRowShown="0">
  <autoFilter ref="D274:G279" xr:uid="{95094D65-3E0E-45CE-A3F4-F41E74C11901}">
    <filterColumn colId="0" hiddenButton="1"/>
    <filterColumn colId="1" hiddenButton="1"/>
    <filterColumn colId="2" hiddenButton="1"/>
    <filterColumn colId="3" hiddenButton="1"/>
  </autoFilter>
  <tableColumns count="4">
    <tableColumn id="4" xr3:uid="{E3087997-1A71-41E6-95DA-00D25217CB77}" name="User friendly description" dataDxfId="182" dataCellStyle="Content normal"/>
    <tableColumn id="1" xr3:uid="{76CE025C-B272-4023-B793-440DED678242}" name="Description"/>
    <tableColumn id="2" xr3:uid="{7F57D207-1D4F-4A28-8836-C5DC431E1625}" name="ID"/>
    <tableColumn id="3" xr3:uid="{559F6435-AB23-47A3-B30E-D5E467BA68A8}" name="Score"/>
  </tableColumns>
  <tableStyleInfo name="Equation table" showFirstColumn="0" showLastColumn="0" showRowStripes="1" showColumnStripes="0"/>
</table>
</file>

<file path=xl/tables/table1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93E91645-F61A-4118-8970-B7814D138119}" name="Table_SourceData_DataQuality_SampleSize" displayName="Table_SourceData_DataQuality_SampleSize" ref="D283:G288" totalsRowShown="0">
  <autoFilter ref="D283:G288" xr:uid="{DE8F748C-E65A-4AA2-81BB-D28A432CF334}">
    <filterColumn colId="0" hiddenButton="1"/>
    <filterColumn colId="1" hiddenButton="1"/>
    <filterColumn colId="2" hiddenButton="1"/>
    <filterColumn colId="3" hiddenButton="1"/>
  </autoFilter>
  <tableColumns count="4">
    <tableColumn id="4" xr3:uid="{DF638216-436F-4C10-B75A-DAAFFCC99904}" name="User friendly description" dataDxfId="181" dataCellStyle="Content normal"/>
    <tableColumn id="1" xr3:uid="{349901AD-9801-4819-B144-89B773FED959}" name="Description"/>
    <tableColumn id="2" xr3:uid="{BBC89306-46D2-4929-8947-68EE38366C09}" name="ID"/>
    <tableColumn id="3" xr3:uid="{865818AA-73D1-46C8-89D3-B389E9CADD7C}" name="Score"/>
  </tableColumns>
  <tableStyleInfo name="Equation table" showFirstColumn="0" showLastColumn="0" showRowStripes="1" showColumnStripes="0"/>
</table>
</file>

<file path=xl/tables/table1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9D68B119-42F4-4131-8EB1-5EF9ED33597F}" name="Table_SourceData_DataQuality_Scope3" displayName="Table_SourceData_DataQuality_Scope3" ref="D292:G297" totalsRowShown="0">
  <autoFilter ref="D292:G297" xr:uid="{43A1C4DA-75D1-45DF-BA9A-1798C2CC5A4B}">
    <filterColumn colId="0" hiddenButton="1"/>
    <filterColumn colId="1" hiddenButton="1"/>
    <filterColumn colId="2" hiddenButton="1"/>
    <filterColumn colId="3" hiddenButton="1"/>
  </autoFilter>
  <tableColumns count="4">
    <tableColumn id="4" xr3:uid="{BA23F989-3F7E-4E10-B48D-200333055957}" name="User friendly description" dataDxfId="180" dataCellStyle="Content normal"/>
    <tableColumn id="1" xr3:uid="{55A1F1EC-210E-48D2-BED8-03D5FB58A9A5}" name="Description"/>
    <tableColumn id="2" xr3:uid="{4F17639D-3869-4472-8F9F-1819280657B0}" name="ID"/>
    <tableColumn id="3" xr3:uid="{77FE4131-90F7-4C8B-929C-08DA8DF35F1C}" name="Score"/>
  </tableColumns>
  <tableStyleInfo name="Equation table" showFirstColumn="0" showLastColumn="0" showRowStripes="1" showColumnStripes="0"/>
</table>
</file>

<file path=xl/tables/table1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4" xr:uid="{22663F1F-5683-4FF3-9290-472AAAE62198}" name="Table_Input_InorganicFertiliser_Brands" displayName="Table_Input_InorganicFertiliser_Brands" ref="D11:Z21" headerRowDxfId="179" dataDxfId="178" totalsRowDxfId="177">
  <autoFilter ref="D11:Z21" xr:uid="{5673927C-FAF3-425F-8E58-192CAB5E17D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autoFilter>
  <tableColumns count="23">
    <tableColumn id="2" xr3:uid="{8C0595F4-A37C-456E-87ED-64F87EFA76D8}" name="Product (select)" dataDxfId="176" totalsRowDxfId="175" dataCellStyle="Input select"/>
    <tableColumn id="23" xr3:uid="{3CD330CB-4CD4-4A59-A663-ACDF9824DAE8}" name="Amount applied per hectare" totalsRowFunction="custom" dataDxfId="174" totalsRowDxfId="173">
      <totalsRowFormula>SUM(Table_Input_InorganicFertiliser_Brands[[#Headers],[#Data],[Amount applied per hectare]])</totalsRowFormula>
    </tableColumn>
    <tableColumn id="12" xr3:uid="{D86F54E8-6C53-4FBB-BA4C-0DC11FC371FA}" name="Application unit" dataDxfId="172" totalsRowDxfId="171" dataCellStyle="Input number 2 decimal places"/>
    <tableColumn id="6" xr3:uid="{6BE0AF66-7D4D-40E9-8D0B-15912BCBBBA8}" name="Application area (ha)" dataDxfId="170" totalsRowDxfId="169">
      <calculatedColumnFormula>X_Cell_Fertiliser_AreaUnderCropping</calculatedColumnFormula>
    </tableColumn>
    <tableColumn id="9" xr3:uid="{F9ADCBA0-14CC-4720-8F02-AA6ADDB81C23}" name="Density" dataDxfId="168" totalsRowDxfId="167" dataCellStyle="Input number general calculated"/>
    <tableColumn id="1" xr3:uid="{4523F294-6138-4BE2-BF47-0D9F377D62CF}" name="Total applied (kg)" dataDxfId="166" totalsRowDxfId="165" dataCellStyle="Input number general calculated">
      <calculatedColumnFormula>(Table_Input_InorganicFertiliser_Brands[[#This Row],[Amount applied per hectare]]*Table_Input_InorganicFertiliser_Brands[[#This Row],[Density]])*Table_Input_InorganicFertiliser_Brands[[#This Row],[Application area (ha)]]</calculatedColumnFormula>
    </tableColumn>
    <tableColumn id="3" xr3:uid="{79BE3067-887D-466F-9BDC-0D7D3A3F6F3E}" name="Ingredient 1" dataDxfId="164" totalsRowDxfId="163" dataCellStyle="Input number general calculated"/>
    <tableColumn id="4" xr3:uid="{DA95A866-0AED-45B5-8003-6464C5B82C28}" name="Ingredient 1 percent" dataDxfId="162" dataCellStyle="Input number general calculated"/>
    <tableColumn id="7" xr3:uid="{7E8AF37A-F886-4364-B3AB-7668E31B5A1B}" name="Ingredient 2" dataDxfId="161" dataCellStyle="Input number general calculated"/>
    <tableColumn id="8" xr3:uid="{C0F10725-829C-4408-81B2-1118E8C4FD04}" name="Ingredient 2 percent" dataDxfId="160" totalsRowDxfId="159" dataCellStyle="Input number general calculated"/>
    <tableColumn id="10" xr3:uid="{A152DA67-DFA0-4943-AD98-9E1B18B6C3B6}" name="Ingredient 3" dataDxfId="158" totalsRowDxfId="157" dataCellStyle="Input number general calculated"/>
    <tableColumn id="11" xr3:uid="{EA5BB385-3B6A-4A28-8FEF-C225E14918DF}" name="Ingredient 3 percent" dataDxfId="156" totalsRowDxfId="155" dataCellStyle="Input number general calculated"/>
    <tableColumn id="13" xr3:uid="{3FBFB345-5F5C-4233-ACB6-45F8136BC9FB}" name="Ingredient 4" dataDxfId="154" totalsRowDxfId="153" dataCellStyle="Input number general calculated"/>
    <tableColumn id="14" xr3:uid="{F647139F-9122-4BD8-B1E7-342F29DFFD9D}" name="Ingredient 4 percent" dataDxfId="152" dataCellStyle="Input number general calculated"/>
    <tableColumn id="16" xr3:uid="{BF9D1529-7AD8-4EE6-81B8-274ACFAB1DA6}" name="Ingredient 5" dataDxfId="151" dataCellStyle="Input number general calculated"/>
    <tableColumn id="17" xr3:uid="{B645FAA2-4AF1-4E37-813F-AAD0705329DB}" name="Ingredient 5 percent" dataDxfId="150" dataCellStyle="Input number general calculated"/>
    <tableColumn id="19" xr3:uid="{639477C6-A04C-4CCA-B42E-34B20DCB4D0C}" name="Ingredient 6" dataDxfId="149" dataCellStyle="Input number general calculated"/>
    <tableColumn id="20" xr3:uid="{04A52227-A141-4D5D-A4BA-72654547E750}" name="Ingredient 6 percent" dataDxfId="148" dataCellStyle="Input number general calculated"/>
    <tableColumn id="21" xr3:uid="{5E2BB2FC-12A9-4C9B-8108-A5BB062F6F59}" name="% N (Ingredients)" dataDxfId="147" dataCellStyle="Input number general calculated"/>
    <tableColumn id="22" xr3:uid="{11DC7441-4447-455D-AA98-2585D2ACEFEF}" name="% N (declared)" dataDxfId="146" dataCellStyle="Content normal"/>
    <tableColumn id="5" xr3:uid="{D0020575-CA91-490F-B609-0C55D7B6B2CB}" name="N application rate (kg/ha)" dataDxfId="145" totalsRowDxfId="144" dataCellStyle="Input number general calculated">
      <calculatedColumnFormula>(Table_Input_InorganicFertiliser_Brands[[#This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calculatedColumnFormula>
    </tableColumn>
    <tableColumn id="15" xr3:uid="{BDCA6E2A-EA02-4016-8ABB-2CCF9288EFF2}" name="Urea source" dataDxfId="143" totalsRowDxfId="142" dataCellStyle="Input number general calculated"/>
    <tableColumn id="18" xr3:uid="{F51A941E-F959-40B1-AAFA-F242AE1F7F76}" name="Ammonia source" dataDxfId="141" totalsRowDxfId="140" dataCellStyle="Input number general calculated"/>
  </tableColumns>
  <tableStyleInfo name="Editable table" showFirstColumn="0" showLastColumn="0" showRowStripes="1" showColumnStripes="0"/>
</table>
</file>

<file path=xl/tables/table1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5" xr:uid="{E58EAB4F-D1B4-4BA9-B68D-46A413CC5C5C}" name="Table_Input_InorganicFertiliser_Custom" displayName="Table_Input_InorganicFertiliser_Custom" ref="D24:R34" totalsRowShown="0" headerRowDxfId="139" dataDxfId="138">
  <autoFilter ref="D24:R34" xr:uid="{6024A338-4140-4535-9AA6-449DA88B1C2C}">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autoFilter>
  <tableColumns count="15">
    <tableColumn id="1" xr3:uid="{92FA0FEC-ADED-449D-AF20-D6BCBEB51BFD}" name="Custom blend name" dataCellStyle="Input text"/>
    <tableColumn id="2" xr3:uid="{66BCF6F5-C522-4DCF-8AF8-7D68C921B075}" name="Amount applied (kg / ha)" dataDxfId="137"/>
    <tableColumn id="3" xr3:uid="{A24A1547-CE40-453A-A152-7BE95023421E}" name="Application area (ha)" dataDxfId="136" dataCellStyle="Input number 2 decimal places">
      <calculatedColumnFormula>X_Cell_Fertiliser_AreaUnderCropping</calculatedColumnFormula>
    </tableColumn>
    <tableColumn id="4" xr3:uid="{DC98CE08-7CF3-4F91-AED5-3662A4354E31}" name="Total applied (kg)" dataDxfId="135" dataCellStyle="Input number general calculated">
      <calculatedColumnFormula>Table_Input_InorganicFertiliser_Custom[[#This Row],[Amount applied (kg / ha)]]*Table_Input_InorganicFertiliser_Custom[[#This Row],[Application area (ha)]]</calculatedColumnFormula>
    </tableColumn>
    <tableColumn id="5" xr3:uid="{D05C9016-D653-49B6-8128-9B86AE62312B}" name="Ingredient 1 (select)" dataDxfId="134" dataCellStyle="Input select"/>
    <tableColumn id="6" xr3:uid="{C9D7ACBC-EACA-4ED7-84AC-4395D68A1039}" name="Ingredient 1 percent" dataDxfId="133"/>
    <tableColumn id="8" xr3:uid="{921F3773-495A-463D-8CDB-8CECCBA92139}" name="Ingredient 2" dataDxfId="132" dataCellStyle="Input select"/>
    <tableColumn id="9" xr3:uid="{514D219B-5801-4116-8CC9-C1DE43EB660F}" name="Ingredient 2 percent" dataDxfId="131"/>
    <tableColumn id="11" xr3:uid="{798FA433-5A64-45B6-9010-34EFEC10653F}" name="Ingredient 3" dataDxfId="130" dataCellStyle="Input select"/>
    <tableColumn id="12" xr3:uid="{F48A6DFB-B61D-4C90-9D5B-B8197F4ADBDA}" name="Ingredient 3 percent" dataDxfId="129"/>
    <tableColumn id="14" xr3:uid="{3E67A725-D0D7-4EA6-91F3-B107AD94971F}" name="Ingredient 4" dataDxfId="128" dataCellStyle="Input select"/>
    <tableColumn id="15" xr3:uid="{EE4722ED-ED25-45B1-83DD-72F477E947AD}" name="Ingredient 4 percent" dataCellStyle="Input percent"/>
    <tableColumn id="7" xr3:uid="{19B8F243-B7C5-4486-8930-1863B191323B}" name="N application rate (kg/ha)" dataDxfId="127" dataCellStyle="Input number general calculated"/>
    <tableColumn id="10" xr3:uid="{5D3E2412-C0BC-4659-9A9B-3C3EAF1876AD}" name="Urea source (Select)" dataCellStyle="Input select"/>
    <tableColumn id="13" xr3:uid="{FDD0CBC9-07B5-41E8-AA45-46C00E994A26}" name="Ammonia source (select)" dataCellStyle="Input select"/>
  </tableColumns>
  <tableStyleInfo name="Editable table" showFirstColumn="0" showLastColumn="0" showRowStripes="1" showColumnStripes="0"/>
</table>
</file>

<file path=xl/tables/table1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6" xr:uid="{6EE58431-0CD9-4B90-8AEA-2DDF53125AE8}" name="Table_Input_Lime" displayName="Table_Input_Lime" ref="D41:K44" totalsRowShown="0" headerRowDxfId="126" dataDxfId="125" headerRowCellStyle="Input table column header">
  <autoFilter ref="D41:K44" xr:uid="{2C84B33D-ED8D-4C1D-B319-1B5D2D0181A1}">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7468F842-BCB6-47A2-9A1D-E09FACE880C6}" name="Product" dataDxfId="124"/>
    <tableColumn id="2" xr3:uid="{30CA760E-4CC3-41C9-B134-083A1CDBB771}" name="Amount applied (t/hectare)" dataDxfId="123"/>
    <tableColumn id="4" xr3:uid="{9B7E5B5C-CA35-4B3E-A212-8C069ECEE1FD}" name="Application area (ha)" dataDxfId="122" dataCellStyle="Input number 2 decimal places">
      <calculatedColumnFormula>X_Cell_Fertiliser_AreaUnderCropping</calculatedColumnFormula>
    </tableColumn>
    <tableColumn id="3" xr3:uid="{B7FF4E14-0D31-4575-832B-5F477C69BA86}" name="Total amount applied (t)" dataDxfId="121" dataCellStyle="Input number general calculated">
      <calculatedColumnFormula>IFERROR(Table_Input_Lime[[#This Row],[Amount applied (t/hectare)]]*Table_Input_Lime[[#This Row],[Application area (ha)]], 0)</calculatedColumnFormula>
    </tableColumn>
    <tableColumn id="6" xr3:uid="{FDB38F71-3719-4B63-A039-CE26C08F114B}" name="Percent Lime CaCO3" dataDxfId="120"/>
    <tableColumn id="8" xr3:uid="{4D63148F-169B-4D36-B1B7-6FBB4BAED09B}" name="Percent Dolomite CaMg(CO3)2" dataDxfId="119"/>
    <tableColumn id="7" xr3:uid="{765D0410-68FE-4C34-84EF-1B8A522A971E}" name="Percent Gypsum" dataDxfId="118"/>
    <tableColumn id="10" xr3:uid="{45989CE0-D795-4E8E-8D46-946F350EC140}" name="Total" dataDxfId="117" dataCellStyle="Percent">
      <calculatedColumnFormula>SUM(Table_Input_Lime[[#This Row],[Percent Lime CaCO3]:[Percent Gypsum]])</calculatedColumnFormula>
    </tableColumn>
  </tableColumns>
  <tableStyleInfo name="Editable table" showFirstColumn="0" showLastColumn="0" showRowStripes="1" showColumnStripes="0"/>
</table>
</file>

<file path=xl/tables/table1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7" xr:uid="{ABCE53C8-9AD6-4A59-B300-05AEE4A36EA6}" name="Table_Input_OrganicFertiliser" displayName="Table_Input_OrganicFertiliser" ref="D53:J56" totalsRowShown="0" headerRowDxfId="116" dataDxfId="115" headerRowCellStyle="Input table column header">
  <autoFilter ref="D53:J56" xr:uid="{1424D04C-9CD1-4344-A611-A0F26AAC6A09}">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B0494979-1738-44E6-9782-9AD1D75855D4}" name="Organic fertiliser type (select)" dataDxfId="114" dataCellStyle="Input select"/>
    <tableColumn id="5" xr3:uid="{FA8ECEEE-92A9-4EF0-AD20-1A9FAE9129AF}" name="Percentage of N in fertiliser" dataDxfId="113"/>
    <tableColumn id="2" xr3:uid="{F7FB4F47-7479-4011-BD77-F310C7D3E404}" name="Amount applied (kg/hectare)" dataDxfId="112"/>
    <tableColumn id="11" xr3:uid="{DF579EDA-D366-4356-B6A6-1FAFC186251B}" name="Amount N applied (kg/hectare)" dataDxfId="111" dataCellStyle="Input number general calculated">
      <calculatedColumnFormula>Table_Input_OrganicFertiliser[[#This Row],[Amount applied (kg/hectare)]]*Table_Input_OrganicFertiliser[[#This Row],[Percentage of N in fertiliser]]</calculatedColumnFormula>
    </tableColumn>
    <tableColumn id="4" xr3:uid="{B60DA55D-51A6-4489-B014-64A5C23A71F1}" name="Application area (ha)" dataDxfId="110" dataCellStyle="Input number 2 decimal places">
      <calculatedColumnFormula>X_Cell_Fertiliser_AreaUnderCropping</calculatedColumnFormula>
    </tableColumn>
    <tableColumn id="7" xr3:uid="{4AE3A83B-4CA5-4771-BD0E-CB38AEB138A9}" name="Total organic fertliser applied" dataDxfId="109" dataCellStyle="Input number general calculated">
      <calculatedColumnFormula>Table_Input_OrganicFertiliser[[#This Row],[Amount applied (kg/hectare)]]*Table_Input_OrganicFertiliser[[#This Row],[Application area (ha)]]</calculatedColumnFormula>
    </tableColumn>
    <tableColumn id="3" xr3:uid="{D43ED044-0DD0-46FC-8993-CD67A6FC19A6}" name="Total nitrogen applied (kg)" dataDxfId="108" dataCellStyle="Input number general calculated">
      <calculatedColumnFormula>IFERROR(Table_Input_OrganicFertiliser[[#This Row],[Amount N applied (kg/hectare)]]*Table_Input_OrganicFertiliser[[#This Row],[Application area (ha)]], 0)</calculatedColumnFormula>
    </tableColumn>
  </tableColumns>
  <tableStyleInfo name="Editable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Arial"/>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6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table" Target="../tables/table3.xml"/></Relationships>
</file>

<file path=xl/worksheets/_rels/sheet9.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printerSettings" Target="../printerSettings/printerSettings5.bin"/><Relationship Id="rId4"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printerSettings" Target="../printerSettings/printerSettings6.bin"/></Relationships>
</file>

<file path=xl/worksheets/_rels/sheet16.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table" Target="../tables/table16.xml"/><Relationship Id="rId1" Type="http://schemas.openxmlformats.org/officeDocument/2006/relationships/table" Target="../tables/table15.xml"/><Relationship Id="rId5" Type="http://schemas.openxmlformats.org/officeDocument/2006/relationships/table" Target="../tables/table19.xml"/><Relationship Id="rId4" Type="http://schemas.openxmlformats.org/officeDocument/2006/relationships/table" Target="../tables/table18.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5.bin"/></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7.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8.bin"/></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31.xml.rels><?xml version="1.0" encoding="UTF-8" standalone="yes"?>
<Relationships xmlns="http://schemas.openxmlformats.org/package/2006/relationships"><Relationship Id="rId8" Type="http://schemas.openxmlformats.org/officeDocument/2006/relationships/table" Target="../tables/table26.xml"/><Relationship Id="rId13" Type="http://schemas.openxmlformats.org/officeDocument/2006/relationships/table" Target="../tables/table31.xml"/><Relationship Id="rId3" Type="http://schemas.openxmlformats.org/officeDocument/2006/relationships/table" Target="../tables/table21.xml"/><Relationship Id="rId7" Type="http://schemas.openxmlformats.org/officeDocument/2006/relationships/table" Target="../tables/table25.xml"/><Relationship Id="rId12" Type="http://schemas.openxmlformats.org/officeDocument/2006/relationships/table" Target="../tables/table30.xml"/><Relationship Id="rId2" Type="http://schemas.openxmlformats.org/officeDocument/2006/relationships/table" Target="../tables/table20.xml"/><Relationship Id="rId1" Type="http://schemas.openxmlformats.org/officeDocument/2006/relationships/printerSettings" Target="../printerSettings/printerSettings19.bin"/><Relationship Id="rId6" Type="http://schemas.openxmlformats.org/officeDocument/2006/relationships/table" Target="../tables/table24.xml"/><Relationship Id="rId11" Type="http://schemas.openxmlformats.org/officeDocument/2006/relationships/table" Target="../tables/table29.xml"/><Relationship Id="rId5" Type="http://schemas.openxmlformats.org/officeDocument/2006/relationships/table" Target="../tables/table23.xml"/><Relationship Id="rId10" Type="http://schemas.openxmlformats.org/officeDocument/2006/relationships/table" Target="../tables/table28.xml"/><Relationship Id="rId4" Type="http://schemas.openxmlformats.org/officeDocument/2006/relationships/table" Target="../tables/table22.xml"/><Relationship Id="rId9" Type="http://schemas.openxmlformats.org/officeDocument/2006/relationships/table" Target="../tables/table27.xml"/><Relationship Id="rId14" Type="http://schemas.openxmlformats.org/officeDocument/2006/relationships/table" Target="../tables/table32.xml"/></Relationships>
</file>

<file path=xl/worksheets/_rels/sheet32.xml.rels><?xml version="1.0" encoding="UTF-8" standalone="yes"?>
<Relationships xmlns="http://schemas.openxmlformats.org/package/2006/relationships"><Relationship Id="rId2" Type="http://schemas.openxmlformats.org/officeDocument/2006/relationships/table" Target="../tables/table33.xml"/><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2" Type="http://schemas.openxmlformats.org/officeDocument/2006/relationships/table" Target="../tables/table35.xml"/><Relationship Id="rId1" Type="http://schemas.openxmlformats.org/officeDocument/2006/relationships/table" Target="../tables/table34.xml"/></Relationships>
</file>

<file path=xl/worksheets/_rels/sheet34.xml.rels><?xml version="1.0" encoding="UTF-8" standalone="yes"?>
<Relationships xmlns="http://schemas.openxmlformats.org/package/2006/relationships"><Relationship Id="rId8" Type="http://schemas.openxmlformats.org/officeDocument/2006/relationships/table" Target="../tables/table42.xml"/><Relationship Id="rId3" Type="http://schemas.openxmlformats.org/officeDocument/2006/relationships/table" Target="../tables/table37.xml"/><Relationship Id="rId7" Type="http://schemas.openxmlformats.org/officeDocument/2006/relationships/table" Target="../tables/table41.xml"/><Relationship Id="rId12" Type="http://schemas.openxmlformats.org/officeDocument/2006/relationships/table" Target="../tables/table46.xml"/><Relationship Id="rId2" Type="http://schemas.openxmlformats.org/officeDocument/2006/relationships/table" Target="../tables/table36.xml"/><Relationship Id="rId1" Type="http://schemas.openxmlformats.org/officeDocument/2006/relationships/printerSettings" Target="../printerSettings/printerSettings21.bin"/><Relationship Id="rId6" Type="http://schemas.openxmlformats.org/officeDocument/2006/relationships/table" Target="../tables/table40.xml"/><Relationship Id="rId11" Type="http://schemas.openxmlformats.org/officeDocument/2006/relationships/table" Target="../tables/table45.xml"/><Relationship Id="rId5" Type="http://schemas.openxmlformats.org/officeDocument/2006/relationships/table" Target="../tables/table39.xml"/><Relationship Id="rId10" Type="http://schemas.openxmlformats.org/officeDocument/2006/relationships/table" Target="../tables/table44.xml"/><Relationship Id="rId4" Type="http://schemas.openxmlformats.org/officeDocument/2006/relationships/table" Target="../tables/table38.xml"/><Relationship Id="rId9" Type="http://schemas.openxmlformats.org/officeDocument/2006/relationships/table" Target="../tables/table43.xml"/></Relationships>
</file>

<file path=xl/worksheets/_rels/sheet35.xml.rels><?xml version="1.0" encoding="UTF-8" standalone="yes"?>
<Relationships xmlns="http://schemas.openxmlformats.org/package/2006/relationships"><Relationship Id="rId3" Type="http://schemas.openxmlformats.org/officeDocument/2006/relationships/table" Target="../tables/table49.xml"/><Relationship Id="rId7" Type="http://schemas.openxmlformats.org/officeDocument/2006/relationships/table" Target="../tables/table53.xml"/><Relationship Id="rId2" Type="http://schemas.openxmlformats.org/officeDocument/2006/relationships/table" Target="../tables/table48.xml"/><Relationship Id="rId1" Type="http://schemas.openxmlformats.org/officeDocument/2006/relationships/table" Target="../tables/table47.xml"/><Relationship Id="rId6" Type="http://schemas.openxmlformats.org/officeDocument/2006/relationships/table" Target="../tables/table52.xml"/><Relationship Id="rId5" Type="http://schemas.openxmlformats.org/officeDocument/2006/relationships/table" Target="../tables/table51.xml"/><Relationship Id="rId4" Type="http://schemas.openxmlformats.org/officeDocument/2006/relationships/table" Target="../tables/table50.xml"/></Relationships>
</file>

<file path=xl/worksheets/_rels/sheet36.xml.rels><?xml version="1.0" encoding="UTF-8" standalone="yes"?>
<Relationships xmlns="http://schemas.openxmlformats.org/package/2006/relationships"><Relationship Id="rId8" Type="http://schemas.openxmlformats.org/officeDocument/2006/relationships/table" Target="../tables/table61.xml"/><Relationship Id="rId13" Type="http://schemas.openxmlformats.org/officeDocument/2006/relationships/table" Target="../tables/table66.xml"/><Relationship Id="rId18" Type="http://schemas.openxmlformats.org/officeDocument/2006/relationships/table" Target="../tables/table71.xml"/><Relationship Id="rId26" Type="http://schemas.openxmlformats.org/officeDocument/2006/relationships/table" Target="../tables/table79.xml"/><Relationship Id="rId3" Type="http://schemas.openxmlformats.org/officeDocument/2006/relationships/table" Target="../tables/table56.xml"/><Relationship Id="rId21" Type="http://schemas.openxmlformats.org/officeDocument/2006/relationships/table" Target="../tables/table74.xml"/><Relationship Id="rId7" Type="http://schemas.openxmlformats.org/officeDocument/2006/relationships/table" Target="../tables/table60.xml"/><Relationship Id="rId12" Type="http://schemas.openxmlformats.org/officeDocument/2006/relationships/table" Target="../tables/table65.xml"/><Relationship Id="rId17" Type="http://schemas.openxmlformats.org/officeDocument/2006/relationships/table" Target="../tables/table70.xml"/><Relationship Id="rId25" Type="http://schemas.openxmlformats.org/officeDocument/2006/relationships/table" Target="../tables/table78.xml"/><Relationship Id="rId2" Type="http://schemas.openxmlformats.org/officeDocument/2006/relationships/table" Target="../tables/table55.xml"/><Relationship Id="rId16" Type="http://schemas.openxmlformats.org/officeDocument/2006/relationships/table" Target="../tables/table69.xml"/><Relationship Id="rId20" Type="http://schemas.openxmlformats.org/officeDocument/2006/relationships/table" Target="../tables/table73.xml"/><Relationship Id="rId29" Type="http://schemas.openxmlformats.org/officeDocument/2006/relationships/table" Target="../tables/table82.xml"/><Relationship Id="rId1" Type="http://schemas.openxmlformats.org/officeDocument/2006/relationships/table" Target="../tables/table54.xml"/><Relationship Id="rId6" Type="http://schemas.openxmlformats.org/officeDocument/2006/relationships/table" Target="../tables/table59.xml"/><Relationship Id="rId11" Type="http://schemas.openxmlformats.org/officeDocument/2006/relationships/table" Target="../tables/table64.xml"/><Relationship Id="rId24" Type="http://schemas.openxmlformats.org/officeDocument/2006/relationships/table" Target="../tables/table77.xml"/><Relationship Id="rId5" Type="http://schemas.openxmlformats.org/officeDocument/2006/relationships/table" Target="../tables/table58.xml"/><Relationship Id="rId15" Type="http://schemas.openxmlformats.org/officeDocument/2006/relationships/table" Target="../tables/table68.xml"/><Relationship Id="rId23" Type="http://schemas.openxmlformats.org/officeDocument/2006/relationships/table" Target="../tables/table76.xml"/><Relationship Id="rId28" Type="http://schemas.openxmlformats.org/officeDocument/2006/relationships/table" Target="../tables/table81.xml"/><Relationship Id="rId10" Type="http://schemas.openxmlformats.org/officeDocument/2006/relationships/table" Target="../tables/table63.xml"/><Relationship Id="rId19" Type="http://schemas.openxmlformats.org/officeDocument/2006/relationships/table" Target="../tables/table72.xml"/><Relationship Id="rId31" Type="http://schemas.openxmlformats.org/officeDocument/2006/relationships/table" Target="../tables/table84.xml"/><Relationship Id="rId4" Type="http://schemas.openxmlformats.org/officeDocument/2006/relationships/table" Target="../tables/table57.xml"/><Relationship Id="rId9" Type="http://schemas.openxmlformats.org/officeDocument/2006/relationships/table" Target="../tables/table62.xml"/><Relationship Id="rId14" Type="http://schemas.openxmlformats.org/officeDocument/2006/relationships/table" Target="../tables/table67.xml"/><Relationship Id="rId22" Type="http://schemas.openxmlformats.org/officeDocument/2006/relationships/table" Target="../tables/table75.xml"/><Relationship Id="rId27" Type="http://schemas.openxmlformats.org/officeDocument/2006/relationships/table" Target="../tables/table80.xml"/><Relationship Id="rId30" Type="http://schemas.openxmlformats.org/officeDocument/2006/relationships/table" Target="../tables/table83.xml"/></Relationships>
</file>

<file path=xl/worksheets/_rels/sheet37.xml.rels><?xml version="1.0" encoding="UTF-8" standalone="yes"?>
<Relationships xmlns="http://schemas.openxmlformats.org/package/2006/relationships"><Relationship Id="rId3" Type="http://schemas.openxmlformats.org/officeDocument/2006/relationships/table" Target="../tables/table86.xml"/><Relationship Id="rId7" Type="http://schemas.openxmlformats.org/officeDocument/2006/relationships/table" Target="../tables/table90.xml"/><Relationship Id="rId2" Type="http://schemas.openxmlformats.org/officeDocument/2006/relationships/table" Target="../tables/table85.xml"/><Relationship Id="rId1" Type="http://schemas.openxmlformats.org/officeDocument/2006/relationships/printerSettings" Target="../printerSettings/printerSettings22.bin"/><Relationship Id="rId6" Type="http://schemas.openxmlformats.org/officeDocument/2006/relationships/table" Target="../tables/table89.xml"/><Relationship Id="rId5" Type="http://schemas.openxmlformats.org/officeDocument/2006/relationships/table" Target="../tables/table88.xml"/><Relationship Id="rId4" Type="http://schemas.openxmlformats.org/officeDocument/2006/relationships/table" Target="../tables/table87.xml"/></Relationships>
</file>

<file path=xl/worksheets/_rels/sheet38.xml.rels><?xml version="1.0" encoding="UTF-8" standalone="yes"?>
<Relationships xmlns="http://schemas.openxmlformats.org/package/2006/relationships"><Relationship Id="rId8" Type="http://schemas.openxmlformats.org/officeDocument/2006/relationships/table" Target="../tables/table97.xml"/><Relationship Id="rId13" Type="http://schemas.openxmlformats.org/officeDocument/2006/relationships/table" Target="../tables/table102.xml"/><Relationship Id="rId18" Type="http://schemas.openxmlformats.org/officeDocument/2006/relationships/table" Target="../tables/table107.xml"/><Relationship Id="rId3" Type="http://schemas.openxmlformats.org/officeDocument/2006/relationships/table" Target="../tables/table92.xml"/><Relationship Id="rId21" Type="http://schemas.openxmlformats.org/officeDocument/2006/relationships/table" Target="../tables/table110.xml"/><Relationship Id="rId7" Type="http://schemas.openxmlformats.org/officeDocument/2006/relationships/table" Target="../tables/table96.xml"/><Relationship Id="rId12" Type="http://schemas.openxmlformats.org/officeDocument/2006/relationships/table" Target="../tables/table101.xml"/><Relationship Id="rId17" Type="http://schemas.openxmlformats.org/officeDocument/2006/relationships/table" Target="../tables/table106.xml"/><Relationship Id="rId2" Type="http://schemas.openxmlformats.org/officeDocument/2006/relationships/table" Target="../tables/table91.xml"/><Relationship Id="rId16" Type="http://schemas.openxmlformats.org/officeDocument/2006/relationships/table" Target="../tables/table105.xml"/><Relationship Id="rId20" Type="http://schemas.openxmlformats.org/officeDocument/2006/relationships/table" Target="../tables/table109.xml"/><Relationship Id="rId1" Type="http://schemas.openxmlformats.org/officeDocument/2006/relationships/printerSettings" Target="../printerSettings/printerSettings23.bin"/><Relationship Id="rId6" Type="http://schemas.openxmlformats.org/officeDocument/2006/relationships/table" Target="../tables/table95.xml"/><Relationship Id="rId11" Type="http://schemas.openxmlformats.org/officeDocument/2006/relationships/table" Target="../tables/table100.xml"/><Relationship Id="rId5" Type="http://schemas.openxmlformats.org/officeDocument/2006/relationships/table" Target="../tables/table94.xml"/><Relationship Id="rId15" Type="http://schemas.openxmlformats.org/officeDocument/2006/relationships/table" Target="../tables/table104.xml"/><Relationship Id="rId10" Type="http://schemas.openxmlformats.org/officeDocument/2006/relationships/table" Target="../tables/table99.xml"/><Relationship Id="rId19" Type="http://schemas.openxmlformats.org/officeDocument/2006/relationships/table" Target="../tables/table108.xml"/><Relationship Id="rId4" Type="http://schemas.openxmlformats.org/officeDocument/2006/relationships/table" Target="../tables/table93.xml"/><Relationship Id="rId9" Type="http://schemas.openxmlformats.org/officeDocument/2006/relationships/table" Target="../tables/table98.xml"/><Relationship Id="rId14" Type="http://schemas.openxmlformats.org/officeDocument/2006/relationships/table" Target="../tables/table103.xml"/><Relationship Id="rId22" Type="http://schemas.openxmlformats.org/officeDocument/2006/relationships/table" Target="../tables/table111.xml"/></Relationships>
</file>

<file path=xl/worksheets/_rels/sheet40.xml.rels><?xml version="1.0" encoding="UTF-8" standalone="yes"?>
<Relationships xmlns="http://schemas.openxmlformats.org/package/2006/relationships"><Relationship Id="rId3" Type="http://schemas.openxmlformats.org/officeDocument/2006/relationships/table" Target="../tables/table113.xml"/><Relationship Id="rId2" Type="http://schemas.openxmlformats.org/officeDocument/2006/relationships/table" Target="../tables/table112.xml"/><Relationship Id="rId1" Type="http://schemas.openxmlformats.org/officeDocument/2006/relationships/printerSettings" Target="../printerSettings/printerSettings24.bin"/><Relationship Id="rId5" Type="http://schemas.openxmlformats.org/officeDocument/2006/relationships/table" Target="../tables/table115.xml"/><Relationship Id="rId4" Type="http://schemas.openxmlformats.org/officeDocument/2006/relationships/table" Target="../tables/table114.xml"/></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25.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6.bin"/></Relationships>
</file>

<file path=xl/worksheets/_rels/sheet43.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7.bin"/></Relationships>
</file>

<file path=xl/worksheets/_rels/sheet44.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8.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9.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3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57"/>
  <sheetViews>
    <sheetView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s>
  <sheetData>
    <row r="1" spans="1:1" ht="30" customHeight="1" x14ac:dyDescent="0.35">
      <c r="A1" s="10" t="e" vm="1">
        <v>#VALUE!</v>
      </c>
    </row>
    <row r="3" spans="1:1" ht="20.100000000000001" customHeight="1" x14ac:dyDescent="0.2">
      <c r="A3" s="255" t="str">
        <f>HYPERLINK("#'Home'!A1", "Home")</f>
        <v>Home</v>
      </c>
    </row>
    <row r="4" spans="1:1" ht="20.100000000000001" customHeight="1" x14ac:dyDescent="0.2">
      <c r="A4" s="5" t="str">
        <f>HYPERLINK("#'Results - Activity period'!A1", "Results - Activity period")</f>
        <v>Results - Activity period</v>
      </c>
    </row>
    <row r="5" spans="1:1" ht="20.100000000000001" customHeight="1" x14ac:dyDescent="0.2">
      <c r="A5" s="5" t="str">
        <f>HYPERLINK("#'Results - Product EI'!A1", "Results - Product Emissions Intensity")</f>
        <v>Results - Product Emissions Intensity</v>
      </c>
    </row>
    <row r="8" spans="1:1" ht="20.100000000000001" customHeight="1" x14ac:dyDescent="0.2">
      <c r="A8" s="7" t="s">
        <v>0</v>
      </c>
    </row>
    <row r="9" spans="1:1" ht="20.100000000000001" customHeight="1" x14ac:dyDescent="0.2">
      <c r="A9" s="5" t="str">
        <f>HYPERLINK("#'Input - Enterprise'!A1", "Enterprise")</f>
        <v>Enterprise</v>
      </c>
    </row>
    <row r="10" spans="1:1" ht="20.100000000000001" customHeight="1" x14ac:dyDescent="0.2">
      <c r="A10" s="5" t="str">
        <f>HYPERLINK("#'Input - Site'!A1", "Site")</f>
        <v>Site</v>
      </c>
    </row>
    <row r="11" spans="1:1" ht="20.100000000000001" customHeight="1" x14ac:dyDescent="0.2">
      <c r="A11" s="5" t="str">
        <f>HYPERLINK("#'Input - Poultry'!A1", "Poultry")</f>
        <v>Poultry</v>
      </c>
    </row>
    <row r="12" spans="1:1" ht="20.100000000000001" customHeight="1" x14ac:dyDescent="0.2">
      <c r="A12" s="5" t="str">
        <f>HYPERLINK("#'Input - Livestock sales'!A1", "Livestock sales")</f>
        <v>Livestock sales</v>
      </c>
    </row>
    <row r="13" spans="1:1" ht="20.100000000000001" customHeight="1" x14ac:dyDescent="0.2">
      <c r="A13" s="5" t="str">
        <f>HYPERLINK("#'Input - Poultry purchases'!A1", "Poultry purchases")</f>
        <v>Poultry purchases</v>
      </c>
    </row>
    <row r="14" spans="1:1" ht="20.100000000000001" customHeight="1" x14ac:dyDescent="0.2">
      <c r="A14" s="5" t="str">
        <f>HYPERLINK("#'Input - Fuel'!A1", "Fuel")</f>
        <v>Fuel</v>
      </c>
    </row>
    <row r="15" spans="1:1" ht="20.100000000000001" customHeight="1" x14ac:dyDescent="0.2">
      <c r="A15" s="5" t="str">
        <f>HYPERLINK("#'Input - Electricity'!A1", "Electricity")</f>
        <v>Electricity</v>
      </c>
    </row>
    <row r="16" spans="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K59"/>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2.7109375" customWidth="1"/>
    <col min="3" max="3" width="2.7109375" style="1" customWidth="1"/>
    <col min="4" max="4" width="78.42578125" style="1" customWidth="1"/>
    <col min="5" max="10" width="30.7109375" style="1" customWidth="1"/>
    <col min="11" max="11" width="4.7109375" style="1" customWidth="1"/>
    <col min="12" max="12" width="4.7109375" customWidth="1"/>
    <col min="13" max="26" width="28.7109375" customWidth="1"/>
  </cols>
  <sheetData>
    <row r="1" spans="1:11" ht="30" customHeight="1" x14ac:dyDescent="0.35">
      <c r="A1" s="10" t="e" vm="1">
        <v>#VALUE!</v>
      </c>
      <c r="C1" s="90" t="s">
        <v>256</v>
      </c>
      <c r="D1" s="90"/>
      <c r="E1" s="90"/>
      <c r="F1" s="90"/>
      <c r="G1" s="90"/>
      <c r="H1" s="90"/>
      <c r="I1" s="90"/>
      <c r="J1" s="90"/>
      <c r="K1" s="90"/>
    </row>
    <row r="2" spans="1:11" ht="20.100000000000001" customHeight="1" x14ac:dyDescent="0.2">
      <c r="C2" s="3"/>
      <c r="D2" s="3"/>
      <c r="E2" s="3"/>
      <c r="F2" s="3"/>
      <c r="G2" s="3"/>
      <c r="H2" s="3"/>
      <c r="I2" s="3"/>
      <c r="J2" s="3"/>
      <c r="K2" s="3"/>
    </row>
    <row r="3" spans="1:11" ht="20.100000000000001" customHeight="1" x14ac:dyDescent="0.2">
      <c r="A3" s="5" t="str">
        <f>HYPERLINK("#'Home'!A1", "Home")</f>
        <v>Home</v>
      </c>
      <c r="C3" s="91"/>
      <c r="D3" s="91"/>
      <c r="E3" s="91"/>
      <c r="F3" s="91"/>
      <c r="G3" s="91"/>
      <c r="H3" s="91"/>
      <c r="I3" s="91"/>
      <c r="J3" s="91"/>
      <c r="K3" s="91"/>
    </row>
    <row r="4" spans="1:11" ht="20.100000000000001" customHeight="1" x14ac:dyDescent="0.2">
      <c r="A4" s="255" t="str">
        <f>HYPERLINK("#'Results - Activity period'!A1", "Results - Activity period")</f>
        <v>Results - Activity period</v>
      </c>
      <c r="D4" s="2" t="str">
        <f>"Emissions breakdown for activities running between " &amp; TEXT(X_Cell_Site_StartDate, "dd mmmm yyyy") &amp; " and " &amp; TEXT('Input - Enterprise'!E13, "dd mmmm yyyy")</f>
        <v>Emissions breakdown for activities running between 01 January 2025 and 31 December 2025</v>
      </c>
    </row>
    <row r="5" spans="1:11" ht="20.100000000000001" customHeight="1" x14ac:dyDescent="0.2">
      <c r="A5" s="5" t="str">
        <f>HYPERLINK("#'Results - Product EI'!A1", "Results - Product Emissions Intensity")</f>
        <v>Results - Product Emissions Intensity</v>
      </c>
    </row>
    <row r="6" spans="1:11" ht="20.100000000000001" customHeight="1" x14ac:dyDescent="0.2">
      <c r="D6" s="77" t="s">
        <v>235</v>
      </c>
    </row>
    <row r="8" spans="1:11" ht="20.100000000000001" customHeight="1" x14ac:dyDescent="0.2">
      <c r="A8" s="7" t="s">
        <v>0</v>
      </c>
      <c r="D8" s="11" t="s">
        <v>3</v>
      </c>
      <c r="E8" s="11" t="s">
        <v>8</v>
      </c>
      <c r="F8" s="11" t="s">
        <v>9</v>
      </c>
      <c r="G8" s="11" t="s">
        <v>5</v>
      </c>
      <c r="H8" s="11" t="s">
        <v>10</v>
      </c>
      <c r="I8" s="11" t="s">
        <v>11</v>
      </c>
      <c r="J8" s="11"/>
    </row>
    <row r="9" spans="1:11" ht="20.100000000000001" customHeight="1" x14ac:dyDescent="0.2">
      <c r="A9" s="5" t="str">
        <f>HYPERLINK("#'Input - Enterprise'!A1", "Enterprise")</f>
        <v>Enterprise</v>
      </c>
      <c r="D9" s="1" t="s">
        <v>285</v>
      </c>
      <c r="E9" s="1" t="e">
        <f>_xlfn.SINGLE(VEERG_4_6_1_1__1_TotalAnnualMethaneEmissions_Result_Method1)</f>
        <v>#N/A</v>
      </c>
      <c r="F9" s="1" t="e">
        <f>_xlfn.SINGLE(VEERG_4_6_1_1__1_TotalAnnualMethaneEmissions_Result_Method2)</f>
        <v>#N/A</v>
      </c>
      <c r="G9" s="9" t="s">
        <v>6</v>
      </c>
      <c r="H9" s="1" t="e" cm="1">
        <f t="array" ref="H9">Common_Equations.Common_ConvertCH4ToCO2e(E9,_xlfn.XLOOKUP("CH4", Table_GWPData[Gas],Table_GWPData[CO2-e factor]))</f>
        <v>#N/A</v>
      </c>
      <c r="I9" s="1" t="e" cm="1">
        <f t="array" ref="I9">Common_Equations.Common_ConvertCH4ToCO2e(F9,_xlfn.XLOOKUP("CH4", Table_GWPData[Gas],Table_GWPData[CO2-e factor]))</f>
        <v>#N/A</v>
      </c>
      <c r="J9" s="9" t="s">
        <v>7</v>
      </c>
    </row>
    <row r="10" spans="1:11" ht="20.100000000000001" customHeight="1" x14ac:dyDescent="0.2">
      <c r="A10" s="5" t="str">
        <f>HYPERLINK("#'Input - Site'!A1", "Site")</f>
        <v>Site</v>
      </c>
      <c r="D10" s="1" t="s">
        <v>286</v>
      </c>
      <c r="E10" s="1">
        <f>_xlfn.SINGLE(VEERG_4_6_1_3__1_TotalAnnualDirectNitrousOxideEmissionsFromMMS_Result_Method1)</f>
        <v>5.7674954756571411E-4</v>
      </c>
      <c r="F10" s="1">
        <f>_xlfn.SINGLE(VEERG_4_6_1_3__1_TotalAnnualDirectNitrousOxideEmissionsFromMMS_Result_Method2)</f>
        <v>5.7674954756571411E-4</v>
      </c>
      <c r="G10" s="9" t="s">
        <v>6</v>
      </c>
      <c r="H10" s="1" cm="1">
        <f t="array" ref="H10">Common_Equations.Common_ConvertN2OToCO2e(E10,_xlfn.XLOOKUP("N2O", Table_GWPData[Gas],Table_GWPData[CO2-e factor]))</f>
        <v>0.15283863010491425</v>
      </c>
      <c r="I10" s="1" cm="1">
        <f t="array" ref="I10">Common_Equations.Common_ConvertN2OToCO2e(F10,_xlfn.XLOOKUP("N2O", Table_GWPData[Gas],Table_GWPData[CO2-e factor]))</f>
        <v>0.15283863010491425</v>
      </c>
      <c r="J10" s="9" t="s">
        <v>7</v>
      </c>
    </row>
    <row r="11" spans="1:11" ht="20.100000000000001" customHeight="1" x14ac:dyDescent="0.2">
      <c r="A11" s="5" t="str">
        <f>HYPERLINK("#'Input - Poultry'!A1", "Poultry")</f>
        <v>Poultry</v>
      </c>
      <c r="D11" s="1" t="s">
        <v>287</v>
      </c>
      <c r="E11" s="1">
        <f>_xlfn.SINGLE(VEERG_4_6_1_5__1_TotalAnnualAtmosphericDepositionEmissionsFromMMS_Result_Method1)</f>
        <v>2.2877540674560014E-4</v>
      </c>
      <c r="F11" s="1">
        <f>_xlfn.SINGLE(VEERG_4_6_1_5__1_TotalAnnualAtmosphericDepositionEmissionsFromMMS_Result_Method2)</f>
        <v>2.2877540674560014E-4</v>
      </c>
      <c r="G11" s="9" t="s">
        <v>12</v>
      </c>
      <c r="H11" s="1" cm="1">
        <f t="array" ref="H11">Common_Equations.Common_ConvertN2OToCO2e(E11,_xlfn.XLOOKUP("N2O", Table_GWPData[Gas],Table_GWPData[CO2-e factor]))</f>
        <v>6.0625482787584034E-2</v>
      </c>
      <c r="I11" s="1" cm="1">
        <f t="array" ref="I11">Common_Equations.Common_ConvertN2OToCO2e(F11,_xlfn.XLOOKUP("N2O", Table_GWPData[Gas],Table_GWPData[CO2-e factor]))</f>
        <v>6.0625482787584034E-2</v>
      </c>
      <c r="J11" s="9" t="s">
        <v>7</v>
      </c>
    </row>
    <row r="12" spans="1:11" ht="20.100000000000001" customHeight="1" x14ac:dyDescent="0.2">
      <c r="A12" s="5" t="str">
        <f>HYPERLINK("#'Input - Livestock sales'!A1", "Livestock sales")</f>
        <v>Livestock sales</v>
      </c>
      <c r="D12" s="1" t="s">
        <v>288</v>
      </c>
      <c r="E12" s="1">
        <f>_xlfn.SINGLE(VEERG_4_6_1_7__1_AnnualEmissionsFromLeachingAndRunoffFromMMS_Result_Method1)</f>
        <v>3.4753311014399998E-6</v>
      </c>
      <c r="F12" s="1">
        <f>_xlfn.SINGLE(VEERG_4_6_1_7__1_AnnualEmissionsFromLeachingAndRunoffFromMMS_Result_Method2)</f>
        <v>3.4753311014399998E-6</v>
      </c>
      <c r="G12" s="9" t="s">
        <v>12</v>
      </c>
      <c r="H12" s="1" cm="1">
        <f t="array" ref="H12">Common_Equations.Common_ConvertN2OToCO2e(E12,_xlfn.XLOOKUP("N2O", Table_GWPData[Gas],Table_GWPData[CO2-e factor]))</f>
        <v>9.2096274188159999E-4</v>
      </c>
      <c r="I12" s="1" cm="1">
        <f t="array" ref="I12">Common_Equations.Common_ConvertN2OToCO2e(F12,_xlfn.XLOOKUP("N2O", Table_GWPData[Gas],Table_GWPData[CO2-e factor]))</f>
        <v>9.2096274188159999E-4</v>
      </c>
      <c r="J12" s="9" t="s">
        <v>7</v>
      </c>
    </row>
    <row r="13" spans="1:11" ht="20.100000000000001" customHeight="1" x14ac:dyDescent="0.2">
      <c r="A13" s="5" t="str">
        <f>HYPERLINK("#'Input - Poultry purchases'!A1", "Poultry purchases")</f>
        <v>Poultry purchases</v>
      </c>
      <c r="D13" s="1" t="s">
        <v>289</v>
      </c>
      <c r="E13" s="1">
        <f>_xlfn.SINGLE(VEERG_4_6_1_10__1_DirectNitrousOxideEmissionsFromPoultryManure_Result_Method1)</f>
        <v>2.3434148571428574E-4</v>
      </c>
      <c r="F13" s="1">
        <f>_xlfn.SINGLE(VEERG_4_6_1_10__1_DirectNitrousOxideEmissionsFromPoultryManure_Result_Method2)</f>
        <v>2.3434148571428574E-4</v>
      </c>
      <c r="G13" s="9" t="s">
        <v>12</v>
      </c>
      <c r="H13" s="1" cm="1">
        <f t="array" ref="H13">Common_Equations.Common_ConvertN2OToCO2e(E13,_xlfn.XLOOKUP("N2O", Table_GWPData[Gas],Table_GWPData[CO2-e factor]))</f>
        <v>6.2100493714285721E-2</v>
      </c>
      <c r="I13" s="1" cm="1">
        <f t="array" ref="I13">Common_Equations.Common_ConvertN2OToCO2e(F13,_xlfn.XLOOKUP("N2O", Table_GWPData[Gas],Table_GWPData[CO2-e factor]))</f>
        <v>6.2100493714285721E-2</v>
      </c>
      <c r="J13" s="9" t="s">
        <v>7</v>
      </c>
    </row>
    <row r="14" spans="1:11" ht="20.100000000000001" customHeight="1" x14ac:dyDescent="0.2">
      <c r="A14" s="5" t="str">
        <f>HYPERLINK("#'Input - Fuel'!A1", "Fuel")</f>
        <v>Fuel</v>
      </c>
      <c r="D14" s="1" t="s">
        <v>290</v>
      </c>
      <c r="E14" s="1">
        <f>_xlfn.SINGLE(VEERG_4_6_1_12__1_AtmosphericDepositionEmissionsFromPoultryManureOnPasture_Result_Method1)</f>
        <v>1.72240992E-5</v>
      </c>
      <c r="F14" s="1">
        <f>_xlfn.SINGLE(VEERG_4_6_1_12__1_AtmosphericDepositionEmissionsFromPoultryManureOnPasture_Result_Method2)</f>
        <v>1.72240992E-5</v>
      </c>
      <c r="G14" s="9" t="s">
        <v>12</v>
      </c>
      <c r="H14" s="1" cm="1">
        <f t="array" ref="H14">Common_Equations.Common_ConvertN2OToCO2e(E14,_xlfn.XLOOKUP("N2O", Table_GWPData[Gas],Table_GWPData[CO2-e factor]))</f>
        <v>4.5643862879999999E-3</v>
      </c>
      <c r="I14" s="1" cm="1">
        <f t="array" ref="I14">Common_Equations.Common_ConvertN2OToCO2e(F14,_xlfn.XLOOKUP("N2O", Table_GWPData[Gas],Table_GWPData[CO2-e factor]))</f>
        <v>4.5643862879999999E-3</v>
      </c>
      <c r="J14" s="9" t="s">
        <v>7</v>
      </c>
    </row>
    <row r="15" spans="1:11" ht="20.100000000000001" customHeight="1" x14ac:dyDescent="0.2">
      <c r="A15" s="5" t="str">
        <f>HYPERLINK("#'Input - Electricity'!A1", "Electricity")</f>
        <v>Electricity</v>
      </c>
      <c r="D15" s="1" t="s">
        <v>291</v>
      </c>
      <c r="E15" s="1">
        <f>_xlfn.SINGLE(VEERG_4_6_1_14__1_LeachingAndRunoffEmissionsFromPoultryManureOnPasture_Result_Method1)</f>
        <v>2.5777563428571431E-6</v>
      </c>
      <c r="F15" s="1">
        <f>_xlfn.SINGLE(VEERG_4_6_1_14__1_LeachingAndRunoffEmissionsFromPoultryManureOnPasture_Result_Method2)</f>
        <v>2.5777563428571431E-6</v>
      </c>
      <c r="G15" s="9" t="s">
        <v>12</v>
      </c>
      <c r="H15" s="1" cm="1">
        <f t="array" ref="H15">Common_Equations.Common_ConvertN2OToCO2e(E15,_xlfn.XLOOKUP("N2O", Table_GWPData[Gas],Table_GWPData[CO2-e factor]))</f>
        <v>6.8310543085714286E-4</v>
      </c>
      <c r="I15" s="1" cm="1">
        <f t="array" ref="I15">Common_Equations.Common_ConvertN2OToCO2e(F15,_xlfn.XLOOKUP("N2O", Table_GWPData[Gas],Table_GWPData[CO2-e factor]))</f>
        <v>6.8310543085714286E-4</v>
      </c>
      <c r="J15" s="9" t="s">
        <v>7</v>
      </c>
    </row>
    <row r="16" spans="1:11" ht="20.100000000000001" customHeight="1" x14ac:dyDescent="0.2">
      <c r="A16" s="5" t="str">
        <f>HYPERLINK("#'Input - Common farm inputs'!A1", "Common farm inputs")</f>
        <v>Common farm inputs</v>
      </c>
      <c r="D16" s="1" t="s">
        <v>133</v>
      </c>
      <c r="E16" s="1" cm="1">
        <f t="array" ref="E16">VEERG_8_1_1_1__1_FuelCombustionTransport_Result_CO2</f>
        <v>83.182000000000002</v>
      </c>
      <c r="F16" s="1">
        <f>E16</f>
        <v>83.182000000000002</v>
      </c>
      <c r="G16" s="9" t="s">
        <v>127</v>
      </c>
      <c r="H16" s="1">
        <f>E17</f>
        <v>0.19906000000000001</v>
      </c>
      <c r="I16" s="1">
        <f>F17</f>
        <v>0.19906000000000001</v>
      </c>
      <c r="J16" s="9" t="s">
        <v>7</v>
      </c>
    </row>
    <row r="17" spans="1:10" ht="20.100000000000001" customHeight="1" x14ac:dyDescent="0.2">
      <c r="A17" s="5" t="str">
        <f>HYPERLINK("#'Input - Livestock farm Inputs'!A1", "Livestock farm Inputs")</f>
        <v>Livestock farm Inputs</v>
      </c>
      <c r="D17" s="1" t="s">
        <v>135</v>
      </c>
      <c r="E17" s="1" cm="1">
        <f t="array" ref="E17">VEERG_8_1_1_1__1_FuelCombustionTransport_Result_CH4</f>
        <v>0.19906000000000001</v>
      </c>
      <c r="F17" s="1">
        <f t="shared" ref="F17:F21" si="0">E17</f>
        <v>0.19906000000000001</v>
      </c>
      <c r="G17" s="9" t="s">
        <v>6</v>
      </c>
      <c r="H17" s="1" cm="1">
        <f t="array" ref="H17">Common_Equations.Common_ConvertCH4ToCO2e(E18,_xlfn.XLOOKUP("CH4", Table_GWPData[Gas],Table_GWPData[CO2-e factor]))</f>
        <v>16.366</v>
      </c>
      <c r="I17" s="1" cm="1">
        <f t="array" ref="I17">Common_Equations.Common_ConvertCH4ToCO2e(F18,_xlfn.XLOOKUP("CH4", Table_GWPData[Gas],Table_GWPData[CO2-e factor]))</f>
        <v>16.366</v>
      </c>
      <c r="J17" s="9" t="s">
        <v>7</v>
      </c>
    </row>
    <row r="18" spans="1:10" ht="20.100000000000001" customHeight="1" x14ac:dyDescent="0.2">
      <c r="A18" s="5" t="str">
        <f>HYPERLINK("#'Input - Freight'!A1", "Freight")</f>
        <v>Freight</v>
      </c>
      <c r="D18" s="1" t="s">
        <v>134</v>
      </c>
      <c r="E18" s="1" cm="1">
        <f t="array" ref="E18">VEERG_8_1_1_1__1_FuelCombustionTransport_Result_N2O</f>
        <v>0.58450000000000002</v>
      </c>
      <c r="F18" s="1">
        <f t="shared" si="0"/>
        <v>0.58450000000000002</v>
      </c>
      <c r="G18" s="9" t="s">
        <v>12</v>
      </c>
      <c r="H18" s="1" cm="1">
        <f t="array" ref="H18">Common_Equations.Common_ConvertN2OToCO2e(E19,_xlfn.XLOOKUP("N2O", Table_GWPData[Gas],Table_GWPData[CO2-e factor]))</f>
        <v>7703.7620000000006</v>
      </c>
      <c r="I18" s="1" cm="1">
        <f t="array" ref="I18">Common_Equations.Common_ConvertN2OToCO2e(F19,_xlfn.XLOOKUP("N2O", Table_GWPData[Gas],Table_GWPData[CO2-e factor]))</f>
        <v>7703.7620000000006</v>
      </c>
      <c r="J18" s="9" t="s">
        <v>7</v>
      </c>
    </row>
    <row r="19" spans="1:10" ht="20.100000000000001" customHeight="1" x14ac:dyDescent="0.2">
      <c r="A19" s="5" t="str">
        <f>HYPERLINK("#'Input - Solid waste'!A1", "Solid waste")</f>
        <v>Solid waste</v>
      </c>
      <c r="D19" s="1" t="s">
        <v>136</v>
      </c>
      <c r="E19" s="1" cm="1">
        <f t="array" ref="E19">VEERG_8_2_1_1__1_FuelCombustionStationary_Result_CO2</f>
        <v>29.070800000000002</v>
      </c>
      <c r="F19" s="1">
        <f t="shared" si="0"/>
        <v>29.070800000000002</v>
      </c>
      <c r="G19" s="9" t="s">
        <v>127</v>
      </c>
      <c r="H19" s="1">
        <f>E20</f>
        <v>7.2400000000000006E-2</v>
      </c>
      <c r="I19" s="1">
        <f>F20</f>
        <v>7.2400000000000006E-2</v>
      </c>
      <c r="J19" s="9" t="s">
        <v>7</v>
      </c>
    </row>
    <row r="20" spans="1:10" ht="20.100000000000001" customHeight="1" x14ac:dyDescent="0.2">
      <c r="A20" s="5" t="str">
        <f>HYPERLINK("#'Input - Manure sent off-site'!A1", "Manure sent off-site")</f>
        <v>Manure sent off-site</v>
      </c>
      <c r="D20" s="1" t="s">
        <v>137</v>
      </c>
      <c r="E20" s="1" cm="1">
        <f t="array" ref="E20">VEERG_8_2_1_1__1_FuelCombustionStationary_Result_CH4</f>
        <v>7.2400000000000006E-2</v>
      </c>
      <c r="F20" s="1">
        <f t="shared" si="0"/>
        <v>7.2400000000000006E-2</v>
      </c>
      <c r="G20" s="9" t="s">
        <v>6</v>
      </c>
      <c r="H20" s="1" cm="1">
        <f t="array" ref="H20">Common_Equations.Common_ConvertCH4ToCO2e(E21,_xlfn.XLOOKUP("CH4", Table_GWPData[Gas],Table_GWPData[CO2-e factor]))</f>
        <v>1.9992000000000001</v>
      </c>
      <c r="I20" s="1" cm="1">
        <f t="array" ref="I20">Common_Equations.Common_ConvertCH4ToCO2e(F21,_xlfn.XLOOKUP("CH4", Table_GWPData[Gas],Table_GWPData[CO2-e factor]))</f>
        <v>1.9992000000000001</v>
      </c>
      <c r="J20" s="9" t="s">
        <v>7</v>
      </c>
    </row>
    <row r="21" spans="1:10" ht="20.100000000000001" customHeight="1" x14ac:dyDescent="0.2">
      <c r="A21" s="5" t="str">
        <f>HYPERLINK("#'Input - Data quality'!A1", "Data quality")</f>
        <v>Data quality</v>
      </c>
      <c r="D21" s="1" t="s">
        <v>138</v>
      </c>
      <c r="E21" s="1" cm="1">
        <f t="array" ref="E21">VEERG_8_2_1_1__1_FuelCombustionStationary_Result_N2O</f>
        <v>7.1400000000000005E-2</v>
      </c>
      <c r="F21" s="1">
        <f t="shared" si="0"/>
        <v>7.1400000000000005E-2</v>
      </c>
      <c r="G21" s="9" t="s">
        <v>12</v>
      </c>
      <c r="H21" s="1" cm="1">
        <f t="array" ref="H21">Common_Equations.Common_ConvertN2OToCO2e(E22,_xlfn.XLOOKUP("N2O", Table_GWPData[Gas],Table_GWPData[CO2-e factor]))</f>
        <v>116289.43325</v>
      </c>
      <c r="I21" s="1" cm="1">
        <f t="array" ref="I21">Common_Equations.Common_ConvertN2OToCO2e(F22,_xlfn.XLOOKUP("N2O", Table_GWPData[Gas],Table_GWPData[CO2-e factor]))</f>
        <v>116289.43325</v>
      </c>
      <c r="J21" s="9" t="s">
        <v>7</v>
      </c>
    </row>
    <row r="22" spans="1:10" ht="20.100000000000001" customHeight="1" x14ac:dyDescent="0.2">
      <c r="A22" s="5" t="str">
        <f>HYPERLINK("#'Input - Fert Prod System'!A1", "Fert Prod System")</f>
        <v>Fert Prod System</v>
      </c>
      <c r="D22" s="1" t="s">
        <v>266</v>
      </c>
      <c r="E22" s="1" cm="1">
        <f t="array" ref="E22">VEERG_10_1_1_1__1_EmissionsFromWasteManagement_Scope1_Result_Method1</f>
        <v>438.82805000000002</v>
      </c>
      <c r="F22" s="1">
        <f>E22</f>
        <v>438.82805000000002</v>
      </c>
      <c r="G22" s="9" t="s">
        <v>251</v>
      </c>
      <c r="H22" s="1">
        <f>E22</f>
        <v>438.82805000000002</v>
      </c>
      <c r="I22" s="1">
        <f>F22</f>
        <v>438.82805000000002</v>
      </c>
      <c r="J22" s="9" t="s">
        <v>7</v>
      </c>
    </row>
    <row r="23" spans="1:10" ht="20.100000000000001" customHeight="1" x14ac:dyDescent="0.2">
      <c r="A23" s="5" t="str">
        <f>HYPERLINK("#'Input - Fertiliser'!A1", "Fertiliser")</f>
        <v>Fertiliser</v>
      </c>
      <c r="D23" s="85" t="s">
        <v>4</v>
      </c>
      <c r="E23" s="86"/>
      <c r="F23" s="86"/>
      <c r="G23" s="86"/>
      <c r="H23" s="85" t="e">
        <f>SUM(H9:H22)</f>
        <v>#N/A</v>
      </c>
      <c r="I23" s="85" t="e">
        <f>SUM(I9:I22)</f>
        <v>#N/A</v>
      </c>
      <c r="J23" s="95" t="s">
        <v>7</v>
      </c>
    </row>
    <row r="26" spans="1:10" ht="20.100000000000001" customHeight="1" x14ac:dyDescent="0.2">
      <c r="A26" s="6" t="s">
        <v>2</v>
      </c>
      <c r="D26" s="77" t="s">
        <v>236</v>
      </c>
    </row>
    <row r="27" spans="1:10" ht="20.100000000000001" customHeight="1" x14ac:dyDescent="0.2">
      <c r="A27" s="5" t="str">
        <f>HYPERLINK("#'4.6.1.1-2 Methane'!A1", "4.6.1.1-2 Manure Methane")</f>
        <v>4.6.1.1-2 Manure Methane</v>
      </c>
    </row>
    <row r="28" spans="1:10" ht="20.100000000000001" customHeight="1" x14ac:dyDescent="0.2">
      <c r="A28" s="5" t="str">
        <f>HYPERLINK("#'4.6.1.3-4 Direct N20'!A1", "4.6.1.3-4 Manure Direct N2O")</f>
        <v>4.6.1.3-4 Manure Direct N2O</v>
      </c>
      <c r="D28" s="11" t="s">
        <v>237</v>
      </c>
      <c r="E28" s="11" t="s">
        <v>8</v>
      </c>
      <c r="F28" s="11" t="s">
        <v>9</v>
      </c>
      <c r="G28" s="11" t="s">
        <v>5</v>
      </c>
      <c r="H28" s="11" t="s">
        <v>10</v>
      </c>
      <c r="I28" s="11" t="s">
        <v>11</v>
      </c>
      <c r="J28" s="11"/>
    </row>
    <row r="29" spans="1:10" ht="20.100000000000001" customHeight="1" x14ac:dyDescent="0.2">
      <c r="A29" s="5" t="str">
        <f>HYPERLINK("#'4.6.1.5-6 Atmos Dep'!A1", "4.6.1.5-6 Manure Atmos Dep")</f>
        <v>4.6.1.5-6 Manure Atmos Dep</v>
      </c>
      <c r="D29" s="1" t="str" cm="1">
        <f t="array" ref="D29">"14.1.1-2 Purchased electricity " &amp; IF(X_Cell_Electricity_CalculationMethod="Location-based (simpler)", "(Location-based)", "(Market-based)")</f>
        <v>14.1.1-2 Purchased electricity (Location-based)</v>
      </c>
      <c r="E29" s="1" cm="1">
        <f t="array" ref="E29">IF(X_Cell_Electricity_CalculationMethod="Location-based (simpler)", VEERG_14_1_1__1_LocationBasedScopeElectricityEmissions_Result_Method1, VEERG_14_1_2__1_MarketBasedScopeElectricityEmissionsVariation_Result_Method1)</f>
        <v>16.8</v>
      </c>
      <c r="F29" s="1">
        <f>E29</f>
        <v>16.8</v>
      </c>
      <c r="G29" s="9" t="s">
        <v>7</v>
      </c>
      <c r="H29" s="1">
        <f>E29</f>
        <v>16.8</v>
      </c>
      <c r="I29" s="1">
        <f>F29</f>
        <v>16.8</v>
      </c>
      <c r="J29" s="9" t="s">
        <v>7</v>
      </c>
    </row>
    <row r="30" spans="1:10" ht="20.100000000000001" customHeight="1" x14ac:dyDescent="0.2">
      <c r="A30" s="5" t="str">
        <f>HYPERLINK("#'4.6.1.7-8 Leaching and runoff'!A1", "4.6.1.7-8 Manure Leaching and runoff")</f>
        <v>4.6.1.7-8 Manure Leaching and runoff</v>
      </c>
      <c r="D30" s="85" t="s">
        <v>238</v>
      </c>
      <c r="E30" s="86"/>
      <c r="F30" s="86"/>
      <c r="G30" s="86"/>
      <c r="H30" s="85">
        <f>SUM(H29:H29)</f>
        <v>16.8</v>
      </c>
      <c r="I30" s="85">
        <f>SUM(I29:I29)</f>
        <v>16.8</v>
      </c>
      <c r="J30" s="95" t="s">
        <v>7</v>
      </c>
    </row>
    <row r="31" spans="1:10" ht="20.100000000000001" customHeight="1" x14ac:dyDescent="0.2">
      <c r="A31" s="5" t="str">
        <f>HYPERLINK("#'4.6.1.9 Manure applied to soils'!A1", "4.6.1.9 Manure applied to soils")</f>
        <v>4.6.1.9 Manure applied to soils</v>
      </c>
    </row>
    <row r="32" spans="1:10" ht="20.100000000000001" customHeight="1" x14ac:dyDescent="0.2">
      <c r="A32" s="5" t="str">
        <f>HYPERLINK("#'4.6.1.10-11 Soil direct N2O'!A1", "4.6.1.10-11 Soil direct N2O")</f>
        <v>4.6.1.10-11 Soil direct N2O</v>
      </c>
    </row>
    <row r="33" spans="1:10" ht="20.100000000000001" customHeight="1" x14ac:dyDescent="0.2">
      <c r="A33" s="5" t="str">
        <f>HYPERLINK("#'4.6.1.12-13 Soil atmos dep'!A1", "4.6.1.12-13 Soil atmos dep")</f>
        <v>4.6.1.12-13 Soil atmos dep</v>
      </c>
      <c r="D33" s="77" t="s">
        <v>239</v>
      </c>
    </row>
    <row r="34" spans="1:10" ht="20.100000000000001" customHeight="1" x14ac:dyDescent="0.2">
      <c r="A34" s="5" t="str">
        <f>HYPERLINK("#'4.6.1.14-15 Soil leach runoff'!A1", "4.6.1.14-15 Soil leach runoff")</f>
        <v>4.6.1.14-15 Soil leach runoff</v>
      </c>
    </row>
    <row r="35" spans="1:10" ht="20.100000000000001" customHeight="1" x14ac:dyDescent="0.2">
      <c r="A35" s="5" t="str">
        <f>HYPERLINK("#'8.1.1.1-2 Transport fuel'!A1", "8.1.1.1-2 Transport fuel")</f>
        <v>8.1.1.1-2 Transport fuel</v>
      </c>
      <c r="D35" s="11" t="s">
        <v>240</v>
      </c>
      <c r="E35" s="11" t="s">
        <v>8</v>
      </c>
      <c r="F35" s="11" t="s">
        <v>9</v>
      </c>
      <c r="G35" s="11" t="s">
        <v>5</v>
      </c>
      <c r="H35" s="11" t="s">
        <v>10</v>
      </c>
      <c r="I35" s="11" t="s">
        <v>11</v>
      </c>
      <c r="J35" s="11"/>
    </row>
    <row r="36" spans="1:10" ht="20.100000000000001" customHeight="1" x14ac:dyDescent="0.2">
      <c r="A36" s="5" t="str">
        <f>HYPERLINK("#'8.2.1.1-2 Stationary fuel'!A1", "8.2.1.1-2 Stationary fuel")</f>
        <v>8.2.1.1-2 Stationary fuel</v>
      </c>
      <c r="D36" s="1" t="s">
        <v>267</v>
      </c>
      <c r="E36" s="1" cm="1">
        <f t="array" ref="E36">VEERG_15_1_1_1__1_EmissionsFromPurchasedLivestock_Pigs_Result_Method1</f>
        <v>0</v>
      </c>
      <c r="F36" s="1" cm="1">
        <f t="array" ref="F36">VEERG_15_1_1_1__1_EmissionsFromPurchasedLivestock_Pigs_Result_Method2</f>
        <v>0</v>
      </c>
      <c r="G36" s="9" t="s">
        <v>7</v>
      </c>
      <c r="H36" s="1">
        <f t="shared" ref="H36:I37" si="1">E36</f>
        <v>0</v>
      </c>
      <c r="I36" s="1">
        <f t="shared" si="1"/>
        <v>0</v>
      </c>
      <c r="J36" s="9" t="s">
        <v>7</v>
      </c>
    </row>
    <row r="37" spans="1:10" ht="20.100000000000001" customHeight="1" x14ac:dyDescent="0.2">
      <c r="A37" s="5" t="str">
        <f>HYPERLINK("#'10.1.1-2 Solid waste treatment'!A1", "10.1.1.1-2 Solid waste")</f>
        <v>10.1.1.1-2 Solid waste</v>
      </c>
      <c r="D37" s="1" t="s">
        <v>268</v>
      </c>
      <c r="E37" s="1" cm="1">
        <f t="array" ref="E37">VEERG_15_2_1_1__1_EmissionsFromPurchasedFeed_Result_Method1</f>
        <v>0.78505200000000008</v>
      </c>
      <c r="F37" s="1" cm="1">
        <f t="array" ref="F37">VEERG_15_2_1_1__1_EmissionsFromPurchasedFeed_Result_Method1</f>
        <v>0.78505200000000008</v>
      </c>
      <c r="G37" s="9" t="s">
        <v>7</v>
      </c>
      <c r="H37" s="1">
        <f t="shared" si="1"/>
        <v>0.78505200000000008</v>
      </c>
      <c r="I37" s="1">
        <f t="shared" si="1"/>
        <v>0.78505200000000008</v>
      </c>
      <c r="J37" s="9" t="s">
        <v>7</v>
      </c>
    </row>
    <row r="38" spans="1:10" ht="20.100000000000001" customHeight="1" x14ac:dyDescent="0.2">
      <c r="A38" s="5" t="str">
        <f>HYPERLINK("#'14.1.1-2 Purchased electricity'!A1", "14.1.1-2 Purchased electricity")</f>
        <v>14.1.1-2 Purchased electricity</v>
      </c>
      <c r="D38" s="1" t="s">
        <v>241</v>
      </c>
      <c r="E38" s="1" t="str" cm="1">
        <f t="array" ref="E38">VEERG_15_7_1_1__1_EmissionsFromPurchasedServices_Result_Method1</f>
        <v>No data</v>
      </c>
      <c r="F38" s="1" cm="1">
        <f t="array" ref="F38">VEERG_15_7_1_1__1_EmissionsFromPurchasedServices_Result_Method2</f>
        <v>42</v>
      </c>
      <c r="G38" s="9" t="s">
        <v>7</v>
      </c>
      <c r="H38" s="1" t="str">
        <f t="shared" ref="H38:H46" si="2">E38</f>
        <v>No data</v>
      </c>
      <c r="I38" s="1">
        <f t="shared" ref="I38:I46" si="3">F38</f>
        <v>42</v>
      </c>
      <c r="J38" s="9" t="s">
        <v>7</v>
      </c>
    </row>
    <row r="39" spans="1:10" ht="20.100000000000001" customHeight="1" x14ac:dyDescent="0.2">
      <c r="A39" s="5" t="str">
        <f>HYPERLINK("#'15 Scope 3'!A1", "15 Scope 3")</f>
        <v>15 Scope 3</v>
      </c>
      <c r="D39" s="1" t="s">
        <v>242</v>
      </c>
      <c r="E39" s="1" cm="1">
        <f t="array" ref="E39">VEERG_15_10_1_1__1_OtherPurchasedGoodsAndServices_CleaningChemicals_Result_Method1</f>
        <v>0.50509999999999999</v>
      </c>
      <c r="F39" s="1" cm="1">
        <f t="array" ref="F39">VEERG_15_10_1_1__1_OtherPurchasedGoodsAndServices_CleaningChemicals_Result_Method2</f>
        <v>2.73</v>
      </c>
      <c r="G39" s="9" t="s">
        <v>7</v>
      </c>
      <c r="H39" s="1">
        <f t="shared" si="2"/>
        <v>0.50509999999999999</v>
      </c>
      <c r="I39" s="1">
        <f t="shared" si="3"/>
        <v>2.73</v>
      </c>
      <c r="J39" s="9" t="s">
        <v>7</v>
      </c>
    </row>
    <row r="40" spans="1:10" ht="20.100000000000001" customHeight="1" x14ac:dyDescent="0.2">
      <c r="A40" s="5" t="str">
        <f>HYPERLINK("#'Calcs - Manure sent off-site'!A1", "Calcs - Manure sent off-site")</f>
        <v>Calcs - Manure sent off-site</v>
      </c>
      <c r="D40" s="1" t="s">
        <v>269</v>
      </c>
      <c r="E40" s="1" cm="1">
        <f t="array" ref="E40">VEERG_15_10_1_1__1_OtherPurchasedGoodsAndServices_PharmacyChemicals_Result_Method1</f>
        <v>1.5636000000000001E-2</v>
      </c>
      <c r="F40" s="1" cm="1">
        <f t="array" ref="F40">VEERG_15_10_1_1__1_OtherPurchasedGoodsAndServices_PharmacyChemicals_Result_Method1</f>
        <v>1.5636000000000001E-2</v>
      </c>
      <c r="G40" s="9" t="s">
        <v>7</v>
      </c>
      <c r="H40" s="1">
        <f t="shared" si="2"/>
        <v>1.5636000000000001E-2</v>
      </c>
      <c r="I40" s="1">
        <f t="shared" si="3"/>
        <v>1.5636000000000001E-2</v>
      </c>
      <c r="J40" s="9" t="s">
        <v>7</v>
      </c>
    </row>
    <row r="41" spans="1:10" ht="20.100000000000001" customHeight="1" x14ac:dyDescent="0.2">
      <c r="A41" s="5" t="str">
        <f>HYPERLINK("#'5.1.1.1-2 Inorganic fert N2O'!A1", "5.1.1.1-2 Inorganic fert N2O")</f>
        <v>5.1.1.1-2 Inorganic fert N2O</v>
      </c>
      <c r="D41" s="1" t="s">
        <v>243</v>
      </c>
      <c r="E41" s="1" t="str" cm="1">
        <f t="array" ref="E41">VEERG_15_10_1_1__1_OtherPurchasedGoodsAndServices_Uncategorised_Result_Method1</f>
        <v>No data</v>
      </c>
      <c r="F41" s="1" cm="1">
        <f t="array" ref="F41">VEERG_15_10_1_1__1_OtherPurchasedGoodsAndServices_Uncategorised_Result_Method2</f>
        <v>4000</v>
      </c>
      <c r="G41" s="9" t="s">
        <v>7</v>
      </c>
      <c r="H41" s="1" t="str">
        <f t="shared" si="2"/>
        <v>No data</v>
      </c>
      <c r="I41" s="1">
        <f t="shared" si="3"/>
        <v>4000</v>
      </c>
      <c r="J41" s="9" t="s">
        <v>7</v>
      </c>
    </row>
    <row r="42" spans="1:10" ht="20.100000000000001" customHeight="1" x14ac:dyDescent="0.2">
      <c r="A42" s="5" t="str">
        <f>HYPERLINK("#'5.1.1.3-4 Inorganic fert CO2'!A1", "5.1.1.3-4 Inorganic fert CO2")</f>
        <v>5.1.1.3-4 Inorganic fert CO2</v>
      </c>
      <c r="D42" s="1" t="s">
        <v>244</v>
      </c>
      <c r="E42" s="1" cm="1">
        <f t="array" ref="E42">VEERG_15_11_1_1__1_TotalUpstreamEmissionsFromFuel_Result</f>
        <v>26.384</v>
      </c>
      <c r="F42" s="1">
        <f>E42</f>
        <v>26.384</v>
      </c>
      <c r="G42" s="9" t="s">
        <v>7</v>
      </c>
      <c r="H42" s="1">
        <f t="shared" si="2"/>
        <v>26.384</v>
      </c>
      <c r="I42" s="1">
        <f t="shared" si="3"/>
        <v>26.384</v>
      </c>
      <c r="J42" s="9" t="s">
        <v>7</v>
      </c>
    </row>
    <row r="43" spans="1:10" ht="20.100000000000001" customHeight="1" x14ac:dyDescent="0.2">
      <c r="A43" s="5" t="str">
        <f>HYPERLINK("#'5.2.1.1-2 Organic Fert N2O'!A1", "5.2.1.1-2 Organic Fert N2O")</f>
        <v>5.2.1.1-2 Organic Fert N2O</v>
      </c>
      <c r="D43" s="1" t="str" cm="1">
        <f t="array" ref="D43">"15.12.1.1 Purchased electricity " &amp; IF(X_Cell_Electricity_CalculationMethod="Location-based (simpler)", "(Location-based)", "(Market-based)")</f>
        <v>15.12.1.1 Purchased electricity (Location-based)</v>
      </c>
      <c r="E43" s="1" cm="1">
        <f t="array" ref="E43">IF(X_Cell_Electricity_CalculationMethod="Location-based (simpler)", VEERG_15_12_1_1__1_UpstreamPurchasedElectricityLocationBased_Result, VEERG_15_12_1_1__1_UpstreamPurchasedElectricityMarketBased_Result)</f>
        <v>2.7</v>
      </c>
      <c r="F43" s="1">
        <f>E43</f>
        <v>2.7</v>
      </c>
      <c r="G43" s="9" t="s">
        <v>7</v>
      </c>
      <c r="H43" s="1">
        <f t="shared" si="2"/>
        <v>2.7</v>
      </c>
      <c r="I43" s="1">
        <f t="shared" si="3"/>
        <v>2.7</v>
      </c>
      <c r="J43" s="9" t="s">
        <v>7</v>
      </c>
    </row>
    <row r="44" spans="1:10" ht="20.100000000000001" customHeight="1" x14ac:dyDescent="0.2">
      <c r="A44" s="5" t="str">
        <f>HYPERLINK("#'5.3.1.1-2 Lime CO2'!A1", "5.3.1.1-2 Lime CO2")</f>
        <v>5.3.1.1-2 Lime CO2</v>
      </c>
      <c r="D44" s="1" t="s">
        <v>246</v>
      </c>
      <c r="E44" s="1" cm="1">
        <f t="array" ref="E44">VEERG_10_1_1_1__1_EmissionsFromWasteManagement_Scope3_Result_Method1</f>
        <v>441.15000000000003</v>
      </c>
      <c r="F44" s="1">
        <f>E44</f>
        <v>441.15000000000003</v>
      </c>
      <c r="G44" s="9" t="s">
        <v>7</v>
      </c>
      <c r="H44" s="1">
        <f t="shared" si="2"/>
        <v>441.15000000000003</v>
      </c>
      <c r="I44" s="1">
        <f t="shared" si="3"/>
        <v>441.15000000000003</v>
      </c>
      <c r="J44" s="9" t="s">
        <v>7</v>
      </c>
    </row>
    <row r="45" spans="1:10" ht="20.100000000000001" customHeight="1" x14ac:dyDescent="0.2">
      <c r="A45" s="5" t="str">
        <f>HYPERLINK("#'5.4.1.1-4 Atmos deposition'!A1", "5.4.1.1-4 Atmos deposition")</f>
        <v>5.4.1.1-4 Atmos deposition</v>
      </c>
      <c r="D45" s="1" t="s">
        <v>245</v>
      </c>
      <c r="E45" s="1" t="str" cm="1">
        <f t="array" ref="E45">VEERG_15_14_1_1__1_EmbeddedEmissionsFromUpstreamFreight_Incoming_Result_Method1</f>
        <v>No data</v>
      </c>
      <c r="F45" s="1" cm="1">
        <f t="array" ref="F45">VEERG_15_14_1_1__1_EmbeddedEmissionsFromUpstreamFreight_Incoming_Result_Method2</f>
        <v>5146700</v>
      </c>
      <c r="G45" s="9" t="s">
        <v>7</v>
      </c>
      <c r="H45" s="1" t="str">
        <f t="shared" si="2"/>
        <v>No data</v>
      </c>
      <c r="I45" s="1">
        <f t="shared" si="3"/>
        <v>5146700</v>
      </c>
      <c r="J45" s="9" t="s">
        <v>7</v>
      </c>
    </row>
    <row r="46" spans="1:10" ht="20.100000000000001" customHeight="1" x14ac:dyDescent="0.2">
      <c r="A46" s="5" t="str">
        <f>HYPERLINK("#'5.5.1.1-2 Leaching and runoff'!A1", "5.5.1.1-2 Leaching and runoff")</f>
        <v>5.5.1.1-2 Leaching and runoff</v>
      </c>
      <c r="D46" s="1" t="s">
        <v>247</v>
      </c>
      <c r="E46" s="1" t="str" cm="1">
        <f t="array" ref="E46">VEERG_15_14_1_1__1_EmbeddedEmissionsFromUpstreamFreight_Outgoing_Result_Method1</f>
        <v>No data</v>
      </c>
      <c r="F46" s="1" cm="1">
        <f t="array" ref="F46">VEERG_15_14_1_1__1_EmbeddedEmissionsFromUpstreamFreight_Outgoing_Result_Method2</f>
        <v>432640</v>
      </c>
      <c r="G46" s="9" t="s">
        <v>7</v>
      </c>
      <c r="H46" s="1" t="str">
        <f t="shared" si="2"/>
        <v>No data</v>
      </c>
      <c r="I46" s="1">
        <f t="shared" si="3"/>
        <v>432640</v>
      </c>
      <c r="J46" s="9" t="s">
        <v>7</v>
      </c>
    </row>
    <row r="47" spans="1:10" ht="20.100000000000001" customHeight="1" x14ac:dyDescent="0.2">
      <c r="D47" s="85" t="s">
        <v>248</v>
      </c>
      <c r="E47" s="86"/>
      <c r="F47" s="86"/>
      <c r="G47" s="86"/>
      <c r="H47" s="85">
        <f>SUM(H36:H46)</f>
        <v>471.53978800000004</v>
      </c>
      <c r="I47" s="85">
        <f>SUM(I36:I46)</f>
        <v>5583855.7646880001</v>
      </c>
      <c r="J47" s="95" t="s">
        <v>7</v>
      </c>
    </row>
    <row r="49" spans="1:7" ht="20.100000000000001" customHeight="1" x14ac:dyDescent="0.2">
      <c r="A49" s="80" t="s">
        <v>1</v>
      </c>
    </row>
    <row r="50" spans="1:7" ht="20.100000000000001" customHeight="1" x14ac:dyDescent="0.2">
      <c r="A50" s="5" t="str">
        <f>HYPERLINK("#'Constants - Poultry'!A1", "Constants - Poultry")</f>
        <v>Constants - Poultry</v>
      </c>
      <c r="D50" s="77" t="str">
        <f>"Carbon removals from plantings for the activity period " &amp; TEXT(X_Cell_Site_StartDate, "d mmmm yyyy") &amp; " and " &amp; TEXT(X_Cell_Site_EndDate, "d mmmm yyyy")</f>
        <v>Carbon removals from plantings for the activity period 1 January 2025 and 31 December 2025</v>
      </c>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85" t="s">
        <v>249</v>
      </c>
      <c r="E52" s="86">
        <f>SUM(Table_Input_Enterprise_PlantingRemovals[Removal allocated to this enterprise])</f>
        <v>0</v>
      </c>
      <c r="F52" s="95" t="s">
        <v>127</v>
      </c>
    </row>
    <row r="53" spans="1:7" ht="20.100000000000001" customHeight="1" x14ac:dyDescent="0.2">
      <c r="A53" s="5" t="str">
        <f>HYPERLINK("#'Constants - Fertiliser'!A1", "Constants - Fertiliser")</f>
        <v>Constants - Fertiliser</v>
      </c>
    </row>
    <row r="54" spans="1:7" ht="20.100000000000001" customHeight="1" x14ac:dyDescent="0.2">
      <c r="A54" s="5" t="str">
        <f>HYPERLINK("#'Constants - Fuel'!A1", "Constants - Fuel")</f>
        <v>Constants - Fuel</v>
      </c>
    </row>
    <row r="55" spans="1:7" ht="20.100000000000001" customHeight="1" x14ac:dyDescent="0.2">
      <c r="A55" s="5" t="str">
        <f>HYPERLINK("#'Constants - Scope 3'!A1", "Constants - Scope 3")</f>
        <v>Constants - Scope 3</v>
      </c>
      <c r="D55" s="77" t="str">
        <f>"Net emissions for the activity period " &amp; TEXT(X_Cell_Site_StartDate, "d mmmm yyyy") &amp; " and " &amp; TEXT(X_Cell_Site_EndDate, "d mmmm yyyy")</f>
        <v>Net emissions for the activity period 1 January 2025 and 31 December 2025</v>
      </c>
    </row>
    <row r="56" spans="1:7" ht="20.100000000000001" customHeight="1" x14ac:dyDescent="0.2">
      <c r="A56" s="5" t="str">
        <f>HYPERLINK("#'Constants - Solid Waste'!A1", "Constants - Solid Waste")</f>
        <v>Constants - Solid Waste</v>
      </c>
    </row>
    <row r="57" spans="1:7" ht="20.100000000000001" customHeight="1" x14ac:dyDescent="0.2">
      <c r="A57" s="5" t="str">
        <f>HYPERLINK("#'Constants - Common'!A1", "Constants - Common")</f>
        <v>Constants - Common</v>
      </c>
      <c r="D57" s="11"/>
      <c r="E57" s="11" t="s">
        <v>130</v>
      </c>
      <c r="F57" s="11" t="s">
        <v>131</v>
      </c>
      <c r="G57" s="11"/>
    </row>
    <row r="58" spans="1:7" ht="20.100000000000001" customHeight="1" x14ac:dyDescent="0.2">
      <c r="D58" s="94" t="s">
        <v>250</v>
      </c>
      <c r="E58" s="92" t="e">
        <f>Result_Enterprise_Scope1_Method1+Result_Enterprise_Scope2_Method1+Result_Enterprise_Scope3_Method1</f>
        <v>#N/A</v>
      </c>
      <c r="F58" s="92" t="e">
        <f>Result_Enterprise_Scope1_Method2+Result_Enterprise_Scope2_Method2+Result_Enterprise_Scope3_Method2</f>
        <v>#N/A</v>
      </c>
      <c r="G58" s="93" t="s">
        <v>251</v>
      </c>
    </row>
    <row r="59" spans="1:7" ht="20.100000000000001" customHeight="1" x14ac:dyDescent="0.2">
      <c r="D59" s="94" t="s">
        <v>252</v>
      </c>
      <c r="E59" s="92" t="e">
        <f>Result_Enterprise_Gross_Method1-Result_Enterprise_Removals</f>
        <v>#N/A</v>
      </c>
      <c r="F59" s="92" t="e">
        <f>Result_Enterprise_Gross_Method2-Result_Enterprise_Removals</f>
        <v>#N/A</v>
      </c>
      <c r="G59" s="93" t="s">
        <v>251</v>
      </c>
    </row>
  </sheetData>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C2C70A-3829-41AD-8C72-9BB34460C4F5}">
  <sheetPr>
    <tabColor rgb="FF0C769E"/>
  </sheetPr>
  <dimension ref="A1:AJ60"/>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1.7109375" style="1" customWidth="1"/>
    <col min="5" max="13" width="30.7109375" style="1" customWidth="1"/>
    <col min="14" max="36" width="9.140625" style="1"/>
  </cols>
  <sheetData>
    <row r="1" spans="1:36" s="90" customFormat="1" ht="30" customHeight="1" x14ac:dyDescent="0.35">
      <c r="A1" s="10" t="e" vm="1">
        <v>#VALUE!</v>
      </c>
      <c r="C1" s="90" t="s">
        <v>255</v>
      </c>
    </row>
    <row r="2" spans="1:36" s="3" customFormat="1" ht="20.100000000000001" customHeight="1" x14ac:dyDescent="0.2">
      <c r="A2"/>
    </row>
    <row r="3" spans="1:36" ht="20.100000000000001" customHeight="1" x14ac:dyDescent="0.2">
      <c r="A3" s="5" t="str">
        <f>HYPERLINK("#'Home'!A1", "Home")</f>
        <v>Home</v>
      </c>
      <c r="C3" s="91"/>
      <c r="D3" s="91"/>
      <c r="E3" s="91"/>
      <c r="F3" s="91"/>
      <c r="G3" s="91"/>
      <c r="H3" s="91"/>
      <c r="I3" s="91"/>
      <c r="J3" s="91"/>
      <c r="K3" s="91"/>
      <c r="L3" s="91"/>
      <c r="M3" s="91"/>
      <c r="N3" s="91"/>
      <c r="O3" s="91"/>
      <c r="P3" s="91"/>
      <c r="Q3" s="91"/>
      <c r="R3" s="91"/>
      <c r="S3" s="91"/>
      <c r="T3" s="91"/>
      <c r="U3" s="91"/>
      <c r="V3" s="91"/>
      <c r="W3" s="91"/>
      <c r="X3" s="91"/>
      <c r="Y3" s="91"/>
      <c r="Z3" s="91"/>
      <c r="AA3" s="91"/>
      <c r="AB3" s="91"/>
      <c r="AC3" s="91"/>
      <c r="AD3" s="91"/>
      <c r="AE3" s="91"/>
      <c r="AF3" s="91"/>
      <c r="AG3" s="91"/>
      <c r="AH3" s="91"/>
      <c r="AI3" s="91"/>
      <c r="AJ3" s="91"/>
    </row>
    <row r="4" spans="1:36" ht="20.100000000000001" customHeight="1" x14ac:dyDescent="0.2">
      <c r="A4" s="5" t="str">
        <f>HYPERLINK("#'Results - Activity period'!A1", "Results - Activity period")</f>
        <v>Results - Activity period</v>
      </c>
    </row>
    <row r="5" spans="1:36" ht="20.100000000000001" customHeight="1" x14ac:dyDescent="0.2">
      <c r="A5" s="255" t="str">
        <f>HYPERLINK("#'Results - Product EI'!A1", "Results - Product Emissions Intensity")</f>
        <v>Results - Product Emissions Intensity</v>
      </c>
    </row>
    <row r="8" spans="1:36" ht="20.100000000000001" customHeight="1" x14ac:dyDescent="0.2">
      <c r="A8" s="7" t="s">
        <v>0</v>
      </c>
    </row>
    <row r="9" spans="1:36" ht="20.100000000000001" customHeight="1" x14ac:dyDescent="0.2">
      <c r="A9" s="5" t="str">
        <f>HYPERLINK("#'Input - Enterprise'!A1", "Enterprise")</f>
        <v>Enterprise</v>
      </c>
    </row>
    <row r="10" spans="1:36" ht="20.100000000000001" customHeight="1" x14ac:dyDescent="0.2">
      <c r="A10" s="5" t="str">
        <f>HYPERLINK("#'Input - Site'!A1", "Site")</f>
        <v>Site</v>
      </c>
    </row>
    <row r="11" spans="1:36" ht="20.100000000000001" customHeight="1" x14ac:dyDescent="0.2">
      <c r="A11" s="5" t="str">
        <f>HYPERLINK("#'Input - Poultry'!A1", "Poultry")</f>
        <v>Poultry</v>
      </c>
    </row>
    <row r="12" spans="1:36" ht="20.100000000000001" customHeight="1" x14ac:dyDescent="0.2">
      <c r="A12" s="5" t="str">
        <f>HYPERLINK("#'Input - Livestock sales'!A1", "Livestock sales")</f>
        <v>Livestock sales</v>
      </c>
    </row>
    <row r="13" spans="1:36" ht="20.100000000000001" customHeight="1" x14ac:dyDescent="0.2">
      <c r="A13" s="5" t="str">
        <f>HYPERLINK("#'Input - Poultry purchases'!A1", "Poultry purchases")</f>
        <v>Poultry purchases</v>
      </c>
    </row>
    <row r="14" spans="1:36" ht="20.100000000000001" customHeight="1" x14ac:dyDescent="0.2">
      <c r="A14" s="5" t="str">
        <f>HYPERLINK("#'Input - Fuel'!A1", "Fuel")</f>
        <v>Fuel</v>
      </c>
    </row>
    <row r="15" spans="1:36" ht="20.100000000000001" customHeight="1" x14ac:dyDescent="0.2">
      <c r="A15" s="5" t="str">
        <f>HYPERLINK("#'Input - Electricity'!A1", "Electricity")</f>
        <v>Electricity</v>
      </c>
    </row>
    <row r="16" spans="1:36"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row>
    <row r="19" spans="1:4" ht="20.100000000000001" customHeight="1" x14ac:dyDescent="0.2">
      <c r="A19" s="5" t="str">
        <f>HYPERLINK("#'Input - Solid waste'!A1", "Solid waste")</f>
        <v>Solid waste</v>
      </c>
    </row>
    <row r="20" spans="1:4" ht="20.100000000000001" customHeight="1" x14ac:dyDescent="0.2">
      <c r="A20" s="5" t="str">
        <f>HYPERLINK("#'Input - Manure sent off-site'!A1", "Manure sent off-site")</f>
        <v>Manure sent off-site</v>
      </c>
    </row>
    <row r="21" spans="1:4" ht="20.100000000000001" customHeight="1" x14ac:dyDescent="0.2">
      <c r="A21" s="5" t="str">
        <f>HYPERLINK("#'Input - Data quality'!A1", "Data quality")</f>
        <v>Data quality</v>
      </c>
    </row>
    <row r="22" spans="1:4" ht="20.100000000000001" customHeight="1" x14ac:dyDescent="0.2">
      <c r="A22" s="5" t="str">
        <f>HYPERLINK("#'Input - Fert Prod System'!A1", "Fert Prod System")</f>
        <v>Fert Prod System</v>
      </c>
    </row>
    <row r="23" spans="1:4" ht="20.100000000000001" customHeight="1" x14ac:dyDescent="0.2">
      <c r="A23" s="5" t="str">
        <f>HYPERLINK("#'Input - Fertiliser'!A1", "Fertiliser")</f>
        <v>Fertiliser</v>
      </c>
    </row>
    <row r="26" spans="1:4" ht="20.100000000000001" customHeight="1" x14ac:dyDescent="0.2">
      <c r="A26" s="6" t="s">
        <v>2</v>
      </c>
    </row>
    <row r="27" spans="1:4" ht="20.100000000000001" customHeight="1" x14ac:dyDescent="0.2">
      <c r="A27" s="5" t="str">
        <f>HYPERLINK("#'4.6.1.1-2 Methane'!A1", "4.6.1.1-2 Manure Methane")</f>
        <v>4.6.1.1-2 Manure Methane</v>
      </c>
    </row>
    <row r="28" spans="1:4" ht="20.100000000000001" customHeight="1" x14ac:dyDescent="0.2">
      <c r="A28" s="5" t="str">
        <f>HYPERLINK("#'4.6.1.3-4 Direct N20'!A1", "4.6.1.3-4 Manure Direct N2O")</f>
        <v>4.6.1.3-4 Manure Direct N2O</v>
      </c>
    </row>
    <row r="29" spans="1:4" ht="20.100000000000001" customHeight="1" x14ac:dyDescent="0.2">
      <c r="A29" s="5" t="str">
        <f>HYPERLINK("#'4.6.1.5-6 Atmos Dep'!A1", "4.6.1.5-6 Manure Atmos Dep")</f>
        <v>4.6.1.5-6 Manure Atmos Dep</v>
      </c>
    </row>
    <row r="30" spans="1:4" ht="20.100000000000001" customHeight="1" x14ac:dyDescent="0.2">
      <c r="A30" s="5" t="str">
        <f>HYPERLINK("#'4.6.1.7-8 Leaching and runoff'!A1", "4.6.1.7-8 Manure Leaching and runoff")</f>
        <v>4.6.1.7-8 Manure Leaching and runoff</v>
      </c>
    </row>
    <row r="31" spans="1:4" ht="20.100000000000001" customHeight="1" x14ac:dyDescent="0.2">
      <c r="A31" s="5" t="str">
        <f>HYPERLINK("#'4.6.1.9 Manure applied to soils'!A1", "4.6.1.9 Manure applied to soils")</f>
        <v>4.6.1.9 Manure applied to soils</v>
      </c>
    </row>
    <row r="32" spans="1:4" ht="20.100000000000001" customHeight="1" x14ac:dyDescent="0.2">
      <c r="A32" s="5" t="str">
        <f>HYPERLINK("#'4.6.1.10-11 Soil direct N2O'!A1", "4.6.1.10-11 Soil direct N2O")</f>
        <v>4.6.1.10-11 Soil direct N2O</v>
      </c>
      <c r="D32" s="2" t="str">
        <f>"Emissions for whole production cycle running between " &amp; TEXT(X_Cell_Enterprise_ProductionTimeframeStart, "d mmmm yyyy") &amp; " and " &amp; TEXT(X_Cell_Enterprise_ProductionTimeframeEnd, "d mmmm yyyy")</f>
        <v>Emissions for whole production cycle running between 1 November 2025 and 31 March 2026</v>
      </c>
    </row>
    <row r="33" spans="1:10" ht="20.100000000000001" customHeight="1" x14ac:dyDescent="0.2">
      <c r="A33" s="5" t="str">
        <f>HYPERLINK("#'4.6.1.12-13 Soil atmos dep'!A1", "4.6.1.12-13 Soil atmos dep")</f>
        <v>4.6.1.12-13 Soil atmos dep</v>
      </c>
    </row>
    <row r="34" spans="1:10" ht="20.100000000000001" customHeight="1" x14ac:dyDescent="0.2">
      <c r="A34" s="5" t="str">
        <f>HYPERLINK("#'4.6.1.14-15 Soil leach runoff'!A1", "4.6.1.14-15 Soil leach runoff")</f>
        <v>4.6.1.14-15 Soil leach runoff</v>
      </c>
    </row>
    <row r="35" spans="1:10" ht="20.100000000000001" customHeight="1" x14ac:dyDescent="0.2">
      <c r="A35" s="5" t="str">
        <f>HYPERLINK("#'8.1.1.1-2 Transport fuel'!A1", "8.1.1.1-2 Transport fuel")</f>
        <v>8.1.1.1-2 Transport fuel</v>
      </c>
      <c r="D35" s="11"/>
      <c r="E35" s="11" t="s">
        <v>130</v>
      </c>
      <c r="F35" s="11" t="s">
        <v>131</v>
      </c>
      <c r="G35" s="11"/>
    </row>
    <row r="36" spans="1:10" ht="20.100000000000001" customHeight="1" x14ac:dyDescent="0.2">
      <c r="A36" s="5" t="str">
        <f>HYPERLINK("#'8.2.1.1-2 Stationary fuel'!A1", "8.2.1.1-2 Stationary fuel")</f>
        <v>8.2.1.1-2 Stationary fuel</v>
      </c>
      <c r="D36" s="75" t="s">
        <v>253</v>
      </c>
      <c r="E36" s="1" t="e">
        <f>Result_EmissionsForWholeProductionCycle_Gross_Method1</f>
        <v>#N/A</v>
      </c>
      <c r="F36" s="1" t="e">
        <f>Result_EmissionsForWholeProductionCycle_Gross_Method2</f>
        <v>#N/A</v>
      </c>
      <c r="G36" s="9" t="s">
        <v>7</v>
      </c>
    </row>
    <row r="37" spans="1:10" ht="20.100000000000001" customHeight="1" x14ac:dyDescent="0.2">
      <c r="A37" s="5" t="str">
        <f>HYPERLINK("#'10.1.1-2 Solid waste treatment'!A1", "10.1.1.1-2 Solid waste")</f>
        <v>10.1.1.1-2 Solid waste</v>
      </c>
      <c r="D37" s="75" t="s">
        <v>254</v>
      </c>
      <c r="E37" s="1" t="e">
        <f>Result_EmissionsForWholeProductionCycle_Net_Method1</f>
        <v>#N/A</v>
      </c>
      <c r="F37" s="1" t="e">
        <f>Result_EmissionsForWholeProductionCycle_Net_Method2</f>
        <v>#N/A</v>
      </c>
      <c r="G37" s="9" t="s">
        <v>7</v>
      </c>
    </row>
    <row r="38" spans="1:10" ht="20.100000000000001" customHeight="1" x14ac:dyDescent="0.2">
      <c r="A38" s="5" t="str">
        <f>HYPERLINK("#'14.1.1-2 Purchased electricity'!A1", "14.1.1-2 Purchased electricity")</f>
        <v>14.1.1-2 Purchased electricity</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D40" s="2" t="str">
        <f>"Product emissions intensity for whole production cycle running between " &amp; TEXT(X_Cell_Enterprise_ProductionTimeframeStart, "d mmmm yyyy") &amp; " and " &amp; TEXT(X_Cell_Enterprise_ProductionTimeframeEnd, "d mmmm yyyy")</f>
        <v>Product emissions intensity for whole production cycle running between 1 November 2025 and 31 March 2026</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c r="D42" s="77" t="s">
        <v>145</v>
      </c>
    </row>
    <row r="43" spans="1:10" ht="20.100000000000001" customHeight="1" x14ac:dyDescent="0.2">
      <c r="A43" s="5" t="str">
        <f>HYPERLINK("#'5.2.1.1-2 Organic Fert N2O'!A1", "5.2.1.1-2 Organic Fert N2O")</f>
        <v>5.2.1.1-2 Organic Fert N2O</v>
      </c>
      <c r="D43" s="11" t="s">
        <v>132</v>
      </c>
      <c r="E43" s="11" t="s">
        <v>121</v>
      </c>
      <c r="F43" s="11" t="s">
        <v>117</v>
      </c>
      <c r="G43" s="11" t="s">
        <v>142</v>
      </c>
      <c r="H43" s="11" t="s">
        <v>119</v>
      </c>
      <c r="I43" s="11" t="s">
        <v>120</v>
      </c>
      <c r="J43" s="11" t="s">
        <v>118</v>
      </c>
    </row>
    <row r="44" spans="1:10" ht="20.100000000000001" customHeight="1" x14ac:dyDescent="0.2">
      <c r="A44" s="5" t="str">
        <f>HYPERLINK("#'5.3.1.1-2 Lime CO2'!A1", "5.3.1.1-2 Lime CO2")</f>
        <v>5.3.1.1-2 Lime CO2</v>
      </c>
      <c r="D44" s="1" t="s">
        <v>273</v>
      </c>
      <c r="E44" s="1" t="s">
        <v>122</v>
      </c>
      <c r="F44" s="1">
        <f>X_Cell_Enterprise_BirdsSold</f>
        <v>500</v>
      </c>
      <c r="G44" s="1">
        <f>F44/(F44+F46+F48)</f>
        <v>0.97847358121330719</v>
      </c>
      <c r="H44" s="1" t="e">
        <f>($E$36/F44)*G44</f>
        <v>#N/A</v>
      </c>
      <c r="I44" s="1" t="e">
        <f>($F$36/F44)*G44</f>
        <v>#N/A</v>
      </c>
      <c r="J44" s="9" t="s">
        <v>292</v>
      </c>
    </row>
    <row r="45" spans="1:10" ht="20.100000000000001" customHeight="1" x14ac:dyDescent="0.2">
      <c r="A45" s="5" t="str">
        <f>HYPERLINK("#'5.4.1.1-4 Atmos deposition'!A1", "5.4.1.1-4 Atmos deposition")</f>
        <v>5.4.1.1-4 Atmos deposition</v>
      </c>
      <c r="D45" s="1" t="s">
        <v>274</v>
      </c>
      <c r="E45" s="1" t="s">
        <v>122</v>
      </c>
      <c r="F45" s="1">
        <f>F44</f>
        <v>500</v>
      </c>
      <c r="G45" s="1">
        <f>G44</f>
        <v>0.97847358121330719</v>
      </c>
      <c r="H45" s="1" t="e">
        <f>($E$37/F45)*G45</f>
        <v>#N/A</v>
      </c>
      <c r="I45" s="1" t="e">
        <f>($F$37/F45)*G45</f>
        <v>#N/A</v>
      </c>
      <c r="J45" s="9" t="s">
        <v>292</v>
      </c>
    </row>
    <row r="46" spans="1:10" ht="20.100000000000001" customHeight="1" x14ac:dyDescent="0.2">
      <c r="A46" s="5" t="str">
        <f>HYPERLINK("#'5.5.1.1-2 Leaching and runoff'!A1", "5.5.1.1-2 Leaching and runoff")</f>
        <v>5.5.1.1-2 Leaching and runoff</v>
      </c>
      <c r="D46" s="1" t="s">
        <v>283</v>
      </c>
      <c r="E46" s="1" t="s">
        <v>122</v>
      </c>
      <c r="F46" s="1">
        <f>X_Cell_Enterprise_EggsProduced</f>
        <v>10</v>
      </c>
      <c r="G46" s="1">
        <f>F46/(F44+F46+F48)</f>
        <v>1.9569471624266144E-2</v>
      </c>
      <c r="H46" s="1" t="e">
        <f>($E$36/F46)*G46</f>
        <v>#N/A</v>
      </c>
      <c r="I46" s="1" t="e">
        <f>($F$36/F46)*G46</f>
        <v>#N/A</v>
      </c>
      <c r="J46" s="9" t="s">
        <v>293</v>
      </c>
    </row>
    <row r="47" spans="1:10" ht="20.100000000000001" customHeight="1" x14ac:dyDescent="0.2">
      <c r="D47" s="1" t="s">
        <v>284</v>
      </c>
      <c r="E47" s="1" t="s">
        <v>122</v>
      </c>
      <c r="F47" s="1">
        <f>F46</f>
        <v>10</v>
      </c>
      <c r="G47" s="1">
        <f>G46</f>
        <v>1.9569471624266144E-2</v>
      </c>
      <c r="H47" s="1" t="e">
        <f>($E$37/F47)*G47</f>
        <v>#N/A</v>
      </c>
      <c r="I47" s="1" t="e">
        <f>($F$37/F47)*G47</f>
        <v>#N/A</v>
      </c>
      <c r="J47" s="9" t="s">
        <v>293</v>
      </c>
    </row>
    <row r="48" spans="1:10" ht="20.100000000000001" customHeight="1" x14ac:dyDescent="0.2">
      <c r="D48" s="1" t="s">
        <v>275</v>
      </c>
      <c r="E48" s="1" t="s">
        <v>123</v>
      </c>
      <c r="F48" s="1">
        <f>X_Cell_Enterprise_ManureProduced*X_Cell_Enterprise_PercentManureSold</f>
        <v>1</v>
      </c>
      <c r="G48" s="1">
        <f>F48/(F44+F46+F48)</f>
        <v>1.9569471624266144E-3</v>
      </c>
      <c r="H48" s="1" t="e">
        <f>($E$36/F48)*G48</f>
        <v>#N/A</v>
      </c>
      <c r="I48" s="1" t="e">
        <f>($F$36/F48)*G48</f>
        <v>#N/A</v>
      </c>
      <c r="J48" s="9" t="s">
        <v>294</v>
      </c>
    </row>
    <row r="49" spans="1:10" ht="20.100000000000001" customHeight="1" x14ac:dyDescent="0.2">
      <c r="A49" s="80" t="s">
        <v>1</v>
      </c>
      <c r="D49" s="1" t="s">
        <v>276</v>
      </c>
      <c r="E49" s="1" t="s">
        <v>123</v>
      </c>
      <c r="F49" s="1">
        <f>F48</f>
        <v>1</v>
      </c>
      <c r="G49" s="1">
        <f>G48</f>
        <v>1.9569471624266144E-3</v>
      </c>
      <c r="H49" s="96" t="e">
        <f>($E$37/F49)*G49</f>
        <v>#N/A</v>
      </c>
      <c r="I49" s="96" t="e">
        <f>($F$37/F49)*G49</f>
        <v>#N/A</v>
      </c>
      <c r="J49" s="9" t="s">
        <v>294</v>
      </c>
    </row>
    <row r="50" spans="1:10" ht="20.100000000000001" customHeight="1" x14ac:dyDescent="0.2">
      <c r="A50" s="5" t="str">
        <f>HYPERLINK("#'Constants - Poultry'!A1", "Constants - Poultry")</f>
        <v>Constants - Poultry</v>
      </c>
      <c r="D50" s="1" t="s">
        <v>277</v>
      </c>
      <c r="E50" s="1" t="s">
        <v>125</v>
      </c>
      <c r="F50" s="1">
        <f>X_Cell_Enterprise_ManureProduced*X_Cell_Enterprise_PercentManureFertiliserOwnFarm</f>
        <v>1</v>
      </c>
      <c r="G50" s="1" t="s">
        <v>124</v>
      </c>
      <c r="H50" s="1" t="s">
        <v>124</v>
      </c>
      <c r="I50" s="1" t="s">
        <v>124</v>
      </c>
      <c r="J50" s="9"/>
    </row>
    <row r="51" spans="1:10" ht="20.100000000000001" customHeight="1" x14ac:dyDescent="0.2">
      <c r="A51" s="5" t="str">
        <f>HYPERLINK("#'Constants - Common livestock'!A1", "Constants - Common Livestock")</f>
        <v>Constants - Common Livestock</v>
      </c>
    </row>
    <row r="52" spans="1:10" ht="20.100000000000001" customHeight="1" x14ac:dyDescent="0.2">
      <c r="A52" s="5" t="str">
        <f>HYPERLINK("#'Constants - Electricity'!A1", "Constants - Electricity")</f>
        <v>Constants - Electricity</v>
      </c>
      <c r="D52" s="77" t="s">
        <v>146</v>
      </c>
    </row>
    <row r="53" spans="1:10" ht="20.100000000000001" customHeight="1" x14ac:dyDescent="0.2">
      <c r="A53" s="5" t="str">
        <f>HYPERLINK("#'Constants - Fertiliser'!A1", "Constants - Fertiliser")</f>
        <v>Constants - Fertiliser</v>
      </c>
      <c r="D53" s="11" t="s">
        <v>132</v>
      </c>
      <c r="E53" s="11" t="s">
        <v>121</v>
      </c>
      <c r="F53" s="11" t="s">
        <v>117</v>
      </c>
      <c r="G53" s="11" t="s">
        <v>141</v>
      </c>
      <c r="H53" s="11" t="s">
        <v>143</v>
      </c>
      <c r="I53" s="11" t="s">
        <v>144</v>
      </c>
      <c r="J53" s="11" t="s">
        <v>118</v>
      </c>
    </row>
    <row r="54" spans="1:10" ht="20.100000000000001" customHeight="1" x14ac:dyDescent="0.2">
      <c r="A54" s="5" t="str">
        <f>HYPERLINK("#'Constants - Fuel'!A1", "Constants - Fuel")</f>
        <v>Constants - Fuel</v>
      </c>
      <c r="D54" s="1" t="s">
        <v>273</v>
      </c>
      <c r="E54" s="1" t="s">
        <v>122</v>
      </c>
      <c r="F54" s="1">
        <f>X_Cell_Enterprise_BirdsSold</f>
        <v>500</v>
      </c>
      <c r="G54" s="1">
        <f>X_Cell_Enterprise_PercentIncomeFromBirdsSold</f>
        <v>0.8</v>
      </c>
      <c r="H54" s="1" t="e">
        <f>$E$36*G54/F54</f>
        <v>#N/A</v>
      </c>
      <c r="I54" s="1" t="e">
        <f>$F$36*G54/F54</f>
        <v>#N/A</v>
      </c>
      <c r="J54" s="9" t="s">
        <v>292</v>
      </c>
    </row>
    <row r="55" spans="1:10" ht="20.100000000000001" customHeight="1" x14ac:dyDescent="0.2">
      <c r="A55" s="5" t="str">
        <f>HYPERLINK("#'Constants - Scope 3'!A1", "Constants - Scope 3")</f>
        <v>Constants - Scope 3</v>
      </c>
      <c r="D55" s="1" t="s">
        <v>274</v>
      </c>
      <c r="E55" s="1" t="s">
        <v>122</v>
      </c>
      <c r="F55" s="1">
        <f>F54</f>
        <v>500</v>
      </c>
      <c r="G55" s="1">
        <f>G54</f>
        <v>0.8</v>
      </c>
      <c r="H55" s="1" t="e">
        <f>$E$37*G55/F55</f>
        <v>#N/A</v>
      </c>
      <c r="I55" s="1" t="e">
        <f>$F$37*G55/F55</f>
        <v>#N/A</v>
      </c>
      <c r="J55" s="9" t="s">
        <v>292</v>
      </c>
    </row>
    <row r="56" spans="1:10" ht="20.100000000000001" customHeight="1" x14ac:dyDescent="0.2">
      <c r="A56" s="5" t="str">
        <f>HYPERLINK("#'Constants - Solid Waste'!A1", "Constants - Solid Waste")</f>
        <v>Constants - Solid Waste</v>
      </c>
      <c r="D56" s="1" t="s">
        <v>283</v>
      </c>
      <c r="E56" s="1" t="s">
        <v>122</v>
      </c>
      <c r="F56" s="1">
        <f>X_Cell_Enterprise_EggsProduced</f>
        <v>10</v>
      </c>
      <c r="G56" s="1">
        <f>X_Cell_Enterprise_PercentIncomeFromEggsSold</f>
        <v>0.8</v>
      </c>
      <c r="H56" s="1" t="e">
        <f>$E$36*G56/F56</f>
        <v>#N/A</v>
      </c>
      <c r="I56" s="1" t="e">
        <f>$F$36*G56/F56</f>
        <v>#N/A</v>
      </c>
      <c r="J56" s="9" t="s">
        <v>293</v>
      </c>
    </row>
    <row r="57" spans="1:10" ht="20.100000000000001" customHeight="1" x14ac:dyDescent="0.2">
      <c r="A57" s="5" t="str">
        <f>HYPERLINK("#'Constants - Common'!A1", "Constants - Common")</f>
        <v>Constants - Common</v>
      </c>
      <c r="D57" s="1" t="s">
        <v>284</v>
      </c>
      <c r="E57" s="1" t="s">
        <v>122</v>
      </c>
      <c r="F57" s="1">
        <f>F56</f>
        <v>10</v>
      </c>
      <c r="G57" s="1">
        <f>G56</f>
        <v>0.8</v>
      </c>
      <c r="H57" s="1" t="e">
        <f>$E$37*G57/F57</f>
        <v>#N/A</v>
      </c>
      <c r="I57" s="1" t="e">
        <f>$F$37*G57/F57</f>
        <v>#N/A</v>
      </c>
      <c r="J57" s="9" t="s">
        <v>293</v>
      </c>
    </row>
    <row r="58" spans="1:10" ht="20.100000000000001" customHeight="1" x14ac:dyDescent="0.2">
      <c r="D58" s="1" t="s">
        <v>275</v>
      </c>
      <c r="E58" s="1" t="s">
        <v>123</v>
      </c>
      <c r="F58" s="1">
        <f>X_Cell_Enterprise_ManureProduced*X_Cell_Enterprise_PercentManureSold</f>
        <v>1</v>
      </c>
      <c r="G58" s="1">
        <f>X_Cell_Enterprise_PercentIncomeFromManureSold</f>
        <v>0.2</v>
      </c>
      <c r="H58" s="1" t="e">
        <f>$E$36*G58/F58</f>
        <v>#N/A</v>
      </c>
      <c r="I58" s="1" t="e">
        <f>$F$36*G58/F58</f>
        <v>#N/A</v>
      </c>
      <c r="J58" s="9" t="s">
        <v>294</v>
      </c>
    </row>
    <row r="59" spans="1:10" ht="20.100000000000001" customHeight="1" x14ac:dyDescent="0.2">
      <c r="D59" s="1" t="s">
        <v>276</v>
      </c>
      <c r="E59" s="1" t="s">
        <v>123</v>
      </c>
      <c r="F59" s="1">
        <f>F58</f>
        <v>1</v>
      </c>
      <c r="G59" s="1">
        <f>G58</f>
        <v>0.2</v>
      </c>
      <c r="H59" s="1" t="e">
        <f>$E$37*G59/F59</f>
        <v>#N/A</v>
      </c>
      <c r="I59" s="1" t="e">
        <f>$F$37*G59/F59</f>
        <v>#N/A</v>
      </c>
      <c r="J59" s="9" t="s">
        <v>294</v>
      </c>
    </row>
    <row r="60" spans="1:10" ht="20.100000000000001" customHeight="1" x14ac:dyDescent="0.2">
      <c r="D60" s="1" t="s">
        <v>277</v>
      </c>
      <c r="E60" s="1" t="s">
        <v>125</v>
      </c>
      <c r="F60" s="1">
        <f>X_Cell_Enterprise_ManureProduced*X_Cell_Enterprise_PercentManureFertiliserOwnFarm</f>
        <v>1</v>
      </c>
      <c r="G60" s="1" t="s">
        <v>124</v>
      </c>
      <c r="H60" s="1" t="s">
        <v>124</v>
      </c>
      <c r="I60" s="1" t="s">
        <v>124</v>
      </c>
      <c r="J60" s="9"/>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0171F5-957D-4D10-AA21-0CE17EC217CD}">
  <sheetPr>
    <tabColor rgb="FFCC6600"/>
  </sheetPr>
  <dimension ref="A1:J80"/>
  <sheetViews>
    <sheetView showGridLines="0" workbookViewId="0" zoomScale="100" zoomScaleNormal="100">
      <pane xSplit="1" topLeftCell="B1" activePane="topRight" state="frozenSplit"/>
      <selection pane="topRight" activeCell="A56" sqref="A56"/>
      <extLst>
        <ext xmlns:xlsdti="http://schemas.microsoft.com/office/spreadsheetml/2023/showDataTypeIcons" uri="{77bfe23e-c014-4d31-8a63-9c772dbf06b6}">
          <xlsdti:showDataTypeIcons visible="0"/>
        </ext>
      </extLst>
    </sheetView>
  </sheetViews>
  <sheetFormatPr defaultRowHeight="20.100000000000001" customHeight="1" x14ac:dyDescent="0.2"/>
  <cols>
    <col min="1" max="1" width="36.7109375" customWidth="1"/>
    <col min="2" max="2" width="4.7109375" customWidth="1"/>
    <col min="3" max="3" width="4.7109375" style="1" customWidth="1"/>
    <col min="4" max="4" width="69.28515625" style="1" customWidth="1"/>
    <col min="5" max="9" width="30.7109375" style="1" customWidth="1"/>
    <col min="10" max="10" width="4.7109375" style="1" customWidth="1"/>
    <col min="11" max="11" width="30.7109375" customWidth="1"/>
  </cols>
  <sheetData>
    <row r="1" spans="1:10" ht="30" customHeight="1" x14ac:dyDescent="0.35">
      <c r="A1" s="10" t="e" vm="1">
        <v>#VALUE!</v>
      </c>
      <c r="C1" s="27" t="s">
        <v>139</v>
      </c>
      <c r="D1" s="21"/>
      <c r="E1" s="21"/>
      <c r="F1" s="21"/>
      <c r="G1" s="21"/>
      <c r="H1" s="21"/>
      <c r="I1" s="21"/>
      <c r="J1" s="21"/>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v>
      </c>
      <c r="E5" s="24"/>
      <c r="F5" s="24"/>
      <c r="G5" s="24"/>
    </row>
    <row r="6" spans="1:10" ht="20.100000000000001" customHeight="1" x14ac:dyDescent="0.2">
      <c r="D6" s="31"/>
      <c r="E6" s="24"/>
      <c r="F6" s="24"/>
      <c r="G6" s="24"/>
    </row>
    <row r="7" spans="1:10" ht="20.100000000000001" customHeight="1" x14ac:dyDescent="0.2">
      <c r="D7" s="1" t="s">
        <v>88</v>
      </c>
      <c r="E7" s="33" t="s">
        <v>89</v>
      </c>
      <c r="F7" s="16"/>
      <c r="G7" s="24"/>
    </row>
    <row r="8" spans="1:10" ht="20.100000000000001" customHeight="1" x14ac:dyDescent="0.2">
      <c r="A8" s="7" t="s">
        <v>0</v>
      </c>
      <c r="D8" s="12" t="s">
        <v>90</v>
      </c>
      <c r="E8" s="33" t="s">
        <v>91</v>
      </c>
      <c r="F8" s="24"/>
      <c r="G8" s="24"/>
    </row>
    <row r="9" spans="1:10" ht="20.100000000000001" customHeight="1" x14ac:dyDescent="0.2">
      <c r="A9" s="100" t="str">
        <f>HYPERLINK("#'Input - Enterprise'!A1", "Enterprise")</f>
        <v>Enterprise</v>
      </c>
      <c r="D9" s="24"/>
      <c r="E9" s="24"/>
      <c r="F9" s="24"/>
      <c r="G9" s="24"/>
    </row>
    <row r="10" spans="1:10" ht="20.100000000000001" customHeight="1" x14ac:dyDescent="0.2">
      <c r="A10" s="5" t="str">
        <f>HYPERLINK("#'Input - Site'!A1", "Site")</f>
        <v>Site</v>
      </c>
      <c r="D10" s="35" t="s">
        <v>92</v>
      </c>
      <c r="E10" s="36"/>
      <c r="F10" s="37"/>
      <c r="G10" s="38"/>
    </row>
    <row r="11" spans="1:10" ht="20.100000000000001" customHeight="1" x14ac:dyDescent="0.2">
      <c r="A11" s="5" t="str">
        <f>HYPERLINK("#'Input - Poultry'!A1", "Poultry")</f>
        <v>Poultry</v>
      </c>
      <c r="D11" s="24"/>
      <c r="E11" s="24"/>
      <c r="F11" s="24"/>
      <c r="G11" s="24"/>
    </row>
    <row r="12" spans="1:10" ht="20.100000000000001" customHeight="1" x14ac:dyDescent="0.2">
      <c r="A12" s="5" t="str">
        <f>HYPERLINK("#'Input - Livestock sales'!A1", "Livestock sales")</f>
        <v>Livestock sales</v>
      </c>
      <c r="D12" s="12" t="s">
        <v>16</v>
      </c>
      <c r="E12" s="14">
        <v>45658</v>
      </c>
      <c r="F12" s="16" t="s">
        <v>93</v>
      </c>
      <c r="G12" s="24"/>
    </row>
    <row r="13" spans="1:10" ht="20.100000000000001" customHeight="1" x14ac:dyDescent="0.2">
      <c r="A13" s="5" t="str">
        <f>HYPERLINK("#'Input - Poultry purchases'!A1", "Poultry purchases")</f>
        <v>Poultry purchases</v>
      </c>
      <c r="D13" s="12" t="s">
        <v>17</v>
      </c>
      <c r="E13" s="40">
        <f>DATE(YEAR(E12)+1,MONTH(E12),DAY(E12))-1</f>
        <v>46022</v>
      </c>
      <c r="F13" s="16" t="s">
        <v>94</v>
      </c>
      <c r="G13" s="24"/>
    </row>
    <row r="14" spans="1:10" ht="20.100000000000001" customHeight="1" x14ac:dyDescent="0.2">
      <c r="A14" s="5" t="str">
        <f>HYPERLINK("#'Input - Fuel'!A1", "Fuel")</f>
        <v>Fuel</v>
      </c>
      <c r="F14" s="24"/>
      <c r="G14" s="24"/>
    </row>
    <row r="15" spans="1:10" ht="20.100000000000001" customHeight="1" x14ac:dyDescent="0.2">
      <c r="A15" s="5" t="str">
        <f>HYPERLINK("#'Input - Electricity'!A1", "Electricity")</f>
        <v>Electricity</v>
      </c>
    </row>
    <row r="16" spans="1:10" ht="20.100000000000001" customHeight="1" x14ac:dyDescent="0.2">
      <c r="A16" s="5" t="str">
        <f>HYPERLINK("#'Input - Common farm inputs'!A1", "Common farm inputs")</f>
        <v>Common farm inputs</v>
      </c>
      <c r="D16" s="2" t="s">
        <v>18</v>
      </c>
    </row>
    <row r="17" spans="1:6" ht="20.100000000000001" customHeight="1" x14ac:dyDescent="0.2">
      <c r="A17" s="5" t="str">
        <f>HYPERLINK("#'Input - Livestock farm Inputs'!A1", "Livestock farm Inputs")</f>
        <v>Livestock farm Inputs</v>
      </c>
    </row>
    <row r="18" spans="1:6" ht="20.100000000000001" customHeight="1" x14ac:dyDescent="0.2">
      <c r="A18" s="5" t="str">
        <f>HYPERLINK("#'Input - Freight'!A1", "Freight")</f>
        <v>Freight</v>
      </c>
      <c r="D18" s="1" t="s">
        <v>13</v>
      </c>
      <c r="E18" s="14">
        <v>45962</v>
      </c>
      <c r="F18" s="16" t="s">
        <v>93</v>
      </c>
    </row>
    <row r="19" spans="1:6" ht="20.100000000000001" customHeight="1" x14ac:dyDescent="0.2">
      <c r="A19" s="5" t="str">
        <f>HYPERLINK("#'Input - Solid waste'!A1", "Solid waste")</f>
        <v>Solid waste</v>
      </c>
      <c r="D19" s="1" t="s">
        <v>14</v>
      </c>
      <c r="E19" s="14">
        <v>46112</v>
      </c>
      <c r="F19" s="16" t="s">
        <v>93</v>
      </c>
    </row>
    <row r="20" spans="1:6" ht="20.100000000000001" customHeight="1" x14ac:dyDescent="0.2">
      <c r="A20" s="5" t="str">
        <f>HYPERLINK("#'Input - Manure sent off-site'!A1", "Manure sent off-site")</f>
        <v>Manure sent off-site</v>
      </c>
      <c r="D20" s="1" t="s">
        <v>15</v>
      </c>
      <c r="E20" s="15">
        <f>DATEDIF(E18,E19+1,"m")</f>
        <v>5</v>
      </c>
      <c r="F20" s="16" t="s">
        <v>116</v>
      </c>
    </row>
    <row r="21" spans="1:6" ht="20.100000000000001" customHeight="1" x14ac:dyDescent="0.2">
      <c r="A21" s="5" t="str">
        <f>HYPERLINK("#'Input - Data quality'!A1", "Data quality")</f>
        <v>Data quality</v>
      </c>
    </row>
    <row r="22" spans="1:6" ht="20.100000000000001" customHeight="1" x14ac:dyDescent="0.2">
      <c r="A22" s="5" t="str">
        <f>HYPERLINK("#'Input - Fert Prod System'!A1", "Fert Prod System")</f>
        <v>Fert Prod System</v>
      </c>
      <c r="D22" s="1" t="s">
        <v>279</v>
      </c>
      <c r="E22" s="76">
        <f>SUM(Table_Input_LivestockSales[Total liveweight sold])*10^-3</f>
        <v>500</v>
      </c>
      <c r="F22" s="16" t="s">
        <v>19</v>
      </c>
    </row>
    <row r="23" spans="1:6" ht="20.100000000000001" customHeight="1" x14ac:dyDescent="0.2">
      <c r="A23" s="5" t="str">
        <f>HYPERLINK("#'Input - Fertiliser'!A1", "Fertiliser")</f>
        <v>Fertiliser</v>
      </c>
      <c r="D23" s="1" t="s">
        <v>280</v>
      </c>
      <c r="E23" s="74">
        <v>10</v>
      </c>
      <c r="F23" s="16" t="s">
        <v>19</v>
      </c>
    </row>
    <row r="24" spans="1:6" ht="20.100000000000001" customHeight="1" x14ac:dyDescent="0.2">
      <c r="D24" s="1" t="s">
        <v>265</v>
      </c>
      <c r="E24" s="74">
        <v>10</v>
      </c>
      <c r="F24" s="16" t="s">
        <v>19</v>
      </c>
    </row>
    <row r="25" spans="1:6" ht="20.100000000000001" customHeight="1" x14ac:dyDescent="0.2">
      <c r="D25" s="1" t="s">
        <v>271</v>
      </c>
      <c r="E25" s="18">
        <v>0.1</v>
      </c>
      <c r="F25" s="16" t="s">
        <v>140</v>
      </c>
    </row>
    <row r="26" spans="1:6" ht="20.100000000000001" customHeight="1" x14ac:dyDescent="0.2">
      <c r="A26" s="6" t="s">
        <v>2</v>
      </c>
      <c r="D26" s="1" t="s">
        <v>272</v>
      </c>
      <c r="E26" s="18">
        <v>0.1</v>
      </c>
      <c r="F26" s="16" t="s">
        <v>140</v>
      </c>
    </row>
    <row r="27" spans="1:6" ht="20.100000000000001" customHeight="1" x14ac:dyDescent="0.2">
      <c r="A27" s="5" t="str">
        <f>HYPERLINK("#'4.6.1.1-2 Methane'!A1", "4.6.1.1-2 Manure Methane")</f>
        <v>4.6.1.1-2 Manure Methane</v>
      </c>
    </row>
    <row r="28" spans="1:6" ht="20.100000000000001" customHeight="1" x14ac:dyDescent="0.2">
      <c r="A28" s="5" t="str">
        <f>HYPERLINK("#'4.6.1.3-4 Direct N20'!A1", "4.6.1.3-4 Manure Direct N2O")</f>
        <v>4.6.1.3-4 Manure Direct N2O</v>
      </c>
      <c r="D28" s="1" t="s">
        <v>281</v>
      </c>
      <c r="E28" s="18">
        <v>0.8</v>
      </c>
      <c r="F28" s="16" t="s">
        <v>140</v>
      </c>
    </row>
    <row r="29" spans="1:6" ht="20.100000000000001" customHeight="1" x14ac:dyDescent="0.2">
      <c r="A29" s="5" t="str">
        <f>HYPERLINK("#'4.6.1.5-6 Atmos Dep'!A1", "4.6.1.5-6 Manure Atmos Dep")</f>
        <v>4.6.1.5-6 Manure Atmos Dep</v>
      </c>
      <c r="D29" s="1" t="s">
        <v>282</v>
      </c>
      <c r="E29" s="18">
        <v>0.8</v>
      </c>
      <c r="F29" s="16" t="s">
        <v>140</v>
      </c>
    </row>
    <row r="30" spans="1:6" ht="20.100000000000001" customHeight="1" x14ac:dyDescent="0.2">
      <c r="A30" s="5" t="str">
        <f>HYPERLINK("#'4.6.1.7-8 Leaching and runoff'!A1", "4.6.1.7-8 Manure Leaching and runoff")</f>
        <v>4.6.1.7-8 Manure Leaching and runoff</v>
      </c>
      <c r="D30" s="1" t="s">
        <v>270</v>
      </c>
      <c r="E30" s="18">
        <v>0.2</v>
      </c>
      <c r="F30" s="16" t="s">
        <v>140</v>
      </c>
    </row>
    <row r="31" spans="1:6" ht="20.100000000000001" customHeight="1" x14ac:dyDescent="0.2">
      <c r="A31" s="5" t="str">
        <f>HYPERLINK("#'4.6.1.9 Manure applied to soils'!A1", "4.6.1.9 Manure applied to soils")</f>
        <v>4.6.1.9 Manure applied to soils</v>
      </c>
    </row>
    <row r="32" spans="1:6" ht="20.100000000000001" customHeight="1" x14ac:dyDescent="0.2">
      <c r="A32" s="5" t="str">
        <f>HYPERLINK("#'4.6.1.10-11 Soil direct N2O'!A1", "4.6.1.10-11 Soil direct N2O")</f>
        <v>4.6.1.10-11 Soil direct N2O</v>
      </c>
    </row>
    <row r="33" spans="1:7" ht="20.100000000000001" customHeight="1" x14ac:dyDescent="0.2">
      <c r="A33" s="5" t="str">
        <f>HYPERLINK("#'4.6.1.12-13 Soil atmos dep'!A1", "4.6.1.12-13 Soil atmos dep")</f>
        <v>4.6.1.12-13 Soil atmos dep</v>
      </c>
      <c r="D33" s="2" t="s">
        <v>228</v>
      </c>
    </row>
    <row r="34" spans="1:7" ht="20.100000000000001" customHeight="1" x14ac:dyDescent="0.2">
      <c r="A34" s="5" t="str">
        <f>HYPERLINK("#'4.6.1.14-15 Soil leach runoff'!A1", "4.6.1.14-15 Soil leach runoff")</f>
        <v>4.6.1.14-15 Soil leach runoff</v>
      </c>
    </row>
    <row r="35" spans="1:7" ht="20.100000000000001" customHeight="1" x14ac:dyDescent="0.2">
      <c r="A35" s="5" t="str">
        <f>HYPERLINK("#'8.1.1.1-2 Transport fuel'!A1", "8.1.1.1-2 Transport fuel")</f>
        <v>8.1.1.1-2 Transport fuel</v>
      </c>
    </row>
    <row r="36" spans="1:7" ht="20.100000000000001" customHeight="1" x14ac:dyDescent="0.2">
      <c r="A36" s="5" t="str">
        <f>HYPERLINK("#'8.2.1.1-2 Stationary fuel'!A1", "8.2.1.1-2 Stationary fuel")</f>
        <v>8.2.1.1-2 Stationary fuel</v>
      </c>
      <c r="D36" s="77" t="str">
        <f>"Carbon captured from " &amp; TEXT(X_Cell_Site_StartDate, "d mmmm yyyy") &amp; " to " &amp; TEXT(X_Cell_Site_EndDate, "d, mmmm, yyyy") &amp; " from environmental plantings"</f>
        <v>Carbon captured from 1 January 2025 to 31, December, 2025 from environmental plantings</v>
      </c>
    </row>
    <row r="37" spans="1:7" ht="20.100000000000001" customHeight="1" x14ac:dyDescent="0.2">
      <c r="A37" s="5" t="str">
        <f>HYPERLINK("#'10.1.1-2 Solid waste treatment'!A1", "10.1.1.1-2 Solid waste")</f>
        <v>10.1.1.1-2 Solid waste</v>
      </c>
    </row>
    <row r="38" spans="1:7" ht="20.100000000000001" customHeight="1" x14ac:dyDescent="0.2">
      <c r="A38" s="5" t="str">
        <f>HYPERLINK("#'14.1.1-2 Purchased electricity'!A1", "14.1.1-2 Purchased electricity")</f>
        <v>14.1.1-2 Purchased electricity</v>
      </c>
      <c r="D38" s="19" t="s">
        <v>229</v>
      </c>
      <c r="E38" s="19" t="s">
        <v>230</v>
      </c>
      <c r="F38" s="19" t="s">
        <v>231</v>
      </c>
      <c r="G38" s="78" t="s">
        <v>232</v>
      </c>
    </row>
    <row r="39" spans="1:7" ht="20.100000000000001" customHeight="1" x14ac:dyDescent="0.2">
      <c r="A39" s="5" t="str">
        <f>HYPERLINK("#'15 Scope 3'!A1", "15 Scope 3")</f>
        <v>15 Scope 3</v>
      </c>
      <c r="D39" s="33"/>
      <c r="E39" s="74"/>
      <c r="F39" s="18"/>
      <c r="G39" s="1">
        <f>Table_Input_Enterprise_PlantingRemovals[[#This Row],[Total removed CO2]]*Table_Input_Enterprise_PlantingRemovals[[#This Row],[Percent allocated to this enterprise]]</f>
        <v>0</v>
      </c>
    </row>
    <row r="40" spans="1:7" ht="20.100000000000001" customHeight="1" x14ac:dyDescent="0.2">
      <c r="A40" s="5" t="str">
        <f>HYPERLINK("#'Calcs - Manure sent off-site'!A1", "Calcs - Manure sent off-site")</f>
        <v>Calcs - Manure sent off-site</v>
      </c>
    </row>
    <row r="41" spans="1:7" ht="20.100000000000001" customHeight="1" x14ac:dyDescent="0.2">
      <c r="A41" s="5" t="str">
        <f>HYPERLINK("#'5.1.1.1-2 Inorganic fert N2O'!A1", "5.1.1.1-2 Inorganic fert N2O")</f>
        <v>5.1.1.1-2 Inorganic fert N2O</v>
      </c>
    </row>
    <row r="42" spans="1:7" ht="20.100000000000001" customHeight="1" x14ac:dyDescent="0.2">
      <c r="A42" s="5" t="str">
        <f>HYPERLINK("#'5.1.1.3-4 Inorganic fert CO2'!A1", "5.1.1.3-4 Inorganic fert CO2")</f>
        <v>5.1.1.3-4 Inorganic fert CO2</v>
      </c>
    </row>
    <row r="43" spans="1:7" ht="20.100000000000001" customHeight="1" x14ac:dyDescent="0.2">
      <c r="A43" s="5" t="str">
        <f>HYPERLINK("#'5.2.1.1-2 Organic Fert N2O'!A1", "5.2.1.1-2 Organic Fert N2O")</f>
        <v>5.2.1.1-2 Organic Fert N2O</v>
      </c>
      <c r="D43" s="2" t="s">
        <v>233</v>
      </c>
    </row>
    <row r="44" spans="1:7" ht="20.100000000000001" customHeight="1" x14ac:dyDescent="0.2">
      <c r="A44" s="5" t="str">
        <f>HYPERLINK("#'5.3.1.1-2 Lime CO2'!A1", "5.3.1.1-2 Lime CO2")</f>
        <v>5.3.1.1-2 Lime CO2</v>
      </c>
    </row>
    <row r="45" spans="1:7" ht="20.100000000000001" customHeight="1" x14ac:dyDescent="0.2">
      <c r="A45" s="5" t="str">
        <f>HYPERLINK("#'5.4.1.1-4 Atmos deposition'!A1", "5.4.1.1-4 Atmos deposition")</f>
        <v>5.4.1.1-4 Atmos deposition</v>
      </c>
      <c r="D45" s="77" t="str">
        <f>"Gross emissions from other activity periods in the production timeframe " &amp; TEXT(X_Cell_Enterprise_ProductionTimeframeStart, "d mmmm yyyy") &amp; " to " &amp; TEXT(X_Cell_Enterprise_ProductionTimeframeEnd, "d mmmm yyyy")</f>
        <v>Gross emissions from other activity periods in the production timeframe 1 November 2025 to 31 March 2026</v>
      </c>
    </row>
    <row r="46" spans="1:7" ht="20.100000000000001" customHeight="1" x14ac:dyDescent="0.2">
      <c r="A46" s="5" t="str">
        <f>HYPERLINK("#'5.5.1.1-2 Leaching and runoff'!A1", "5.5.1.1-2 Leaching and runoff")</f>
        <v>5.5.1.1-2 Leaching and runoff</v>
      </c>
    </row>
    <row r="47" spans="1:7" ht="20.100000000000001" customHeight="1" x14ac:dyDescent="0.2">
      <c r="D47" s="87" t="str" cm="1">
        <f t="array" ref="D47">"There are " &amp; Common_InputFunctions.getOverlappingReportingCycles(X_Cell_Enterprise_ProductionTimeframeStart,X_Cell_Enterprise_ProductionTimeframeEnd,X_Cell_Site_StartDate) &amp; " emissions calculation periods that need to be completed before total product emissions can be determined."</f>
        <v>There are 2 emissions calculation periods that need to be completed before total product emissions can be determined.</v>
      </c>
    </row>
    <row r="48" spans="1:7" ht="20.100000000000001" customHeight="1" x14ac:dyDescent="0.2">
      <c r="D48" s="1" t="s">
        <v>234</v>
      </c>
    </row>
    <row r="49" spans="1:7" ht="20.100000000000001" customHeight="1" x14ac:dyDescent="0.2">
      <c r="A49" s="80" t="s">
        <v>1</v>
      </c>
    </row>
    <row r="50" spans="1:7" ht="20.100000000000001" customHeight="1" x14ac:dyDescent="0.2">
      <c r="A50" s="5" t="str">
        <f>HYPERLINK("#'Constants - Poultry'!A1", "Constants - Poultry")</f>
        <v>Constants - Poultry</v>
      </c>
      <c r="D50" s="78" t="s">
        <v>115</v>
      </c>
      <c r="E50" s="78" t="s">
        <v>10</v>
      </c>
      <c r="F50" s="78" t="s">
        <v>11</v>
      </c>
    </row>
    <row r="51" spans="1:7" ht="20.100000000000001" customHeight="1" x14ac:dyDescent="0.2">
      <c r="A51" s="5" t="str">
        <f>HYPERLINK("#'Constants - Common livestock'!A1", "Constants - Common Livestock")</f>
        <v>Constants - Common Livestock</v>
      </c>
      <c r="D51" s="1" t="str" cm="1">
        <f t="array" ref="D51:D52">Common_InputFunctions.getOverlappingReportingPeriods(X_Cell_Enterprise_ProductionTimeframeStart,X_Cell_Enterprise_ProductionTimeframeEnd,X_Cell_Site_StartDate)</f>
        <v>01 Jan 2025 to 31 Dec 2025 (This reporting cycle)</v>
      </c>
      <c r="E51" s="74" t="e">
        <f>IF(ISBLANK($D51), 0, IF(ISNUMBER(SEARCH("reporting", $D51)), Result_Enterprise_Gross_Method1, "Enter value"))</f>
        <v>#N/A</v>
      </c>
      <c r="F51" s="74" t="e">
        <f>IF(ISBLANK($D51), 0, IF(ISNUMBER(SEARCH("reporting", $D51)), Result_Enterprise_Gross_Method2, "Enter value"))</f>
        <v>#N/A</v>
      </c>
      <c r="G51" s="9" t="s">
        <v>7</v>
      </c>
    </row>
    <row r="52" spans="1:7" ht="20.100000000000001" customHeight="1" x14ac:dyDescent="0.2">
      <c r="A52" s="5" t="str">
        <f>HYPERLINK("#'Constants - Electricity'!A1", "Constants - Electricity")</f>
        <v>Constants - Electricity</v>
      </c>
      <c r="D52" s="1" t="str">
        <v>01 Jan 2026 to 31 Dec 2026</v>
      </c>
      <c r="E52" s="74" t="str">
        <f>IF(ISBLANK($D52), 0, IF(ISNUMBER(SEARCH("reporting", $D52)), Result_Enterprise_Gross_Method1, "Enter value"))</f>
        <v>Enter value</v>
      </c>
      <c r="F52" s="74" t="str">
        <f>IF(ISBLANK($D52), 0, IF(ISNUMBER(SEARCH("reporting", $D52)), Result_Enterprise_Gross_Method2, "Enter value"))</f>
        <v>Enter value</v>
      </c>
      <c r="G52" s="9" t="s">
        <v>7</v>
      </c>
    </row>
    <row r="53" spans="1:7" ht="20.100000000000001" customHeight="1" x14ac:dyDescent="0.2">
      <c r="A53" s="5" t="str">
        <f>HYPERLINK("#'Constants - Fertiliser'!A1", "Constants - Fertiliser")</f>
        <v>Constants - Fertiliser</v>
      </c>
      <c r="E53" s="74">
        <f>IF(ISBLANK($D53), 0, IF(ISNUMBER(SEARCH("reporting", $D53)), Result_Enterprise_Gross_Method1, "Enter value"))</f>
        <v>0</v>
      </c>
      <c r="F53" s="74">
        <f>IF(ISBLANK($D53), 0, IF(ISNUMBER(SEARCH("reporting", $D53)), Result_Enterprise_Gross_Method2, "Enter value"))</f>
        <v>0</v>
      </c>
      <c r="G53" s="9" t="s">
        <v>7</v>
      </c>
    </row>
    <row r="54" spans="1:7" ht="20.100000000000001" customHeight="1" x14ac:dyDescent="0.2">
      <c r="A54" s="5" t="str">
        <f>HYPERLINK("#'Constants - Fuel'!A1", "Constants - Fuel")</f>
        <v>Constants - Fuel</v>
      </c>
      <c r="E54" s="74">
        <f>IF(ISBLANK($D54), 0, IF(ISNUMBER(SEARCH("reporting", $D54)), Result_Enterprise_Gross_Method1, "Enter value"))</f>
        <v>0</v>
      </c>
      <c r="F54" s="74">
        <f>IF(ISBLANK($D54), 0, IF(ISNUMBER(SEARCH("reporting", $D54)), Result_Enterprise_Gross_Method2, "Enter value"))</f>
        <v>0</v>
      </c>
      <c r="G54" s="9" t="s">
        <v>7</v>
      </c>
    </row>
    <row r="55" spans="1:7" ht="20.100000000000001" customHeight="1" x14ac:dyDescent="0.2">
      <c r="A55" s="5" t="str">
        <f>HYPERLINK("#'Constants - Scope 3'!A1", "Constants - Scope 3")</f>
        <v>Constants - Scope 3</v>
      </c>
      <c r="E55" s="74">
        <f>IF(ISBLANK($D55), 0, IF(ISNUMBER(SEARCH("reporting", $D55)), Result_Enterprise_Gross_Method1, "Enter value"))</f>
        <v>0</v>
      </c>
      <c r="F55" s="74">
        <f>IF(ISBLANK($D55), 0, IF(ISNUMBER(SEARCH("reporting", $D55)), Result_Enterprise_Gross_Method2, "Enter value"))</f>
        <v>0</v>
      </c>
      <c r="G55" s="9" t="s">
        <v>7</v>
      </c>
    </row>
    <row r="56" spans="1:7" ht="20.100000000000001" customHeight="1" x14ac:dyDescent="0.2">
      <c r="A56" s="5" t="str">
        <f>HYPERLINK("#'Constants - Solid Waste'!A1", "Constants - Solid Waste")</f>
        <v>Constants - Solid Waste</v>
      </c>
      <c r="D56" s="88" t="s">
        <v>128</v>
      </c>
      <c r="E56" s="83" t="e">
        <f>SUM(E51:E55)</f>
        <v>#N/A</v>
      </c>
      <c r="F56" s="83" t="e">
        <f>SUM(F51:F55)</f>
        <v>#N/A</v>
      </c>
      <c r="G56" s="89" t="s">
        <v>7</v>
      </c>
    </row>
    <row r="57" spans="1:7" ht="20.100000000000001" customHeight="1" x14ac:dyDescent="0.2">
      <c r="A57" s="5" t="str">
        <f>HYPERLINK("#'Constants - Common'!A1", "Constants - Common")</f>
        <v>Constants - Common</v>
      </c>
    </row>
    <row r="61" spans="1:7" ht="20.100000000000001" customHeight="1" x14ac:dyDescent="0.2">
      <c r="D61" s="77" t="str">
        <f>"Carbon removals from environmental plantings for whole production cycle running between " &amp; TEXT(X_Cell_Enterprise_ProductionTimeframeStart, "d mmmm yyyy") &amp; " and " &amp; TEXT(X_Cell_Enterprise_ProductionTimeframeEnd, "d mmmm yyyy")</f>
        <v>Carbon removals from environmental plantings for whole production cycle running between 1 November 2025 and 31 March 2026</v>
      </c>
    </row>
    <row r="63" spans="1:7" ht="20.100000000000001" customHeight="1" x14ac:dyDescent="0.2">
      <c r="D63" s="78" t="s">
        <v>115</v>
      </c>
      <c r="E63" s="78" t="s">
        <v>126</v>
      </c>
      <c r="F63" s="78"/>
    </row>
    <row r="64" spans="1:7" ht="20.100000000000001" customHeight="1" x14ac:dyDescent="0.2">
      <c r="D64" s="1" t="str" cm="1">
        <f t="array" ref="D64:D65">Common_InputFunctions.getOverlappingReportingPeriods(X_Cell_Enterprise_ProductionTimeframeStart,X_Cell_Enterprise_ProductionTimeframeEnd,X_Cell_Site_StartDate)</f>
        <v>01 Jan 2025 to 31 Dec 2025 (This reporting cycle)</v>
      </c>
      <c r="E64" s="74">
        <f>IF(ISBLANK($D64), 0, IF(ISNUMBER(SEARCH("reporting", $D64)), SUM(Table_Input_Enterprise_PlantingRemovals[Removal allocated to this enterprise]), "Enter value"))</f>
        <v>0</v>
      </c>
      <c r="F64" s="9" t="s">
        <v>127</v>
      </c>
    </row>
    <row r="65" spans="1:7" ht="20.100000000000001" customHeight="1" x14ac:dyDescent="0.2">
      <c r="D65" s="1" t="str">
        <v>01 Jan 2026 to 31 Dec 2026</v>
      </c>
      <c r="E65" s="74" t="str">
        <f>IF(ISBLANK($D65), 0, IF(ISNUMBER(SEARCH("reporting", $D65)), SUM(Table_Input_Enterprise_PlantingRemovals[Removal allocated to this enterprise]), "Enter value"))</f>
        <v>Enter value</v>
      </c>
      <c r="F65" s="9" t="s">
        <v>127</v>
      </c>
    </row>
    <row r="66" spans="1:7" ht="20.100000000000001" customHeight="1" x14ac:dyDescent="0.2">
      <c r="E66" s="74">
        <f>IF(ISBLANK($D66), 0, IF(ISNUMBER(SEARCH("reporting", $D66)), SUM(Table_Input_Enterprise_PlantingRemovals[Removal allocated to this enterprise]), "Enter value"))</f>
        <v>0</v>
      </c>
      <c r="F66" s="9" t="s">
        <v>127</v>
      </c>
    </row>
    <row r="67" spans="1:7" ht="20.100000000000001" customHeight="1" x14ac:dyDescent="0.2">
      <c r="E67" s="74">
        <f>IF(ISBLANK($D67), 0, IF(ISNUMBER(SEARCH("reporting", $D67)), SUM(Table_Input_Enterprise_PlantingRemovals[Removal allocated to this enterprise]), "Enter value"))</f>
        <v>0</v>
      </c>
      <c r="F67" s="9" t="s">
        <v>127</v>
      </c>
    </row>
    <row r="68" spans="1:7" ht="20.100000000000001" customHeight="1" x14ac:dyDescent="0.2">
      <c r="A68" s="79" t="str">
        <f>HYPERLINK("#A1", "▲ Back to top")</f>
        <v>▲ Back to top</v>
      </c>
      <c r="E68" s="74">
        <f>IF(ISBLANK($D68), 0, IF(ISNUMBER(SEARCH("reporting", $D68)), SUM(Table_Input_Enterprise_PlantingRemovals[Removal allocated to this enterprise]), "Enter value"))</f>
        <v>0</v>
      </c>
      <c r="F68" s="9" t="s">
        <v>127</v>
      </c>
    </row>
    <row r="69" spans="1:7" ht="20.100000000000001" customHeight="1" x14ac:dyDescent="0.2">
      <c r="D69" s="88" t="s">
        <v>129</v>
      </c>
      <c r="E69" s="83">
        <f>SUM(E64:E68)</f>
        <v>0</v>
      </c>
      <c r="F69" s="89" t="s">
        <v>127</v>
      </c>
    </row>
    <row r="72" spans="1:7" ht="20.100000000000001" customHeight="1" x14ac:dyDescent="0.2">
      <c r="D72" s="77" t="str">
        <f>"Net emissions from other activity periods in the production timeframe " &amp; TEXT(X_Cell_Enterprise_ProductionTimeframeStart, "d mmmm yyyy") &amp; " to " &amp; TEXT(X_Cell_Enterprise_ProductionTimeframeEnd, "d mmmm yyyy")</f>
        <v>Net emissions from other activity periods in the production timeframe 1 November 2025 to 31 March 2026</v>
      </c>
    </row>
    <row r="74" spans="1:7" ht="20.100000000000001" customHeight="1" x14ac:dyDescent="0.2">
      <c r="D74" s="78" t="s">
        <v>115</v>
      </c>
      <c r="E74" s="78" t="s">
        <v>10</v>
      </c>
      <c r="F74" s="78" t="s">
        <v>11</v>
      </c>
    </row>
    <row r="75" spans="1:7" ht="20.100000000000001" customHeight="1" x14ac:dyDescent="0.2">
      <c r="D75" s="1" t="str" cm="1">
        <f t="array" ref="D75:D76">Common_InputFunctions.getOverlappingReportingPeriods(X_Cell_Enterprise_ProductionTimeframeStart,X_Cell_Enterprise_ProductionTimeframeEnd,X_Cell_Site_StartDate)</f>
        <v>01 Jan 2025 to 31 Dec 2025 (This reporting cycle)</v>
      </c>
      <c r="E75" s="74" t="e">
        <f>IF(ISBLANK($D75), 0, IF(ISNUMBER(SEARCH("reporting", $D75)), E51-$E$64, "Enter value"))</f>
        <v>#N/A</v>
      </c>
      <c r="F75" s="74" t="e">
        <f>IF(ISBLANK($D75), 0, IF(ISNUMBER(SEARCH("reporting", $D75)), F51-$E$64, "Enter value"))</f>
        <v>#N/A</v>
      </c>
      <c r="G75" s="9" t="s">
        <v>7</v>
      </c>
    </row>
    <row r="76" spans="1:7" ht="20.100000000000001" customHeight="1" x14ac:dyDescent="0.2">
      <c r="D76" s="1" t="str">
        <v>01 Jan 2026 to 31 Dec 2026</v>
      </c>
      <c r="E76" s="74" t="str">
        <f>IF(ISBLANK($D76), 0, IF(ISNUMBER(SEARCH("reporting", $D76)), E52-$E$65, "Enter value"))</f>
        <v>Enter value</v>
      </c>
      <c r="F76" s="74" t="str">
        <f>IF(ISBLANK($D76), 0, IF(ISNUMBER(SEARCH("reporting", $D76)), F52-$E$65, "Enter value"))</f>
        <v>Enter value</v>
      </c>
      <c r="G76" s="9" t="s">
        <v>7</v>
      </c>
    </row>
    <row r="77" spans="1:7" ht="20.100000000000001" customHeight="1" x14ac:dyDescent="0.2">
      <c r="E77" s="74">
        <f>IF(ISBLANK($D77), 0, IF(ISNUMBER(SEARCH("reporting", $D77)), E53-$E$66, "Enter value"))</f>
        <v>0</v>
      </c>
      <c r="F77" s="74">
        <f>IF(ISBLANK($D77), 0, IF(ISNUMBER(SEARCH("reporting", $D77)), F53-$E$66, "Enter value"))</f>
        <v>0</v>
      </c>
      <c r="G77" s="9" t="s">
        <v>7</v>
      </c>
    </row>
    <row r="78" spans="1:7" ht="20.100000000000001" customHeight="1" x14ac:dyDescent="0.2">
      <c r="E78" s="74">
        <f>IF(ISBLANK($D78), 0, IF(ISNUMBER(SEARCH("reporting", $D78)), E54-$E$67, "Enter value"))</f>
        <v>0</v>
      </c>
      <c r="F78" s="74">
        <f>IF(ISBLANK($D78), 0, IF(ISNUMBER(SEARCH("reporting", $D78)), F54-$E$67, "Enter value"))</f>
        <v>0</v>
      </c>
      <c r="G78" s="9" t="s">
        <v>7</v>
      </c>
    </row>
    <row r="79" spans="1:7" ht="20.100000000000001" customHeight="1" x14ac:dyDescent="0.2">
      <c r="E79" s="74">
        <f>IF(ISBLANK($D79), 0, IF(ISNUMBER(SEARCH("reporting", $D79)), E55-$E$68, "Enter value"))</f>
        <v>0</v>
      </c>
      <c r="F79" s="74">
        <f>IF(ISBLANK($D79), 0, IF(ISNUMBER(SEARCH("reporting", $D79)), F55-$E$68, "Enter value"))</f>
        <v>0</v>
      </c>
      <c r="G79" s="9" t="s">
        <v>7</v>
      </c>
    </row>
    <row r="80" spans="1:7" ht="20.100000000000001" customHeight="1" x14ac:dyDescent="0.2">
      <c r="D80" s="88" t="s">
        <v>128</v>
      </c>
      <c r="E80" s="83" t="e">
        <f>SUM(E75:E79)</f>
        <v>#N/A</v>
      </c>
      <c r="F80" s="83" t="e">
        <f>SUM(F75:F79)</f>
        <v>#N/A</v>
      </c>
      <c r="G80" s="89" t="s">
        <v>7</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791D62-75BF-4814-B1FA-242161A163DA}">
  <sheetPr>
    <tabColor rgb="FFCC6600"/>
    <pageSetUpPr autoPageBreaks="0"/>
  </sheetPr>
  <dimension ref="A1:AA195"/>
  <sheetViews>
    <sheetView showGridLines="0" workbookViewId="0" zoomScale="100" zoomScaleNormal="100">
      <pane xSplit="1" topLeftCell="B1" activePane="topRight" state="frozenSplit"/>
      <selection pane="topRight" activeCell="A56" sqref="A56"/>
    </sheetView>
  </sheetViews>
  <sheetFormatPr defaultColWidth="9.140625" defaultRowHeight="20.100000000000001" customHeight="1" x14ac:dyDescent="0.2"/>
  <cols>
    <col min="1" max="1" width="36.7109375" style="4" customWidth="1"/>
    <col min="2" max="2" width="4.7109375" style="21" customWidth="1"/>
    <col min="3" max="3" width="4.7109375" style="24" customWidth="1"/>
    <col min="4" max="4" width="60.7109375" style="24" customWidth="1"/>
    <col min="5" max="5" width="50.7109375" style="24" customWidth="1"/>
    <col min="6" max="11" width="28.7109375" style="24" customWidth="1"/>
    <col min="12" max="25" width="28.7109375" style="21" customWidth="1"/>
    <col min="26" max="27" width="9.140625" style="21"/>
    <col min="28" max="16384" width="9.140625" style="24"/>
  </cols>
  <sheetData>
    <row r="1" spans="1:24" s="21" customFormat="1" ht="30" customHeight="1" x14ac:dyDescent="0.35">
      <c r="A1" s="10" t="e" vm="1">
        <v>#VALUE!</v>
      </c>
      <c r="C1" s="27" t="s">
        <v>86</v>
      </c>
    </row>
    <row r="2" spans="1:24" s="21" customFormat="1" ht="20.100000000000001" customHeight="1" x14ac:dyDescent="0.2">
      <c r="A2"/>
      <c r="C2" s="3"/>
      <c r="D2" s="3"/>
      <c r="E2" s="3"/>
      <c r="F2" s="3"/>
      <c r="G2" s="3"/>
      <c r="H2" s="3"/>
      <c r="I2" s="3"/>
      <c r="J2" s="3"/>
    </row>
    <row r="3" spans="1:24" ht="20.100000000000001" customHeight="1" x14ac:dyDescent="0.2">
      <c r="A3" s="5" t="str">
        <f>HYPERLINK("#'Home'!A1", "Home")</f>
        <v>Home</v>
      </c>
      <c r="C3" s="28"/>
      <c r="D3" s="28"/>
      <c r="E3" s="28"/>
      <c r="F3" s="28"/>
      <c r="G3" s="28"/>
      <c r="H3" s="28"/>
      <c r="I3" s="28"/>
      <c r="J3" s="28"/>
      <c r="K3" s="28"/>
      <c r="M3" s="23"/>
      <c r="N3" s="23"/>
      <c r="O3" s="23"/>
      <c r="P3" s="23"/>
      <c r="Q3" s="23"/>
      <c r="R3" s="23"/>
      <c r="S3" s="23"/>
      <c r="T3" s="23"/>
      <c r="U3" s="23"/>
      <c r="V3" s="23"/>
      <c r="W3" s="23"/>
      <c r="X3" s="23"/>
    </row>
    <row r="4" spans="1:24" ht="20.100000000000001" customHeight="1" x14ac:dyDescent="0.2">
      <c r="A4" s="5" t="str">
        <f>HYPERLINK("#'Results - Activity period'!A1", "Results - Activity period")</f>
        <v>Results - Activity period</v>
      </c>
      <c r="C4" s="29"/>
      <c r="D4" s="29"/>
      <c r="E4" s="29"/>
      <c r="F4" s="29"/>
      <c r="G4" s="29"/>
      <c r="H4" s="29"/>
      <c r="I4" s="29"/>
      <c r="J4" s="29"/>
      <c r="K4" s="29"/>
    </row>
    <row r="5" spans="1:24" ht="20.100000000000001" customHeight="1" x14ac:dyDescent="0.2">
      <c r="A5" s="5" t="str">
        <f>HYPERLINK("#'Results - Product EI'!A1", "Results - Product Emissions Intensity")</f>
        <v>Results - Product Emissions Intensity</v>
      </c>
      <c r="D5" s="2" t="s">
        <v>95</v>
      </c>
      <c r="N5" s="30"/>
    </row>
    <row r="6" spans="1:24" ht="20.100000000000001" customHeight="1" x14ac:dyDescent="0.2">
      <c r="A6"/>
      <c r="N6" s="32"/>
    </row>
    <row r="7" spans="1:24" ht="20.100000000000001" customHeight="1" x14ac:dyDescent="0.2">
      <c r="A7"/>
      <c r="D7" s="42" t="s">
        <v>96</v>
      </c>
      <c r="E7" s="43"/>
      <c r="F7" s="43"/>
      <c r="G7" s="44"/>
    </row>
    <row r="8" spans="1:24" ht="20.100000000000001" customHeight="1" x14ac:dyDescent="0.2">
      <c r="A8" s="7" t="s">
        <v>0</v>
      </c>
      <c r="D8" s="45" t="s">
        <v>97</v>
      </c>
      <c r="E8" s="46"/>
      <c r="F8" s="46"/>
      <c r="G8" s="47"/>
    </row>
    <row r="9" spans="1:24" ht="20.100000000000001" customHeight="1" x14ac:dyDescent="0.2">
      <c r="A9" s="5" t="str">
        <f>HYPERLINK("#'Input - Enterprise'!A1", "Enterprise")</f>
        <v>Enterprise</v>
      </c>
      <c r="D9" s="1"/>
      <c r="E9" s="48"/>
      <c r="F9" s="16"/>
      <c r="N9" s="34"/>
    </row>
    <row r="10" spans="1:24" ht="20.100000000000001" customHeight="1" x14ac:dyDescent="0.2">
      <c r="A10" s="100" t="str">
        <f>HYPERLINK("#'Input - Site'!A1", "Site")</f>
        <v>Site</v>
      </c>
      <c r="D10" s="1" t="s">
        <v>98</v>
      </c>
      <c r="E10" s="13" t="s">
        <v>99</v>
      </c>
      <c r="F10" s="16" t="s">
        <v>100</v>
      </c>
      <c r="N10" s="34"/>
    </row>
    <row r="11" spans="1:24" ht="20.100000000000001" customHeight="1" x14ac:dyDescent="0.2">
      <c r="A11" s="5" t="str">
        <f>HYPERLINK("#'Input - Poultry'!A1", "Poultry")</f>
        <v>Poultry</v>
      </c>
      <c r="D11" s="1" t="s">
        <v>101</v>
      </c>
      <c r="E11" s="13" t="s">
        <v>102</v>
      </c>
      <c r="F11" s="16" t="s">
        <v>100</v>
      </c>
      <c r="G11" s="1"/>
      <c r="N11" s="39"/>
    </row>
    <row r="12" spans="1:24" ht="20.100000000000001" customHeight="1" x14ac:dyDescent="0.2">
      <c r="A12" s="5" t="str">
        <f>HYPERLINK("#'Input - Livestock sales'!A1", "Livestock sales")</f>
        <v>Livestock sales</v>
      </c>
      <c r="D12" s="1" t="s">
        <v>103</v>
      </c>
      <c r="E12" s="13" t="s">
        <v>104</v>
      </c>
      <c r="F12" s="16" t="s">
        <v>100</v>
      </c>
    </row>
    <row r="13" spans="1:24" ht="20.100000000000001" customHeight="1" x14ac:dyDescent="0.2">
      <c r="A13" s="5" t="str">
        <f>HYPERLINK("#'Input - Poultry purchases'!A1", "Poultry purchases")</f>
        <v>Poultry purchases</v>
      </c>
      <c r="D13" s="1" t="s">
        <v>36</v>
      </c>
      <c r="E13" s="33">
        <v>307.7</v>
      </c>
      <c r="F13" s="16" t="s">
        <v>105</v>
      </c>
      <c r="N13" s="41"/>
      <c r="O13" s="41"/>
    </row>
    <row r="14" spans="1:24" ht="20.100000000000001" customHeight="1" x14ac:dyDescent="0.2">
      <c r="A14" s="5" t="str">
        <f>HYPERLINK("#'Input - Fuel'!A1", "Fuel")</f>
        <v>Fuel</v>
      </c>
      <c r="D14" s="1" t="s">
        <v>106</v>
      </c>
      <c r="E14" s="33">
        <v>18</v>
      </c>
      <c r="F14" s="16" t="s">
        <v>107</v>
      </c>
      <c r="N14" s="41"/>
      <c r="O14" s="41"/>
    </row>
    <row r="15" spans="1:24" ht="20.100000000000001" customHeight="1" x14ac:dyDescent="0.2">
      <c r="A15" s="5" t="str">
        <f>HYPERLINK("#'Input - Electricity'!A1", "Electricity")</f>
        <v>Electricity</v>
      </c>
      <c r="D15" s="1" t="s">
        <v>108</v>
      </c>
      <c r="E15" s="33">
        <v>601</v>
      </c>
      <c r="F15" s="16" t="s">
        <v>109</v>
      </c>
      <c r="N15" s="41"/>
      <c r="O15" s="41"/>
    </row>
    <row r="16" spans="1:24" ht="20.100000000000001" customHeight="1" x14ac:dyDescent="0.2">
      <c r="A16" s="5" t="str">
        <f>HYPERLINK("#'Input - Common farm inputs'!A1", "Common farm inputs")</f>
        <v>Common farm inputs</v>
      </c>
      <c r="D16" s="12" t="s">
        <v>110</v>
      </c>
      <c r="E16" s="33">
        <v>1326</v>
      </c>
      <c r="F16" s="16" t="s">
        <v>109</v>
      </c>
      <c r="N16" s="41"/>
      <c r="O16" s="41"/>
    </row>
    <row r="17" spans="1:25" ht="20.100000000000001" customHeight="1" x14ac:dyDescent="0.2">
      <c r="A17" s="5" t="str">
        <f>HYPERLINK("#'Input - Livestock farm Inputs'!A1", "Livestock farm Inputs")</f>
        <v>Livestock farm Inputs</v>
      </c>
      <c r="D17" s="1" t="s">
        <v>111</v>
      </c>
      <c r="E17" s="33">
        <v>7</v>
      </c>
      <c r="F17" s="16" t="s">
        <v>112</v>
      </c>
    </row>
    <row r="18" spans="1:25" ht="20.100000000000001" customHeight="1" x14ac:dyDescent="0.2">
      <c r="A18" s="5" t="str">
        <f>HYPERLINK("#'Input - Freight'!A1", "Freight")</f>
        <v>Freight</v>
      </c>
      <c r="D18" s="12" t="s">
        <v>113</v>
      </c>
      <c r="E18" s="15">
        <f>E15/E16</f>
        <v>0.45324283559577677</v>
      </c>
      <c r="F18" s="16"/>
    </row>
    <row r="19" spans="1:25" ht="20.100000000000001" customHeight="1" x14ac:dyDescent="0.2">
      <c r="A19" s="5" t="str">
        <f>HYPERLINK("#'Input - Solid waste'!A1", "Solid waste")</f>
        <v>Solid waste</v>
      </c>
      <c r="D19" s="12" t="s">
        <v>64</v>
      </c>
      <c r="E19" s="15" t="str">
        <f>Common_InputFunctions.Utility_LookupItemFromMinMax(E15,Table_SourceData_RainfallZones[Min rainfall],Table_SourceData_RainfallZones[Max rainfall],Table_SourceData_RainfallZones[Rainfall Zone])</f>
        <v>High rainfall</v>
      </c>
      <c r="G19" s="49"/>
      <c r="N19" s="30"/>
    </row>
    <row r="20" spans="1:25" ht="20.100000000000001" customHeight="1" x14ac:dyDescent="0.2">
      <c r="A20" s="5" t="str">
        <f>HYPERLINK("#'Input - Manure sent off-site'!A1", "Manure sent off-site")</f>
        <v>Manure sent off-site</v>
      </c>
      <c r="D20" s="1" t="s">
        <v>31</v>
      </c>
      <c r="E20" s="15" t="str">
        <f>Common_InputFunctions.Utility_GetClimateZone(E14,E15,E17,E13,E18,Table_SourceData_ClimateZones[Min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20" s="1"/>
      <c r="G20" s="48"/>
      <c r="N20" s="32"/>
    </row>
    <row r="21" spans="1:25" ht="20.100000000000001" customHeight="1" x14ac:dyDescent="0.2">
      <c r="A21" s="5" t="str">
        <f>HYPERLINK("#'Input - Data quality'!A1", "Data quality")</f>
        <v>Data quality</v>
      </c>
      <c r="D21" s="1" t="s">
        <v>114</v>
      </c>
      <c r="E21" s="15" t="str">
        <f>Common_InputFunctions.Utility_LookupValueInTable($E$20,Table_SourceData_WetDryZones[Climate zone],Table_SourceData_WetDryZones[Wet or Dry Zone])</f>
        <v>Dry climate zone</v>
      </c>
      <c r="F21" s="1"/>
      <c r="G21" s="48"/>
    </row>
    <row r="22" spans="1:25" ht="20.100000000000001" customHeight="1" x14ac:dyDescent="0.2">
      <c r="A22" s="5" t="str">
        <f>HYPERLINK("#'Input - Fert Prod System'!A1", "Fert Prod System")</f>
        <v>Fert Prod System</v>
      </c>
      <c r="D22" s="1" t="s">
        <v>68</v>
      </c>
      <c r="E22" s="15" t="str">
        <f>Common_InputFunctions.Utility_LookupItemFromMinMax(E14,Table_SourceData_TemperatureZones[Min MAT],Table_SourceData_TemperatureZones[Max MAT],Table_SourceData_TemperatureZones[Temperature Zone])</f>
        <v>Temperate</v>
      </c>
      <c r="G22" s="52"/>
    </row>
    <row r="23" spans="1:25" ht="20.100000000000001" customHeight="1" x14ac:dyDescent="0.2">
      <c r="A23" s="5" t="str">
        <f>HYPERLINK("#'Input - Fertiliser'!A1", "Fertiliser")</f>
        <v>Fertiliser</v>
      </c>
    </row>
    <row r="24" spans="1:25" ht="20.100000000000001" customHeight="1" x14ac:dyDescent="0.2">
      <c r="A24"/>
    </row>
    <row r="25" spans="1:25" ht="20.100000000000001" customHeight="1" x14ac:dyDescent="0.2">
      <c r="A25"/>
      <c r="N25" s="32"/>
    </row>
    <row r="26" spans="1:25" ht="20.100000000000001" customHeight="1" x14ac:dyDescent="0.2">
      <c r="A26" s="6" t="s">
        <v>2</v>
      </c>
    </row>
    <row r="27" spans="1:25" ht="20.100000000000001" customHeight="1" x14ac:dyDescent="0.2">
      <c r="A27" s="5" t="str">
        <f>HYPERLINK("#'4.6.1.1-2 Methane'!A1", "4.6.1.1-2 Manure Methane")</f>
        <v>4.6.1.1-2 Manure Methane</v>
      </c>
    </row>
    <row r="28" spans="1:25" ht="20.100000000000001" customHeight="1" x14ac:dyDescent="0.2">
      <c r="A28" s="5" t="str">
        <f>HYPERLINK("#'4.6.1.3-4 Direct N20'!A1", "4.6.1.3-4 Manure Direct N2O")</f>
        <v>4.6.1.3-4 Manure Direct N2O</v>
      </c>
    </row>
    <row r="29" spans="1:25" ht="20.100000000000001" customHeight="1" x14ac:dyDescent="0.2">
      <c r="A29" s="5" t="str">
        <f>HYPERLINK("#'4.6.1.5-6 Atmos Dep'!A1", "4.6.1.5-6 Manure Atmos Dep")</f>
        <v>4.6.1.5-6 Manure Atmos Dep</v>
      </c>
    </row>
    <row r="30" spans="1:25" ht="20.100000000000001" customHeight="1" x14ac:dyDescent="0.2">
      <c r="A30" s="5" t="str">
        <f>HYPERLINK("#'4.6.1.7-8 Leaching and runoff'!A1", "4.6.1.7-8 Manure Leaching and runoff")</f>
        <v>4.6.1.7-8 Manure Leaching and runoff</v>
      </c>
      <c r="L30" s="50"/>
      <c r="M30" s="50"/>
      <c r="N30" s="50"/>
      <c r="O30" s="50"/>
      <c r="P30" s="50"/>
      <c r="Q30" s="50"/>
      <c r="R30" s="50"/>
      <c r="S30" s="50"/>
      <c r="T30" s="50"/>
      <c r="U30" s="50"/>
      <c r="V30" s="50"/>
      <c r="W30" s="50"/>
      <c r="X30" s="50"/>
      <c r="Y30" s="50"/>
    </row>
    <row r="31" spans="1:25" ht="20.100000000000001" customHeight="1" x14ac:dyDescent="0.2">
      <c r="A31" s="5" t="str">
        <f>HYPERLINK("#'4.6.1.9 Manure applied to soils'!A1", "4.6.1.9 Manure applied to soils")</f>
        <v>4.6.1.9 Manure applied to soils</v>
      </c>
      <c r="L31" s="51"/>
      <c r="M31" s="51"/>
      <c r="N31" s="51"/>
      <c r="O31" s="51"/>
      <c r="P31" s="51"/>
      <c r="Q31" s="51"/>
      <c r="R31" s="51"/>
      <c r="S31" s="51"/>
      <c r="T31" s="51"/>
      <c r="U31" s="51"/>
      <c r="V31" s="51"/>
      <c r="W31" s="51"/>
      <c r="X31" s="51"/>
      <c r="Y31" s="51"/>
    </row>
    <row r="32" spans="1:25" ht="20.100000000000001" customHeight="1" x14ac:dyDescent="0.2">
      <c r="A32" s="5" t="str">
        <f>HYPERLINK("#'4.6.1.10-11 Soil direct N2O'!A1", "4.6.1.10-11 Soil direct N2O")</f>
        <v>4.6.1.10-11 Soil direct N2O</v>
      </c>
      <c r="L32" s="51"/>
      <c r="M32" s="51"/>
      <c r="N32" s="51"/>
      <c r="O32" s="51"/>
      <c r="P32" s="51"/>
      <c r="Q32" s="51"/>
      <c r="R32" s="51"/>
      <c r="S32" s="51"/>
      <c r="T32" s="51"/>
      <c r="U32" s="51"/>
      <c r="V32" s="51"/>
      <c r="W32" s="51"/>
      <c r="X32" s="51"/>
      <c r="Y32" s="51"/>
    </row>
    <row r="33" spans="1:25" ht="20.100000000000001" customHeight="1" x14ac:dyDescent="0.2">
      <c r="A33" s="5" t="str">
        <f>HYPERLINK("#'4.6.1.12-13 Soil atmos dep'!A1", "4.6.1.12-13 Soil atmos dep")</f>
        <v>4.6.1.12-13 Soil atmos dep</v>
      </c>
      <c r="L33" s="51"/>
      <c r="M33" s="51"/>
      <c r="N33" s="51"/>
      <c r="O33" s="51"/>
      <c r="P33" s="51"/>
      <c r="Q33" s="51"/>
      <c r="R33" s="51"/>
      <c r="S33" s="51"/>
      <c r="T33" s="51"/>
      <c r="U33" s="51"/>
      <c r="V33" s="51"/>
      <c r="W33" s="51"/>
      <c r="X33" s="51"/>
      <c r="Y33" s="51"/>
    </row>
    <row r="34" spans="1:25" ht="20.100000000000001" customHeight="1" x14ac:dyDescent="0.2">
      <c r="A34" s="5" t="str">
        <f>HYPERLINK("#'4.6.1.14-15 Soil leach runoff'!A1", "4.6.1.14-15 Soil leach runoff")</f>
        <v>4.6.1.14-15 Soil leach runoff</v>
      </c>
      <c r="J34" s="53"/>
      <c r="K34" s="54"/>
      <c r="L34" s="51"/>
      <c r="M34" s="51"/>
      <c r="N34" s="51"/>
      <c r="O34" s="51"/>
      <c r="P34" s="51"/>
      <c r="Q34" s="51"/>
      <c r="R34" s="51"/>
      <c r="S34" s="51"/>
      <c r="T34" s="51"/>
      <c r="U34" s="51"/>
      <c r="V34" s="51"/>
      <c r="W34" s="51"/>
      <c r="X34" s="51"/>
      <c r="Y34" s="51"/>
    </row>
    <row r="35" spans="1:25" ht="20.100000000000001" customHeight="1" x14ac:dyDescent="0.2">
      <c r="A35" s="5" t="str">
        <f>HYPERLINK("#'8.1.1.1-2 Transport fuel'!A1", "8.1.1.1-2 Transport fuel")</f>
        <v>8.1.1.1-2 Transport fuel</v>
      </c>
      <c r="J35" s="53"/>
      <c r="K35" s="54"/>
      <c r="L35" s="51"/>
      <c r="M35" s="51"/>
      <c r="N35" s="51"/>
      <c r="O35" s="51"/>
      <c r="P35" s="51"/>
      <c r="Q35" s="51"/>
      <c r="R35" s="51"/>
      <c r="S35" s="51"/>
      <c r="T35" s="51"/>
      <c r="U35" s="51"/>
      <c r="V35" s="51"/>
      <c r="W35" s="51"/>
      <c r="X35" s="51"/>
      <c r="Y35" s="51"/>
    </row>
    <row r="36" spans="1:25" ht="20.100000000000001" customHeight="1" x14ac:dyDescent="0.2">
      <c r="A36" s="5" t="str">
        <f>HYPERLINK("#'8.2.1.1-2 Stationary fuel'!A1", "8.2.1.1-2 Stationary fuel")</f>
        <v>8.2.1.1-2 Stationary fuel</v>
      </c>
      <c r="D36" s="55"/>
      <c r="E36" s="55"/>
      <c r="F36" s="56"/>
      <c r="G36" s="53"/>
      <c r="H36" s="53"/>
      <c r="I36" s="57"/>
      <c r="J36" s="53"/>
      <c r="K36" s="54"/>
      <c r="L36" s="51"/>
      <c r="M36" s="51"/>
      <c r="N36" s="51"/>
      <c r="O36" s="51"/>
      <c r="P36" s="51"/>
      <c r="Q36" s="51"/>
      <c r="R36" s="51"/>
      <c r="S36" s="51"/>
      <c r="T36" s="51"/>
      <c r="U36" s="51"/>
      <c r="V36" s="51"/>
      <c r="W36" s="51"/>
      <c r="X36" s="51"/>
      <c r="Y36" s="51"/>
    </row>
    <row r="37" spans="1:25" ht="20.100000000000001" customHeight="1" x14ac:dyDescent="0.2">
      <c r="A37" s="5" t="str">
        <f>HYPERLINK("#'10.1.1-2 Solid waste treatment'!A1", "10.1.1.1-2 Solid waste")</f>
        <v>10.1.1.1-2 Solid waste</v>
      </c>
      <c r="D37" s="55"/>
      <c r="E37" s="55"/>
      <c r="F37" s="56"/>
      <c r="G37" s="53"/>
      <c r="H37" s="53"/>
      <c r="I37" s="57"/>
      <c r="J37" s="53"/>
      <c r="K37" s="54"/>
      <c r="L37" s="51"/>
      <c r="M37" s="51"/>
      <c r="N37" s="51"/>
      <c r="O37" s="51"/>
      <c r="P37" s="51"/>
      <c r="Q37" s="51"/>
      <c r="R37" s="51"/>
      <c r="S37" s="51"/>
      <c r="T37" s="51"/>
      <c r="U37" s="51"/>
      <c r="V37" s="51"/>
      <c r="W37" s="51"/>
      <c r="X37" s="51"/>
      <c r="Y37" s="51"/>
    </row>
    <row r="38" spans="1:25" ht="20.100000000000001" customHeight="1" x14ac:dyDescent="0.2">
      <c r="A38" s="5" t="str">
        <f>HYPERLINK("#'14.1.1-2 Purchased electricity'!A1", "14.1.1-2 Purchased electricity")</f>
        <v>14.1.1-2 Purchased electricity</v>
      </c>
      <c r="D38" s="55"/>
      <c r="E38" s="55"/>
      <c r="F38" s="56"/>
      <c r="G38" s="53"/>
      <c r="H38" s="53"/>
      <c r="I38" s="57"/>
      <c r="J38" s="53"/>
      <c r="K38" s="54"/>
      <c r="L38" s="51"/>
      <c r="M38" s="51"/>
      <c r="N38" s="51"/>
      <c r="O38" s="51"/>
      <c r="P38" s="51"/>
      <c r="Q38" s="51"/>
      <c r="R38" s="51"/>
      <c r="S38" s="51"/>
      <c r="T38" s="51"/>
      <c r="U38" s="51"/>
      <c r="V38" s="51"/>
      <c r="W38" s="51"/>
      <c r="X38" s="51"/>
      <c r="Y38" s="51"/>
    </row>
    <row r="39" spans="1:25" ht="20.100000000000001" customHeight="1" x14ac:dyDescent="0.2">
      <c r="A39" s="5" t="str">
        <f>HYPERLINK("#'15 Scope 3'!A1", "15 Scope 3")</f>
        <v>15 Scope 3</v>
      </c>
      <c r="D39" s="55"/>
      <c r="E39" s="55"/>
      <c r="F39" s="56"/>
      <c r="G39" s="53"/>
      <c r="H39" s="53"/>
      <c r="I39" s="57"/>
      <c r="J39" s="53"/>
      <c r="K39" s="54"/>
      <c r="L39" s="51"/>
      <c r="M39" s="51"/>
      <c r="N39" s="51"/>
      <c r="O39" s="51"/>
      <c r="P39" s="51"/>
      <c r="Q39" s="51"/>
      <c r="R39" s="51"/>
      <c r="S39" s="51"/>
      <c r="T39" s="51"/>
      <c r="U39" s="51"/>
      <c r="V39" s="51"/>
      <c r="W39" s="51"/>
      <c r="X39" s="51"/>
      <c r="Y39" s="51"/>
    </row>
    <row r="40" spans="1:25" ht="20.100000000000001" customHeight="1" x14ac:dyDescent="0.2">
      <c r="A40" s="5" t="str">
        <f>HYPERLINK("#'Calcs - Manure sent off-site'!A1", "Calcs - Manure sent off-site")</f>
        <v>Calcs - Manure sent off-site</v>
      </c>
      <c r="D40" s="58"/>
      <c r="E40" s="58"/>
      <c r="F40" s="58"/>
      <c r="G40" s="59"/>
      <c r="H40" s="60"/>
      <c r="I40" s="60"/>
      <c r="J40" s="60"/>
      <c r="K40" s="60"/>
      <c r="L40" s="61"/>
      <c r="M40" s="61"/>
      <c r="N40" s="61"/>
      <c r="O40" s="61"/>
      <c r="P40" s="61"/>
      <c r="Q40" s="61"/>
      <c r="R40" s="61"/>
      <c r="S40" s="61"/>
      <c r="T40" s="61"/>
      <c r="U40" s="61"/>
      <c r="V40" s="61"/>
      <c r="W40" s="61"/>
      <c r="X40" s="61"/>
      <c r="Y40" s="61"/>
    </row>
    <row r="41" spans="1:25" ht="20.100000000000001" customHeight="1" x14ac:dyDescent="0.2">
      <c r="A41" s="5" t="str">
        <f>HYPERLINK("#'5.1.1.1-2 Inorganic fert N2O'!A1", "5.1.1.1-2 Inorganic fert N2O")</f>
        <v>5.1.1.1-2 Inorganic fert N2O</v>
      </c>
    </row>
    <row r="42" spans="1:25" ht="20.100000000000001" customHeight="1" x14ac:dyDescent="0.2">
      <c r="A42" s="5" t="str">
        <f>HYPERLINK("#'5.1.1.3-4 Inorganic fert CO2'!A1", "5.1.1.3-4 Inorganic fert CO2")</f>
        <v>5.1.1.3-4 Inorganic fert CO2</v>
      </c>
    </row>
    <row r="43" spans="1:25" ht="20.100000000000001" customHeight="1" x14ac:dyDescent="0.2">
      <c r="A43" s="5" t="str">
        <f>HYPERLINK("#'5.2.1.1-2 Organic Fert N2O'!A1", "5.2.1.1-2 Organic Fert N2O")</f>
        <v>5.2.1.1-2 Organic Fert N2O</v>
      </c>
    </row>
    <row r="44" spans="1:25" ht="20.100000000000001" customHeight="1" x14ac:dyDescent="0.2">
      <c r="A44" s="5" t="str">
        <f>HYPERLINK("#'5.3.1.1-2 Lime CO2'!A1", "5.3.1.1-2 Lime CO2")</f>
        <v>5.3.1.1-2 Lime CO2</v>
      </c>
    </row>
    <row r="45" spans="1:25" ht="20.100000000000001" customHeight="1" x14ac:dyDescent="0.2">
      <c r="A45" s="5" t="str">
        <f>HYPERLINK("#'5.4.1.1-4 Atmos deposition'!A1", "5.4.1.1-4 Atmos deposition")</f>
        <v>5.4.1.1-4 Atmos deposition</v>
      </c>
      <c r="D45" s="2"/>
    </row>
    <row r="46" spans="1:25" ht="20.100000000000001" customHeight="1" x14ac:dyDescent="0.2">
      <c r="A46" s="5" t="str">
        <f>HYPERLINK("#'5.5.1.1-2 Leaching and runoff'!A1", "5.5.1.1-2 Leaching and runoff")</f>
        <v>5.5.1.1-2 Leaching and runoff</v>
      </c>
      <c r="D46" s="2"/>
    </row>
    <row r="47" spans="1:25" ht="20.100000000000001" customHeight="1" x14ac:dyDescent="0.2">
      <c r="A47"/>
      <c r="D47" s="62"/>
      <c r="E47" s="62"/>
      <c r="F47" s="62"/>
      <c r="G47" s="62"/>
      <c r="H47" s="62"/>
    </row>
    <row r="48" spans="1:25" ht="20.100000000000001" customHeight="1" x14ac:dyDescent="0.2">
      <c r="A48"/>
      <c r="D48" s="63"/>
      <c r="E48" s="63"/>
      <c r="F48" s="64"/>
      <c r="G48" s="64"/>
      <c r="H48" s="63"/>
    </row>
    <row r="49" spans="1:8" ht="20.100000000000001" customHeight="1" x14ac:dyDescent="0.2">
      <c r="A49" s="80" t="s">
        <v>1</v>
      </c>
      <c r="D49" s="63"/>
      <c r="E49" s="63"/>
      <c r="F49" s="64"/>
      <c r="G49" s="64"/>
      <c r="H49" s="63"/>
    </row>
    <row r="50" spans="1:8" ht="20.100000000000001" customHeight="1" x14ac:dyDescent="0.2">
      <c r="A50" s="5" t="str">
        <f>HYPERLINK("#'Constants - Poultry'!A1", "Constants - Poultry")</f>
        <v>Constants - Poultry</v>
      </c>
      <c r="D50" s="63"/>
      <c r="E50" s="63"/>
      <c r="F50" s="64"/>
      <c r="G50" s="64"/>
      <c r="H50" s="63"/>
    </row>
    <row r="51" spans="1:8" ht="20.100000000000001" customHeight="1" x14ac:dyDescent="0.2">
      <c r="A51" s="5" t="str">
        <f>HYPERLINK("#'Constants - Common livestock'!A1", "Constants - Common Livestock")</f>
        <v>Constants - Common Livestock</v>
      </c>
      <c r="D51" s="65"/>
      <c r="E51" s="66"/>
      <c r="F51" s="66"/>
      <c r="G51" s="66"/>
      <c r="H51" s="67"/>
    </row>
    <row r="52" spans="1:8" ht="20.100000000000001" customHeight="1" x14ac:dyDescent="0.2">
      <c r="A52" s="5" t="str">
        <f>HYPERLINK("#'Constants - Electricity'!A1", "Constants - Electricity")</f>
        <v>Constants - Electricity</v>
      </c>
    </row>
    <row r="53" spans="1:8" ht="20.100000000000001" customHeight="1" x14ac:dyDescent="0.2">
      <c r="A53" s="5" t="str">
        <f>HYPERLINK("#'Constants - Fertiliser'!A1", "Constants - Fertiliser")</f>
        <v>Constants - Fertiliser</v>
      </c>
    </row>
    <row r="54" spans="1:8" ht="20.100000000000001" customHeight="1" x14ac:dyDescent="0.2">
      <c r="A54" s="5" t="str">
        <f>HYPERLINK("#'Constants - Fuel'!A1", "Constants - Fuel")</f>
        <v>Constants - Fuel</v>
      </c>
      <c r="G54" s="68"/>
    </row>
    <row r="55" spans="1:8" ht="20.100000000000001" customHeight="1" x14ac:dyDescent="0.2">
      <c r="A55" s="5" t="str">
        <f>HYPERLINK("#'Constants - Scope 3'!A1", "Constants - Scope 3")</f>
        <v>Constants - Scope 3</v>
      </c>
      <c r="D55" s="2"/>
    </row>
    <row r="56" spans="1:8" ht="20.100000000000001" customHeight="1" x14ac:dyDescent="0.2">
      <c r="A56" s="5" t="str">
        <f>HYPERLINK("#'Constants - Solid Waste'!A1", "Constants - Solid Waste")</f>
        <v>Constants - Solid Waste</v>
      </c>
    </row>
    <row r="57" spans="1:8" ht="20.100000000000001" customHeight="1" x14ac:dyDescent="0.2">
      <c r="A57" s="5" t="str">
        <f>HYPERLINK("#'Constants - Common'!A1", "Constants - Common")</f>
        <v>Constants - Common</v>
      </c>
      <c r="F57" s="69"/>
    </row>
    <row r="58" spans="1:8" ht="20.100000000000001" customHeight="1" x14ac:dyDescent="0.2">
      <c r="A58"/>
      <c r="E58" s="70"/>
    </row>
    <row r="59" spans="1:8" ht="20.100000000000001" customHeight="1" x14ac:dyDescent="0.2">
      <c r="A59"/>
      <c r="E59" s="70"/>
    </row>
    <row r="60" spans="1:8" ht="20.100000000000001" customHeight="1" x14ac:dyDescent="0.2">
      <c r="A60"/>
      <c r="E60" s="71"/>
    </row>
    <row r="61" spans="1:8" ht="20.100000000000001" customHeight="1" x14ac:dyDescent="0.2">
      <c r="A61"/>
    </row>
    <row r="62" spans="1:8" ht="20.100000000000001" customHeight="1" x14ac:dyDescent="0.2">
      <c r="A62"/>
    </row>
    <row r="63" spans="1:8" ht="20.100000000000001" customHeight="1" x14ac:dyDescent="0.2">
      <c r="A63"/>
    </row>
    <row r="64" spans="1:8" ht="20.100000000000001" customHeight="1" x14ac:dyDescent="0.2">
      <c r="A64"/>
      <c r="D64" s="1"/>
      <c r="E64" s="70"/>
    </row>
    <row r="65" spans="1:9" ht="20.100000000000001" customHeight="1" x14ac:dyDescent="0.2">
      <c r="A65"/>
      <c r="D65" s="1"/>
      <c r="E65" s="70"/>
    </row>
    <row r="66" spans="1:9" ht="20.100000000000001" customHeight="1" x14ac:dyDescent="0.2">
      <c r="A66"/>
      <c r="D66" s="1"/>
      <c r="E66" s="71"/>
    </row>
    <row r="67" spans="1:9" ht="20.100000000000001" customHeight="1" x14ac:dyDescent="0.2">
      <c r="A67"/>
    </row>
    <row r="68" spans="1:9" ht="20.100000000000001" customHeight="1" x14ac:dyDescent="0.2">
      <c r="A68"/>
    </row>
    <row r="69" spans="1:9" ht="20.100000000000001" customHeight="1" x14ac:dyDescent="0.2">
      <c r="A69"/>
      <c r="D69" s="72"/>
      <c r="E69" s="72"/>
      <c r="F69" s="72"/>
      <c r="G69" s="72"/>
      <c r="H69" s="72"/>
      <c r="I69" s="72"/>
    </row>
    <row r="70" spans="1:9" ht="20.100000000000001" customHeight="1" x14ac:dyDescent="0.2">
      <c r="A70"/>
      <c r="D70" s="72"/>
      <c r="E70" s="72"/>
      <c r="F70" s="72"/>
      <c r="G70" s="72"/>
      <c r="H70" s="72"/>
      <c r="I70" s="72"/>
    </row>
    <row r="71" spans="1:9" ht="20.100000000000001" customHeight="1" x14ac:dyDescent="0.2">
      <c r="A71"/>
      <c r="D71" s="72"/>
      <c r="E71" s="72"/>
      <c r="F71" s="72"/>
      <c r="G71" s="72"/>
      <c r="H71" s="72"/>
      <c r="I71" s="72"/>
    </row>
    <row r="72" spans="1:9" ht="20.100000000000001" customHeight="1" x14ac:dyDescent="0.2">
      <c r="A72"/>
      <c r="D72" s="72"/>
      <c r="E72" s="72"/>
      <c r="F72" s="72"/>
      <c r="G72" s="72"/>
      <c r="H72" s="72"/>
      <c r="I72" s="72"/>
    </row>
    <row r="73" spans="1:9" ht="20.100000000000001" customHeight="1" x14ac:dyDescent="0.2">
      <c r="A73"/>
    </row>
    <row r="74" spans="1:9" ht="20.100000000000001" customHeight="1" x14ac:dyDescent="0.2">
      <c r="A74"/>
    </row>
    <row r="75" spans="1:9" ht="20.100000000000001" customHeight="1" x14ac:dyDescent="0.2">
      <c r="A75"/>
    </row>
    <row r="76" spans="1:9" ht="20.100000000000001" customHeight="1" x14ac:dyDescent="0.2">
      <c r="A76"/>
    </row>
    <row r="77" spans="1:9" ht="20.100000000000001" customHeight="1" x14ac:dyDescent="0.2">
      <c r="A77"/>
    </row>
    <row r="78" spans="1:9" ht="20.100000000000001" customHeight="1" x14ac:dyDescent="0.2">
      <c r="A78"/>
      <c r="D78" s="73"/>
    </row>
    <row r="79" spans="1:9" ht="20.100000000000001" customHeight="1" x14ac:dyDescent="0.2">
      <c r="A79"/>
      <c r="D79" s="73"/>
    </row>
    <row r="80" spans="1:9" ht="20.100000000000001" customHeight="1" x14ac:dyDescent="0.2">
      <c r="A80"/>
      <c r="D80" s="73"/>
    </row>
    <row r="81" spans="1:4" ht="20.100000000000001" customHeight="1" x14ac:dyDescent="0.2">
      <c r="A81"/>
      <c r="D81" s="73"/>
    </row>
    <row r="82" spans="1:4" ht="20.100000000000001" customHeight="1" x14ac:dyDescent="0.2">
      <c r="A82"/>
      <c r="D82" s="73"/>
    </row>
    <row r="83" spans="1:4" ht="20.100000000000001" customHeight="1" x14ac:dyDescent="0.2">
      <c r="A83"/>
    </row>
    <row r="84" spans="1:4" ht="20.100000000000001" customHeight="1" x14ac:dyDescent="0.2">
      <c r="A84"/>
    </row>
    <row r="85" spans="1:4" ht="20.100000000000001" customHeight="1" x14ac:dyDescent="0.2">
      <c r="A85"/>
    </row>
    <row r="86" spans="1:4" ht="20.100000000000001" customHeight="1" x14ac:dyDescent="0.2">
      <c r="A86"/>
    </row>
    <row r="87" spans="1:4" ht="20.100000000000001" customHeight="1" x14ac:dyDescent="0.2">
      <c r="A87"/>
    </row>
    <row r="88" spans="1:4" ht="20.100000000000001" customHeight="1" x14ac:dyDescent="0.2">
      <c r="A88"/>
    </row>
    <row r="89" spans="1:4" ht="20.100000000000001" customHeight="1" x14ac:dyDescent="0.2">
      <c r="A89"/>
    </row>
    <row r="90" spans="1:4" ht="20.100000000000001" customHeight="1" x14ac:dyDescent="0.2">
      <c r="A90"/>
    </row>
    <row r="91" spans="1:4" ht="20.100000000000001" customHeight="1" x14ac:dyDescent="0.2">
      <c r="A91"/>
    </row>
    <row r="92" spans="1:4" ht="20.100000000000001" customHeight="1" x14ac:dyDescent="0.2">
      <c r="A92"/>
    </row>
    <row r="93" spans="1:4" ht="20.100000000000001" customHeight="1" x14ac:dyDescent="0.2">
      <c r="A93"/>
    </row>
    <row r="94" spans="1:4" ht="20.100000000000001" customHeight="1" x14ac:dyDescent="0.2">
      <c r="A94"/>
    </row>
    <row r="95" spans="1:4" ht="20.100000000000001" customHeight="1" x14ac:dyDescent="0.2">
      <c r="A95"/>
    </row>
    <row r="96" spans="1:4" ht="20.100000000000001" customHeight="1" x14ac:dyDescent="0.2">
      <c r="A96"/>
    </row>
    <row r="97" spans="1:1" ht="20.100000000000001" customHeight="1" x14ac:dyDescent="0.2">
      <c r="A97"/>
    </row>
    <row r="98" spans="1:1" ht="20.100000000000001" customHeight="1" x14ac:dyDescent="0.2">
      <c r="A98"/>
    </row>
    <row r="99" spans="1:1" ht="20.100000000000001" customHeight="1" x14ac:dyDescent="0.2">
      <c r="A99"/>
    </row>
    <row r="100" spans="1:1" ht="20.100000000000001" customHeight="1" x14ac:dyDescent="0.2">
      <c r="A100"/>
    </row>
    <row r="101" spans="1:1" ht="20.100000000000001" customHeight="1" x14ac:dyDescent="0.2">
      <c r="A101"/>
    </row>
    <row r="102" spans="1:1" ht="20.100000000000001" customHeight="1" x14ac:dyDescent="0.2">
      <c r="A102"/>
    </row>
    <row r="103" spans="1:1" ht="20.100000000000001" customHeight="1" x14ac:dyDescent="0.2">
      <c r="A103"/>
    </row>
    <row r="104" spans="1:1" ht="20.100000000000001" customHeight="1" x14ac:dyDescent="0.2">
      <c r="A104"/>
    </row>
    <row r="105" spans="1:1" ht="20.100000000000001" customHeight="1" x14ac:dyDescent="0.2">
      <c r="A105"/>
    </row>
    <row r="106" spans="1:1" ht="20.100000000000001" customHeight="1" x14ac:dyDescent="0.2">
      <c r="A106"/>
    </row>
    <row r="107" spans="1:1" ht="20.100000000000001" customHeight="1" x14ac:dyDescent="0.2">
      <c r="A107"/>
    </row>
    <row r="108" spans="1:1" ht="20.100000000000001" customHeight="1" x14ac:dyDescent="0.2">
      <c r="A108"/>
    </row>
    <row r="109" spans="1:1" ht="20.100000000000001" customHeight="1" x14ac:dyDescent="0.2">
      <c r="A109"/>
    </row>
    <row r="110" spans="1:1" ht="20.100000000000001" customHeight="1" x14ac:dyDescent="0.2">
      <c r="A110"/>
    </row>
    <row r="111" spans="1:1" ht="20.100000000000001" customHeight="1" x14ac:dyDescent="0.2">
      <c r="A111"/>
    </row>
    <row r="112" spans="1:1" ht="20.100000000000001" customHeight="1" x14ac:dyDescent="0.2">
      <c r="A112"/>
    </row>
    <row r="113" spans="1:1" ht="20.100000000000001" customHeight="1" x14ac:dyDescent="0.2">
      <c r="A113"/>
    </row>
    <row r="114" spans="1:1" ht="20.100000000000001" customHeight="1" x14ac:dyDescent="0.2">
      <c r="A114"/>
    </row>
    <row r="115" spans="1:1" ht="20.100000000000001" customHeight="1" x14ac:dyDescent="0.2">
      <c r="A115"/>
    </row>
    <row r="116" spans="1:1" ht="20.100000000000001" customHeight="1" x14ac:dyDescent="0.2">
      <c r="A116"/>
    </row>
    <row r="117" spans="1:1" ht="20.100000000000001" customHeight="1" x14ac:dyDescent="0.2">
      <c r="A117"/>
    </row>
    <row r="118" spans="1:1" ht="20.100000000000001" customHeight="1" x14ac:dyDescent="0.2">
      <c r="A118"/>
    </row>
    <row r="119" spans="1:1" ht="20.100000000000001" customHeight="1" x14ac:dyDescent="0.2">
      <c r="A119"/>
    </row>
    <row r="120" spans="1:1" ht="20.100000000000001" customHeight="1" x14ac:dyDescent="0.2">
      <c r="A120"/>
    </row>
    <row r="121" spans="1:1" ht="20.100000000000001" customHeight="1" x14ac:dyDescent="0.2">
      <c r="A121"/>
    </row>
    <row r="122" spans="1:1" ht="20.100000000000001" customHeight="1" x14ac:dyDescent="0.2">
      <c r="A122"/>
    </row>
    <row r="123" spans="1:1" ht="20.100000000000001" customHeight="1" x14ac:dyDescent="0.2">
      <c r="A123"/>
    </row>
    <row r="124" spans="1:1" ht="20.100000000000001" customHeight="1" x14ac:dyDescent="0.2">
      <c r="A124"/>
    </row>
    <row r="125" spans="1:1" ht="20.100000000000001" customHeight="1" x14ac:dyDescent="0.2">
      <c r="A125"/>
    </row>
    <row r="126" spans="1:1" ht="20.100000000000001" customHeight="1" x14ac:dyDescent="0.2">
      <c r="A126"/>
    </row>
    <row r="127" spans="1:1" ht="20.100000000000001" customHeight="1" x14ac:dyDescent="0.2">
      <c r="A127"/>
    </row>
    <row r="128" spans="1:1" ht="20.100000000000001" customHeight="1" x14ac:dyDescent="0.2">
      <c r="A128"/>
    </row>
    <row r="129" spans="1:1" ht="20.100000000000001" customHeight="1" x14ac:dyDescent="0.2">
      <c r="A129"/>
    </row>
    <row r="130" spans="1:1" ht="20.100000000000001" customHeight="1" x14ac:dyDescent="0.2">
      <c r="A130"/>
    </row>
    <row r="131" spans="1:1" ht="20.100000000000001" customHeight="1" x14ac:dyDescent="0.2">
      <c r="A131"/>
    </row>
    <row r="132" spans="1:1" ht="20.100000000000001" customHeight="1" x14ac:dyDescent="0.2">
      <c r="A132"/>
    </row>
    <row r="133" spans="1:1" ht="20.100000000000001" customHeight="1" x14ac:dyDescent="0.2">
      <c r="A133"/>
    </row>
    <row r="134" spans="1:1" ht="20.100000000000001" customHeight="1" x14ac:dyDescent="0.2">
      <c r="A134"/>
    </row>
    <row r="135" spans="1:1" ht="20.100000000000001" customHeight="1" x14ac:dyDescent="0.2">
      <c r="A135"/>
    </row>
    <row r="136" spans="1:1" ht="20.100000000000001" customHeight="1" x14ac:dyDescent="0.2">
      <c r="A136"/>
    </row>
    <row r="137" spans="1:1" ht="20.100000000000001" customHeight="1" x14ac:dyDescent="0.2">
      <c r="A137"/>
    </row>
    <row r="138" spans="1:1" ht="20.100000000000001" customHeight="1" x14ac:dyDescent="0.2">
      <c r="A138"/>
    </row>
    <row r="139" spans="1:1" ht="20.100000000000001" customHeight="1" x14ac:dyDescent="0.2">
      <c r="A139"/>
    </row>
    <row r="140" spans="1:1" ht="20.100000000000001" customHeight="1" x14ac:dyDescent="0.2">
      <c r="A140"/>
    </row>
    <row r="141" spans="1:1" ht="20.100000000000001" customHeight="1" x14ac:dyDescent="0.2">
      <c r="A141"/>
    </row>
    <row r="142" spans="1:1" ht="20.100000000000001" customHeight="1" x14ac:dyDescent="0.2">
      <c r="A142"/>
    </row>
    <row r="143" spans="1:1" ht="20.100000000000001" customHeight="1" x14ac:dyDescent="0.2">
      <c r="A143"/>
    </row>
    <row r="144" spans="1:1"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 ht="20.100000000000001" customHeight="1" x14ac:dyDescent="0.2">
      <c r="A161"/>
    </row>
    <row r="162" spans="1:1" ht="20.100000000000001" customHeight="1" x14ac:dyDescent="0.2">
      <c r="A162"/>
    </row>
    <row r="163" spans="1:1" ht="20.100000000000001" customHeight="1" x14ac:dyDescent="0.2">
      <c r="A163"/>
    </row>
    <row r="164" spans="1:1" ht="20.100000000000001" customHeight="1" x14ac:dyDescent="0.2">
      <c r="A164"/>
    </row>
    <row r="165" spans="1:1" ht="20.100000000000001" customHeight="1" x14ac:dyDescent="0.2">
      <c r="A165"/>
    </row>
    <row r="166" spans="1:1" ht="20.100000000000001" customHeight="1" x14ac:dyDescent="0.2">
      <c r="A166"/>
    </row>
    <row r="167" spans="1:1" ht="20.100000000000001" customHeight="1" x14ac:dyDescent="0.2">
      <c r="A167"/>
    </row>
    <row r="168" spans="1:1" ht="20.100000000000001" customHeight="1" x14ac:dyDescent="0.2">
      <c r="A168"/>
    </row>
    <row r="169" spans="1:1" ht="20.100000000000001" customHeight="1" x14ac:dyDescent="0.2">
      <c r="A169"/>
    </row>
    <row r="170" spans="1:1" ht="20.100000000000001" customHeight="1" x14ac:dyDescent="0.2">
      <c r="A170"/>
    </row>
    <row r="171" spans="1:1" ht="20.100000000000001" customHeight="1" x14ac:dyDescent="0.2">
      <c r="A171"/>
    </row>
    <row r="172" spans="1:1" ht="20.100000000000001" customHeight="1" x14ac:dyDescent="0.2">
      <c r="A172"/>
    </row>
    <row r="173" spans="1:1" ht="20.100000000000001" customHeight="1" x14ac:dyDescent="0.2">
      <c r="A173"/>
    </row>
    <row r="174" spans="1:1" ht="20.100000000000001" customHeight="1" x14ac:dyDescent="0.2">
      <c r="A174"/>
    </row>
    <row r="175" spans="1:1" ht="20.100000000000001" customHeight="1" x14ac:dyDescent="0.2">
      <c r="A175"/>
    </row>
    <row r="176" spans="1:1" ht="20.100000000000001" customHeight="1" x14ac:dyDescent="0.2">
      <c r="A176"/>
    </row>
    <row r="177" spans="1:1" ht="20.100000000000001" customHeight="1" x14ac:dyDescent="0.2">
      <c r="A177"/>
    </row>
    <row r="178" spans="1:1" ht="20.100000000000001" customHeight="1" x14ac:dyDescent="0.2">
      <c r="A178"/>
    </row>
    <row r="179" spans="1:1" ht="20.100000000000001" customHeight="1" x14ac:dyDescent="0.2">
      <c r="A179"/>
    </row>
    <row r="180" spans="1:1" ht="20.100000000000001" customHeight="1" x14ac:dyDescent="0.2">
      <c r="A180"/>
    </row>
    <row r="181" spans="1:1" ht="20.100000000000001" customHeight="1" x14ac:dyDescent="0.2">
      <c r="A181"/>
    </row>
    <row r="182" spans="1:1" ht="20.100000000000001" customHeight="1" x14ac:dyDescent="0.2">
      <c r="A182"/>
    </row>
    <row r="183" spans="1:1" ht="20.100000000000001" customHeight="1" x14ac:dyDescent="0.2">
      <c r="A183"/>
    </row>
    <row r="184" spans="1:1" ht="20.100000000000001" customHeight="1" x14ac:dyDescent="0.2">
      <c r="A184"/>
    </row>
    <row r="185" spans="1:1" ht="20.100000000000001" customHeight="1" x14ac:dyDescent="0.2">
      <c r="A185"/>
    </row>
    <row r="186" spans="1:1" ht="20.100000000000001" customHeight="1" x14ac:dyDescent="0.2">
      <c r="A186"/>
    </row>
    <row r="187" spans="1:1" ht="20.100000000000001" customHeight="1" x14ac:dyDescent="0.2">
      <c r="A187"/>
    </row>
    <row r="188" spans="1:1" ht="20.100000000000001" customHeight="1" x14ac:dyDescent="0.2">
      <c r="A188"/>
    </row>
    <row r="189" spans="1:1" ht="20.100000000000001" customHeight="1" x14ac:dyDescent="0.2">
      <c r="A189"/>
    </row>
    <row r="190" spans="1:1" ht="20.100000000000001" customHeight="1" x14ac:dyDescent="0.2">
      <c r="A190"/>
    </row>
    <row r="191" spans="1:1" ht="20.100000000000001" customHeight="1" x14ac:dyDescent="0.2">
      <c r="A191"/>
    </row>
    <row r="192" spans="1:1"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4">
    <dataValidation type="list" allowBlank="1" showInputMessage="1" showErrorMessage="1" sqref="E12" xr:uid="{620909BD-05B7-4260-BB85-4888DFAEE1F3}">
      <formula1>"YES - In leaching zone, NO - Not in leaching zone"</formula1>
    </dataValidation>
    <dataValidation type="list" allowBlank="1" showInputMessage="1" showErrorMessage="1" sqref="G36:G39" xr:uid="{FC4F355F-8194-44E7-BAB7-2E788D632391}">
      <formula1>$D$41:$D$43</formula1>
    </dataValidation>
    <dataValidation type="list" allowBlank="1" showInputMessage="1" showErrorMessage="1" sqref="E11" xr:uid="{674A5993-80C6-40F8-9C7E-8360EE985D6D}">
      <formula1>INDIRECT("Table_WASA4Areas[SA 4 Name]")</formula1>
    </dataValidation>
    <dataValidation type="list" allowBlank="1" showInputMessage="1" showErrorMessage="1" sqref="E10" xr:uid="{3E5D42A7-7A09-4510-8DDD-588AA6407F0E}">
      <formula1>INDIRECT("Table_AustralianStates[Common Name]")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779A6-02C9-46DC-A75A-C1255A11B253}">
  <sheetPr>
    <tabColor theme="5" tint="-0.249977111117893"/>
  </sheetPr>
  <dimension ref="A1:W356"/>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73.28515625" style="1" customWidth="1"/>
    <col min="5" max="8" width="30.7109375" style="1" customWidth="1"/>
    <col min="9" max="10" width="15.28515625" style="1" customWidth="1"/>
    <col min="11" max="12" width="30.7109375" style="1" customWidth="1"/>
    <col min="13" max="13" width="27.140625" style="1" customWidth="1"/>
    <col min="14" max="14" width="4.7109375" style="1" customWidth="1"/>
    <col min="15" max="16" width="4.7109375" style="98" customWidth="1"/>
    <col min="17" max="22" width="30.7109375" style="98" customWidth="1"/>
    <col min="23" max="23" width="4.7109375" style="98" customWidth="1"/>
  </cols>
  <sheetData>
    <row r="1" spans="1:23" s="10" customFormat="1" ht="30" customHeight="1" x14ac:dyDescent="0.35">
      <c r="A1" s="10" t="e" vm="1">
        <v>#VALUE!</v>
      </c>
      <c r="C1" s="10" t="s">
        <v>295</v>
      </c>
      <c r="O1" s="98"/>
      <c r="P1" s="98"/>
      <c r="Q1" s="98"/>
      <c r="R1" s="98"/>
      <c r="S1" s="98"/>
      <c r="T1" s="98"/>
      <c r="U1" s="98"/>
      <c r="V1" s="98"/>
      <c r="W1" s="98"/>
    </row>
    <row r="2" spans="1:23" s="3" customFormat="1" ht="20.100000000000001" customHeight="1" x14ac:dyDescent="0.2">
      <c r="A2"/>
      <c r="O2" s="98"/>
      <c r="P2" s="98"/>
      <c r="Q2" s="98"/>
      <c r="R2" s="98"/>
      <c r="S2" s="98"/>
      <c r="T2" s="98"/>
      <c r="U2" s="98"/>
      <c r="V2" s="98"/>
      <c r="W2" s="98"/>
    </row>
    <row r="3" spans="1:23" ht="20.100000000000001" customHeight="1" x14ac:dyDescent="0.2">
      <c r="A3" s="5" t="str">
        <f>HYPERLINK("#'Home'!A1", "Home")</f>
        <v>Home</v>
      </c>
      <c r="C3" s="28"/>
      <c r="D3" s="28"/>
      <c r="E3" s="28"/>
      <c r="F3" s="28"/>
      <c r="G3" s="28"/>
      <c r="H3" s="28"/>
      <c r="I3" s="28"/>
      <c r="J3" s="28"/>
      <c r="K3" s="28"/>
      <c r="L3" s="28"/>
      <c r="M3" s="28"/>
      <c r="N3" s="28"/>
    </row>
    <row r="4" spans="1:23" ht="20.100000000000001" customHeight="1" x14ac:dyDescent="0.2">
      <c r="A4" s="5" t="str">
        <f>HYPERLINK("#'Results - Activity period'!A1", "Results - Activity period")</f>
        <v>Results - Activity period</v>
      </c>
    </row>
    <row r="5" spans="1:23" ht="20.100000000000001" customHeight="1" x14ac:dyDescent="0.2">
      <c r="A5" s="5" t="str">
        <f>HYPERLINK("#'Results - Product EI'!A1", "Results - Product Emissions Intensity")</f>
        <v>Results - Product Emissions Intensity</v>
      </c>
      <c r="D5" s="42" t="s">
        <v>296</v>
      </c>
      <c r="E5" s="43"/>
      <c r="F5" s="43"/>
      <c r="G5" s="43"/>
      <c r="H5" s="44"/>
      <c r="N5" s="24"/>
      <c r="R5" s="21"/>
    </row>
    <row r="6" spans="1:23" ht="20.100000000000001" customHeight="1" x14ac:dyDescent="0.2">
      <c r="D6" s="45"/>
      <c r="E6" s="46"/>
      <c r="F6" s="46"/>
      <c r="G6" s="46"/>
      <c r="H6" s="47"/>
      <c r="N6" s="24"/>
      <c r="R6" s="21"/>
    </row>
    <row r="7" spans="1:23" ht="20.100000000000001" customHeight="1" x14ac:dyDescent="0.2">
      <c r="N7" s="24"/>
      <c r="R7" s="21"/>
    </row>
    <row r="8" spans="1:23" ht="20.100000000000001" customHeight="1" x14ac:dyDescent="0.2">
      <c r="A8" s="7" t="s">
        <v>0</v>
      </c>
      <c r="N8" s="24"/>
      <c r="R8" s="21"/>
    </row>
    <row r="9" spans="1:23" ht="20.100000000000001" customHeight="1" x14ac:dyDescent="0.2">
      <c r="A9" s="5" t="str">
        <f>HYPERLINK("#'Input - Enterprise'!A1", "Enterprise")</f>
        <v>Enterprise</v>
      </c>
      <c r="E9" s="99" t="s">
        <v>297</v>
      </c>
      <c r="F9" s="99" t="s">
        <v>298</v>
      </c>
      <c r="G9" s="99" t="s">
        <v>299</v>
      </c>
      <c r="H9" s="99" t="s">
        <v>300</v>
      </c>
      <c r="R9" s="21"/>
    </row>
    <row r="10" spans="1:23" ht="20.100000000000001" customHeight="1" x14ac:dyDescent="0.2">
      <c r="A10" s="5" t="str">
        <f>HYPERLINK("#'Input - Site'!A1", "Site")</f>
        <v>Site</v>
      </c>
      <c r="D10" s="1" t="str">
        <f>"Average duration of stay between " &amp; TEXT(X_Cell_Site_StartDate, "dd mmm yy") &amp; " and " &amp; TEXT(X_Cell_Site_EndDate, "dd mmm yy")</f>
        <v>Average duration of stay between NO - Not in leaching zone and 02 Nov 00</v>
      </c>
      <c r="E10" s="74">
        <v>365</v>
      </c>
      <c r="F10" s="74">
        <v>365</v>
      </c>
      <c r="G10" s="74">
        <v>365</v>
      </c>
      <c r="H10" s="74">
        <v>365</v>
      </c>
      <c r="I10" s="16" t="s">
        <v>112</v>
      </c>
      <c r="J10" s="16"/>
      <c r="R10" s="21"/>
    </row>
    <row r="11" spans="1:23" ht="20.100000000000001" customHeight="1" x14ac:dyDescent="0.2">
      <c r="A11" s="100" t="str">
        <f>HYPERLINK("#'Input - Poultry'!A1", "Poultry")</f>
        <v>Poultry</v>
      </c>
      <c r="D11" s="1" t="str">
        <f>"Average number of birds between " &amp; TEXT(X_Cell_Site_StartDate, "dd mmm yy") &amp; " and " &amp; TEXT(X_Cell_Site_EndDate, "dd mmm yy")</f>
        <v>Average number of birds between NO - Not in leaching zone and 02 Nov 00</v>
      </c>
      <c r="E11" s="74">
        <v>100</v>
      </c>
      <c r="F11" s="74">
        <v>100</v>
      </c>
      <c r="G11" s="74">
        <v>100</v>
      </c>
      <c r="H11" s="74">
        <v>100</v>
      </c>
      <c r="I11" s="16" t="s">
        <v>301</v>
      </c>
      <c r="J11" s="16"/>
      <c r="R11" s="21"/>
    </row>
    <row r="12" spans="1:23" ht="20.100000000000001" customHeight="1" x14ac:dyDescent="0.2">
      <c r="A12" s="5" t="str">
        <f>HYPERLINK("#'Input - Livestock sales'!A1", "Livestock sales")</f>
        <v>Livestock sales</v>
      </c>
      <c r="R12" s="21"/>
    </row>
    <row r="13" spans="1:23" ht="20.100000000000001" customHeight="1" x14ac:dyDescent="0.2">
      <c r="A13" s="5" t="str">
        <f>HYPERLINK("#'Input - Poultry purchases'!A1", "Poultry purchases")</f>
        <v>Poultry purchases</v>
      </c>
      <c r="D13" s="2" t="s">
        <v>302</v>
      </c>
      <c r="R13" s="41"/>
    </row>
    <row r="14" spans="1:23" ht="20.100000000000001" customHeight="1" x14ac:dyDescent="0.2">
      <c r="A14" s="5" t="str">
        <f>HYPERLINK("#'Input - Fuel'!A1", "Fuel")</f>
        <v>Fuel</v>
      </c>
      <c r="R14" s="41"/>
    </row>
    <row r="15" spans="1:23" ht="20.100000000000001" customHeight="1" x14ac:dyDescent="0.2">
      <c r="A15" s="5" t="str">
        <f>HYPERLINK("#'Input - Electricity'!A1", "Electricity")</f>
        <v>Electricity</v>
      </c>
      <c r="D15" s="101" t="s">
        <v>303</v>
      </c>
      <c r="E15" s="99" t="s">
        <v>297</v>
      </c>
      <c r="F15" s="99" t="s">
        <v>298</v>
      </c>
      <c r="G15" s="99" t="s">
        <v>299</v>
      </c>
      <c r="H15" s="99" t="s">
        <v>300</v>
      </c>
      <c r="R15" s="41"/>
    </row>
    <row r="16" spans="1:23" ht="20.100000000000001" customHeight="1" x14ac:dyDescent="0.2">
      <c r="A16" s="5" t="str">
        <f>HYPERLINK("#'Input - Common farm inputs'!A1", "Common farm inputs")</f>
        <v>Common farm inputs</v>
      </c>
      <c r="D16" s="1" t="s">
        <v>304</v>
      </c>
      <c r="E16" s="15">
        <f>'Constants - Poultry'!E9</f>
        <v>8.5999999999999993E-2</v>
      </c>
      <c r="F16" s="15">
        <f>'Constants - Poultry'!F9</f>
        <v>9.2999999999999999E-2</v>
      </c>
      <c r="G16" s="15">
        <f>'Constants - Poultry'!G9</f>
        <v>0.10299999999999999</v>
      </c>
      <c r="H16" s="15">
        <f>'Constants - Poultry'!H9</f>
        <v>9.2999999999999999E-2</v>
      </c>
      <c r="I16" s="16" t="s">
        <v>305</v>
      </c>
      <c r="J16" s="16"/>
      <c r="R16" s="41"/>
    </row>
    <row r="17" spans="1:18" ht="20.100000000000001" customHeight="1" x14ac:dyDescent="0.2">
      <c r="A17" s="5" t="str">
        <f>HYPERLINK("#'Input - Livestock farm Inputs'!A1", "Livestock farm Inputs")</f>
        <v>Livestock farm Inputs</v>
      </c>
      <c r="D17" s="1" t="s">
        <v>306</v>
      </c>
      <c r="E17" s="15">
        <f>'Constants - Poultry'!E10</f>
        <v>0.8</v>
      </c>
      <c r="F17" s="15">
        <f>'Constants - Poultry'!F10</f>
        <v>0.8</v>
      </c>
      <c r="G17" s="15">
        <f>'Constants - Poultry'!G10</f>
        <v>0.8</v>
      </c>
      <c r="H17" s="15">
        <f>'Constants - Poultry'!H10</f>
        <v>0.8</v>
      </c>
      <c r="I17" s="16" t="s">
        <v>307</v>
      </c>
      <c r="J17" s="16"/>
      <c r="R17" s="21"/>
    </row>
    <row r="18" spans="1:18" ht="20.100000000000001" customHeight="1" x14ac:dyDescent="0.2">
      <c r="A18" s="5" t="str">
        <f>HYPERLINK("#'Input - Freight'!A1", "Freight")</f>
        <v>Freight</v>
      </c>
      <c r="D18" s="1" t="s">
        <v>308</v>
      </c>
      <c r="E18" s="15">
        <f>'Constants - Poultry'!E11</f>
        <v>0.19</v>
      </c>
      <c r="F18" s="15">
        <f>'Constants - Poultry'!F11</f>
        <v>0.23</v>
      </c>
      <c r="G18" s="15">
        <f>'Constants - Poultry'!G11</f>
        <v>0.19</v>
      </c>
      <c r="H18" s="15">
        <f>'Constants - Poultry'!H11</f>
        <v>0.23</v>
      </c>
      <c r="I18" s="16" t="s">
        <v>307</v>
      </c>
      <c r="J18" s="16"/>
      <c r="K18" s="16"/>
      <c r="R18" s="21"/>
    </row>
    <row r="19" spans="1:18" ht="20.100000000000001" customHeight="1" x14ac:dyDescent="0.2">
      <c r="A19" s="5" t="str">
        <f>HYPERLINK("#'Input - Solid waste'!A1", "Solid waste")</f>
        <v>Solid waste</v>
      </c>
      <c r="R19" s="21"/>
    </row>
    <row r="20" spans="1:18" ht="20.100000000000001" customHeight="1" x14ac:dyDescent="0.2">
      <c r="A20" s="5" t="str">
        <f>HYPERLINK("#'Input - Manure sent off-site'!A1", "Manure sent off-site")</f>
        <v>Manure sent off-site</v>
      </c>
      <c r="D20" s="101" t="s">
        <v>309</v>
      </c>
      <c r="E20" s="99" t="s">
        <v>297</v>
      </c>
      <c r="F20" s="99" t="s">
        <v>298</v>
      </c>
      <c r="G20" s="99" t="s">
        <v>299</v>
      </c>
      <c r="H20" s="99" t="s">
        <v>300</v>
      </c>
      <c r="R20" s="21"/>
    </row>
    <row r="21" spans="1:18" ht="20.100000000000001" customHeight="1" x14ac:dyDescent="0.2">
      <c r="A21" s="5" t="str">
        <f>HYPERLINK("#'Input - Data quality'!A1", "Data quality")</f>
        <v>Data quality</v>
      </c>
      <c r="D21" s="1" t="s">
        <v>304</v>
      </c>
      <c r="E21" s="74">
        <f>'Constants - Poultry'!E9</f>
        <v>8.5999999999999993E-2</v>
      </c>
      <c r="F21" s="74">
        <f>'Constants - Poultry'!F9</f>
        <v>9.2999999999999999E-2</v>
      </c>
      <c r="G21" s="74">
        <f>'Constants - Poultry'!G9</f>
        <v>0.10299999999999999</v>
      </c>
      <c r="H21" s="74">
        <f>'Constants - Poultry'!H9</f>
        <v>9.2999999999999999E-2</v>
      </c>
      <c r="I21" s="16" t="s">
        <v>305</v>
      </c>
      <c r="J21" s="16"/>
      <c r="R21" s="21"/>
    </row>
    <row r="22" spans="1:18" ht="20.100000000000001" customHeight="1" x14ac:dyDescent="0.2">
      <c r="A22" s="5" t="str">
        <f>HYPERLINK("#'Input - Fert Prod System'!A1", "Fert Prod System")</f>
        <v>Fert Prod System</v>
      </c>
      <c r="D22" s="1" t="s">
        <v>306</v>
      </c>
      <c r="E22" s="74">
        <f>'Constants - Poultry'!E10</f>
        <v>0.8</v>
      </c>
      <c r="F22" s="74">
        <f>'Constants - Poultry'!F10</f>
        <v>0.8</v>
      </c>
      <c r="G22" s="74">
        <f>'Constants - Poultry'!G10</f>
        <v>0.8</v>
      </c>
      <c r="H22" s="74">
        <f>'Constants - Poultry'!H10</f>
        <v>0.8</v>
      </c>
      <c r="I22" s="16" t="s">
        <v>307</v>
      </c>
      <c r="J22" s="16"/>
      <c r="R22" s="21"/>
    </row>
    <row r="23" spans="1:18" ht="20.100000000000001" customHeight="1" x14ac:dyDescent="0.2">
      <c r="A23" s="5" t="str">
        <f>HYPERLINK("#'Input - Fertiliser'!A1", "Fertiliser")</f>
        <v>Fertiliser</v>
      </c>
      <c r="D23" s="1" t="s">
        <v>308</v>
      </c>
      <c r="E23" s="74">
        <f>'Constants - Poultry'!E11</f>
        <v>0.19</v>
      </c>
      <c r="F23" s="74">
        <f>'Constants - Poultry'!F11</f>
        <v>0.23</v>
      </c>
      <c r="G23" s="74">
        <f>'Constants - Poultry'!G11</f>
        <v>0.19</v>
      </c>
      <c r="H23" s="74">
        <f>'Constants - Poultry'!H11</f>
        <v>0.23</v>
      </c>
      <c r="I23" s="16" t="s">
        <v>307</v>
      </c>
      <c r="J23" s="16"/>
      <c r="R23" s="21"/>
    </row>
    <row r="24" spans="1:18" ht="20.100000000000001" customHeight="1" x14ac:dyDescent="0.2">
      <c r="R24" s="21"/>
    </row>
    <row r="25" spans="1:18" ht="20.100000000000001" customHeight="1" x14ac:dyDescent="0.2">
      <c r="D25" s="2" t="s">
        <v>310</v>
      </c>
      <c r="R25" s="21"/>
    </row>
    <row r="26" spans="1:18" ht="20.100000000000001" customHeight="1" x14ac:dyDescent="0.2">
      <c r="A26" s="6" t="s">
        <v>2</v>
      </c>
      <c r="R26" s="21"/>
    </row>
    <row r="27" spans="1:18" ht="20.100000000000001" customHeight="1" x14ac:dyDescent="0.2">
      <c r="A27" s="5" t="str">
        <f>HYPERLINK("#'4.6.1.1-2 Methane'!A1", "4.6.1.1-2 Manure Methane")</f>
        <v>4.6.1.1-2 Manure Methane</v>
      </c>
      <c r="D27" s="1" t="s">
        <v>311</v>
      </c>
      <c r="E27" s="13" t="s">
        <v>312</v>
      </c>
      <c r="F27" s="16" t="s">
        <v>100</v>
      </c>
      <c r="G27" s="1" t="s">
        <v>313</v>
      </c>
      <c r="R27" s="21"/>
    </row>
    <row r="28" spans="1:18" ht="20.100000000000001" customHeight="1" x14ac:dyDescent="0.2">
      <c r="A28" s="5" t="str">
        <f>HYPERLINK("#'4.6.1.3-4 Direct N20'!A1", "4.6.1.3-4 Manure Direct N2O")</f>
        <v>4.6.1.3-4 Manure Direct N2O</v>
      </c>
      <c r="R28" s="21"/>
    </row>
    <row r="29" spans="1:18" ht="20.100000000000001" customHeight="1" x14ac:dyDescent="0.2">
      <c r="A29" s="5" t="str">
        <f>HYPERLINK("#'4.6.1.5-6 Atmos Dep'!A1", "4.6.1.5-6 Manure Atmos Dep")</f>
        <v>4.6.1.5-6 Manure Atmos Dep</v>
      </c>
      <c r="D29" s="101" t="s">
        <v>314</v>
      </c>
      <c r="E29" s="99" t="s">
        <v>297</v>
      </c>
      <c r="F29" s="99" t="s">
        <v>298</v>
      </c>
      <c r="G29" s="99" t="s">
        <v>299</v>
      </c>
      <c r="H29" s="99" t="s">
        <v>300</v>
      </c>
      <c r="R29" s="21"/>
    </row>
    <row r="30" spans="1:18" ht="20.100000000000001" customHeight="1" x14ac:dyDescent="0.2">
      <c r="A30" s="5" t="str">
        <f>HYPERLINK("#'4.6.1.7-8 Leaching and runoff'!A1", "4.6.1.7-8 Manure Leaching and runoff")</f>
        <v>4.6.1.7-8 Manure Leaching and runoff</v>
      </c>
      <c r="D30" s="102" t="str">
        <f>'Constants - Poultry'!G29</f>
        <v>Poultry manure with bedding</v>
      </c>
      <c r="E30" s="18">
        <v>0.3</v>
      </c>
      <c r="F30" s="18">
        <v>0.3</v>
      </c>
      <c r="G30" s="18">
        <v>0.3</v>
      </c>
      <c r="H30" s="18">
        <v>0.3</v>
      </c>
      <c r="I30" s="16" t="s">
        <v>315</v>
      </c>
      <c r="J30" s="16"/>
      <c r="R30" s="21"/>
    </row>
    <row r="31" spans="1:18" ht="20.100000000000001" customHeight="1" x14ac:dyDescent="0.2">
      <c r="A31" s="5" t="str">
        <f>HYPERLINK("#'4.6.1.9 Manure applied to soils'!A1", "4.6.1.9 Manure applied to soils")</f>
        <v>4.6.1.9 Manure applied to soils</v>
      </c>
      <c r="D31" s="102" t="str">
        <f>'Constants - Poultry'!G30</f>
        <v>Belt manure removal</v>
      </c>
      <c r="E31" s="18">
        <v>0.3</v>
      </c>
      <c r="F31" s="18">
        <v>0.3</v>
      </c>
      <c r="G31" s="18">
        <v>0.3</v>
      </c>
      <c r="H31" s="18">
        <v>0.3</v>
      </c>
      <c r="I31" s="16" t="s">
        <v>315</v>
      </c>
      <c r="J31" s="16"/>
      <c r="R31" s="21"/>
    </row>
    <row r="32" spans="1:18" ht="20.100000000000001" customHeight="1" x14ac:dyDescent="0.2">
      <c r="A32" s="5" t="str">
        <f>HYPERLINK("#'4.6.1.10-11 Soil direct N2O'!A1", "4.6.1.10-11 Soil direct N2O")</f>
        <v>4.6.1.10-11 Soil direct N2O</v>
      </c>
      <c r="D32" s="102" t="str">
        <f>'Constants - Poultry'!G31</f>
        <v>Manure stored in house</v>
      </c>
      <c r="E32" s="18">
        <v>0.3</v>
      </c>
      <c r="F32" s="18">
        <v>0.3</v>
      </c>
      <c r="G32" s="18">
        <v>0.3</v>
      </c>
      <c r="H32" s="18">
        <v>0.3</v>
      </c>
      <c r="I32" s="16" t="s">
        <v>315</v>
      </c>
      <c r="J32" s="16"/>
      <c r="R32" s="21"/>
    </row>
    <row r="33" spans="1:18" ht="20.100000000000001" customHeight="1" x14ac:dyDescent="0.2">
      <c r="A33" s="5" t="str">
        <f>HYPERLINK("#'4.6.1.12-13 Soil atmos dep'!A1", "4.6.1.12-13 Soil atmos dep")</f>
        <v>4.6.1.12-13 Soil atmos dep</v>
      </c>
      <c r="D33" s="102" t="str">
        <f>'Constants - Poultry'!G32</f>
        <v>Pasture range and paddock</v>
      </c>
      <c r="E33" s="18">
        <v>0.1</v>
      </c>
      <c r="F33" s="18">
        <v>0.1</v>
      </c>
      <c r="G33" s="18">
        <v>0.1</v>
      </c>
      <c r="H33" s="18">
        <v>0.1</v>
      </c>
      <c r="I33" s="16" t="s">
        <v>315</v>
      </c>
      <c r="J33" s="16"/>
      <c r="R33" s="21"/>
    </row>
    <row r="34" spans="1:18" ht="20.100000000000001" customHeight="1" x14ac:dyDescent="0.2">
      <c r="A34" s="5" t="str">
        <f>HYPERLINK("#'4.6.1.14-15 Soil leach runoff'!A1", "4.6.1.14-15 Soil leach runoff")</f>
        <v>4.6.1.14-15 Soil leach runoff</v>
      </c>
      <c r="D34" s="103" t="s">
        <v>316</v>
      </c>
      <c r="E34" s="104">
        <f>SUM(E30,E31,E32,E33)</f>
        <v>0.99999999999999989</v>
      </c>
      <c r="F34" s="104">
        <f>SUM(F30,F31,F32,F33)</f>
        <v>0.99999999999999989</v>
      </c>
      <c r="G34" s="104">
        <f>SUM(G30,G31,G32,G33)</f>
        <v>0.99999999999999989</v>
      </c>
      <c r="H34" s="104">
        <f>SUM(H30,H31,H32,H33)</f>
        <v>0.99999999999999989</v>
      </c>
      <c r="I34" s="16"/>
      <c r="J34" s="16"/>
      <c r="R34" s="21"/>
    </row>
    <row r="35" spans="1:18" ht="20.100000000000001" customHeight="1" x14ac:dyDescent="0.2">
      <c r="A35" s="5" t="str">
        <f>HYPERLINK("#'8.1.1.1-2 Transport fuel'!A1", "8.1.1.1-2 Transport fuel")</f>
        <v>8.1.1.1-2 Transport fuel</v>
      </c>
      <c r="D35" s="105" t="s">
        <v>317</v>
      </c>
      <c r="R35" s="21"/>
    </row>
    <row r="36" spans="1:18" ht="20.100000000000001" customHeight="1" x14ac:dyDescent="0.2">
      <c r="A36" s="5" t="str">
        <f>HYPERLINK("#'8.2.1.1-2 Stationary fuel'!A1", "8.2.1.1-2 Stationary fuel")</f>
        <v>8.2.1.1-2 Stationary fuel</v>
      </c>
      <c r="D36" s="106" t="s">
        <v>318</v>
      </c>
      <c r="E36" s="99" t="s">
        <v>297</v>
      </c>
      <c r="F36" s="99" t="s">
        <v>298</v>
      </c>
      <c r="G36" s="99" t="s">
        <v>299</v>
      </c>
      <c r="H36" s="99" t="s">
        <v>300</v>
      </c>
      <c r="I36" s="107" t="s">
        <v>319</v>
      </c>
      <c r="J36" s="107"/>
      <c r="K36" s="101" t="s">
        <v>320</v>
      </c>
      <c r="L36" s="101"/>
      <c r="M36" s="78"/>
      <c r="R36" s="21"/>
    </row>
    <row r="37" spans="1:18" ht="20.100000000000001" customHeight="1" x14ac:dyDescent="0.2">
      <c r="A37" s="5" t="str">
        <f>HYPERLINK("#'10.1.1-2 Solid waste treatment'!A1", "10.1.1.1-2 Solid waste")</f>
        <v>10.1.1.1-2 Solid waste</v>
      </c>
      <c r="D37" s="108" t="str">
        <f>"From stage 1: " &amp; $D$30</f>
        <v>From stage 1: Poultry manure with bedding</v>
      </c>
      <c r="E37" s="87" t="str">
        <f>IF(SUM(E30:H30)&gt;0,"Manure was sent to this MMS, please complete this section.","No manure was sent to this MMS. Leave this section blank.")</f>
        <v>Manure was sent to this MMS, please complete this section.</v>
      </c>
      <c r="K37" s="109" t="s">
        <v>321</v>
      </c>
      <c r="L37" s="109" t="s">
        <v>322</v>
      </c>
      <c r="M37" s="109" t="s">
        <v>323</v>
      </c>
      <c r="R37" s="21"/>
    </row>
    <row r="38" spans="1:18" ht="20.100000000000001" customHeight="1" x14ac:dyDescent="0.2">
      <c r="A38" s="5" t="str">
        <f>HYPERLINK("#'14.1.1-2 Purchased electricity'!A1", "14.1.1-2 Purchased electricity")</f>
        <v>14.1.1-2 Purchased electricity</v>
      </c>
      <c r="D38" s="110" t="str">
        <f>'Constants - Poultry'!$J$29</f>
        <v>Solid storage</v>
      </c>
      <c r="E38" s="18">
        <v>0.2</v>
      </c>
      <c r="F38" s="18">
        <v>0.2</v>
      </c>
      <c r="G38" s="18">
        <v>0.2</v>
      </c>
      <c r="H38" s="18">
        <v>0.2</v>
      </c>
      <c r="I38" s="16" t="s">
        <v>315</v>
      </c>
      <c r="J38" s="16"/>
      <c r="K38" s="18">
        <v>0.25</v>
      </c>
      <c r="L38" s="18">
        <v>0.25</v>
      </c>
      <c r="M38" s="104">
        <f t="shared" ref="M38:M42" si="0">1-SUM(K38:L38)</f>
        <v>0.5</v>
      </c>
      <c r="R38" s="21"/>
    </row>
    <row r="39" spans="1:18" ht="20.100000000000001" customHeight="1" x14ac:dyDescent="0.2">
      <c r="A39" s="5" t="str">
        <f>HYPERLINK("#'15 Scope 3'!A1", "15 Scope 3")</f>
        <v>15 Scope 3</v>
      </c>
      <c r="D39" s="110" t="str">
        <f>'Constants - Poultry'!$J$30</f>
        <v>Composting (passive windrow)</v>
      </c>
      <c r="E39" s="18">
        <v>0.2</v>
      </c>
      <c r="F39" s="18">
        <v>0.2</v>
      </c>
      <c r="G39" s="18">
        <v>0.2</v>
      </c>
      <c r="H39" s="18">
        <v>0.2</v>
      </c>
      <c r="I39" s="16" t="s">
        <v>315</v>
      </c>
      <c r="J39" s="16"/>
      <c r="K39" s="18">
        <v>0.25</v>
      </c>
      <c r="L39" s="18">
        <v>0.25</v>
      </c>
      <c r="M39" s="104">
        <f t="shared" si="0"/>
        <v>0.5</v>
      </c>
      <c r="R39" s="21"/>
    </row>
    <row r="40" spans="1:18" ht="20.100000000000001" customHeight="1" x14ac:dyDescent="0.2">
      <c r="A40" s="5" t="str">
        <f>HYPERLINK("#'Calcs - Manure sent off-site'!A1", "Calcs - Manure sent off-site")</f>
        <v>Calcs - Manure sent off-site</v>
      </c>
      <c r="D40" s="110" t="str">
        <f>'Constants - Poultry'!$J$31</f>
        <v>Digester / covered lagoons</v>
      </c>
      <c r="E40" s="18">
        <v>0.2</v>
      </c>
      <c r="F40" s="18">
        <v>0.2</v>
      </c>
      <c r="G40" s="18">
        <v>0.2</v>
      </c>
      <c r="H40" s="18">
        <v>0.2</v>
      </c>
      <c r="I40" s="16" t="s">
        <v>315</v>
      </c>
      <c r="J40" s="16"/>
      <c r="K40" s="18">
        <v>0.25</v>
      </c>
      <c r="L40" s="18">
        <v>0.25</v>
      </c>
      <c r="M40" s="104">
        <f t="shared" si="0"/>
        <v>0.5</v>
      </c>
      <c r="R40" s="21"/>
    </row>
    <row r="41" spans="1:18" ht="20.100000000000001" customHeight="1" x14ac:dyDescent="0.2">
      <c r="A41" s="5" t="str">
        <f>HYPERLINK("#'5.1.1.1-2 Inorganic fert N2O'!A1", "5.1.1.1-2 Inorganic fert N2O")</f>
        <v>5.1.1.1-2 Inorganic fert N2O</v>
      </c>
      <c r="D41" s="110" t="str">
        <f>'Constants - Poultry'!$J$32</f>
        <v>Direct processing</v>
      </c>
      <c r="E41" s="18">
        <v>0.2</v>
      </c>
      <c r="F41" s="18">
        <v>0.2</v>
      </c>
      <c r="G41" s="18">
        <v>0.2</v>
      </c>
      <c r="H41" s="18">
        <v>0.2</v>
      </c>
      <c r="I41" s="16" t="s">
        <v>315</v>
      </c>
      <c r="J41" s="16"/>
      <c r="K41" s="18">
        <v>0.25</v>
      </c>
      <c r="L41" s="18">
        <v>0.25</v>
      </c>
      <c r="M41" s="104">
        <f t="shared" si="0"/>
        <v>0.5</v>
      </c>
      <c r="R41" s="21"/>
    </row>
    <row r="42" spans="1:18" ht="20.100000000000001" customHeight="1" x14ac:dyDescent="0.2">
      <c r="A42" s="5" t="str">
        <f>HYPERLINK("#'5.1.1.3-4 Inorganic fert CO2'!A1", "5.1.1.3-4 Inorganic fert CO2")</f>
        <v>5.1.1.3-4 Inorganic fert CO2</v>
      </c>
      <c r="D42" s="110" t="str">
        <f>'Constants - Poultry'!$J$33</f>
        <v>Direct application</v>
      </c>
      <c r="E42" s="104">
        <f>1-SUM(E38:E41)</f>
        <v>0.19999999999999996</v>
      </c>
      <c r="F42" s="104">
        <f t="shared" ref="F42:H42" si="1">1-SUM(F38:F41)</f>
        <v>0.19999999999999996</v>
      </c>
      <c r="G42" s="104">
        <f t="shared" si="1"/>
        <v>0.19999999999999996</v>
      </c>
      <c r="H42" s="104">
        <f t="shared" si="1"/>
        <v>0.19999999999999996</v>
      </c>
      <c r="I42" s="16" t="s">
        <v>315</v>
      </c>
      <c r="J42" s="16"/>
      <c r="K42" s="104">
        <v>0</v>
      </c>
      <c r="L42" s="104">
        <v>0</v>
      </c>
      <c r="M42" s="104">
        <f t="shared" si="0"/>
        <v>1</v>
      </c>
      <c r="R42" s="21"/>
    </row>
    <row r="43" spans="1:18" ht="20.100000000000001" customHeight="1" x14ac:dyDescent="0.2">
      <c r="A43" s="5" t="str">
        <f>HYPERLINK("#'5.2.1.1-2 Organic Fert N2O'!A1", "5.2.1.1-2 Organic Fert N2O")</f>
        <v>5.2.1.1-2 Organic Fert N2O</v>
      </c>
      <c r="D43" s="111"/>
      <c r="F43" s="16"/>
      <c r="R43" s="21"/>
    </row>
    <row r="44" spans="1:18" ht="20.100000000000001" customHeight="1" x14ac:dyDescent="0.2">
      <c r="A44" s="5" t="str">
        <f>HYPERLINK("#'5.3.1.1-2 Lime CO2'!A1", "5.3.1.1-2 Lime CO2")</f>
        <v>5.3.1.1-2 Lime CO2</v>
      </c>
      <c r="D44" s="108" t="str">
        <f>"From stage 1: " &amp; $D$31</f>
        <v>From stage 1: Belt manure removal</v>
      </c>
      <c r="E44" s="87" t="str">
        <f>IF(SUM(E31:H31)&gt;0,"Manure was sent to this MMS, please complete this section.","No manure was sent to this MMS. Leave this section blank.")</f>
        <v>Manure was sent to this MMS, please complete this section.</v>
      </c>
      <c r="K44" s="109" t="s">
        <v>321</v>
      </c>
      <c r="L44" s="109" t="s">
        <v>322</v>
      </c>
      <c r="M44" s="109" t="s">
        <v>323</v>
      </c>
      <c r="R44" s="21"/>
    </row>
    <row r="45" spans="1:18" ht="20.100000000000001" customHeight="1" x14ac:dyDescent="0.2">
      <c r="A45" s="5" t="str">
        <f>HYPERLINK("#'5.4.1.1-4 Atmos deposition'!A1", "5.4.1.1-4 Atmos deposition")</f>
        <v>5.4.1.1-4 Atmos deposition</v>
      </c>
      <c r="D45" s="110" t="str">
        <f>'Constants - Poultry'!$J$29</f>
        <v>Solid storage</v>
      </c>
      <c r="E45" s="18">
        <v>0.2</v>
      </c>
      <c r="F45" s="18">
        <v>0.2</v>
      </c>
      <c r="G45" s="18">
        <v>0.2</v>
      </c>
      <c r="H45" s="18">
        <v>0.2</v>
      </c>
      <c r="I45" s="16" t="s">
        <v>315</v>
      </c>
      <c r="J45" s="16"/>
      <c r="K45" s="18">
        <v>0.25</v>
      </c>
      <c r="L45" s="18">
        <v>0.25</v>
      </c>
      <c r="M45" s="104">
        <f>1-SUM(K45:L45)</f>
        <v>0.5</v>
      </c>
      <c r="R45" s="21"/>
    </row>
    <row r="46" spans="1:18" ht="20.100000000000001" customHeight="1" x14ac:dyDescent="0.2">
      <c r="A46" s="5" t="str">
        <f>HYPERLINK("#'5.5.1.1-2 Leaching and runoff'!A1", "5.5.1.1-2 Leaching and runoff")</f>
        <v>5.5.1.1-2 Leaching and runoff</v>
      </c>
      <c r="D46" s="110" t="str">
        <f>'Constants - Poultry'!$J$30</f>
        <v>Composting (passive windrow)</v>
      </c>
      <c r="E46" s="18">
        <v>0.2</v>
      </c>
      <c r="F46" s="18">
        <v>0.2</v>
      </c>
      <c r="G46" s="18">
        <v>0.2</v>
      </c>
      <c r="H46" s="18">
        <v>0.2</v>
      </c>
      <c r="I46" s="16" t="s">
        <v>315</v>
      </c>
      <c r="J46" s="16"/>
      <c r="K46" s="18">
        <v>0.25</v>
      </c>
      <c r="L46" s="18">
        <v>0.25</v>
      </c>
      <c r="M46" s="104">
        <f t="shared" ref="M46:M49" si="2">1-SUM(K46:L46)</f>
        <v>0.5</v>
      </c>
      <c r="R46" s="21"/>
    </row>
    <row r="47" spans="1:18" ht="20.100000000000001" customHeight="1" x14ac:dyDescent="0.2">
      <c r="D47" s="110" t="str">
        <f>'Constants - Poultry'!$J$31</f>
        <v>Digester / covered lagoons</v>
      </c>
      <c r="E47" s="18">
        <v>0.2</v>
      </c>
      <c r="F47" s="18">
        <v>0.2</v>
      </c>
      <c r="G47" s="18">
        <v>0.2</v>
      </c>
      <c r="H47" s="18">
        <v>0.2</v>
      </c>
      <c r="I47" s="16" t="s">
        <v>315</v>
      </c>
      <c r="J47" s="16"/>
      <c r="K47" s="18">
        <v>0.25</v>
      </c>
      <c r="L47" s="18">
        <v>0.25</v>
      </c>
      <c r="M47" s="104">
        <f t="shared" si="2"/>
        <v>0.5</v>
      </c>
      <c r="R47" s="21"/>
    </row>
    <row r="48" spans="1:18" ht="20.100000000000001" customHeight="1" x14ac:dyDescent="0.2">
      <c r="D48" s="110" t="str">
        <f>'Constants - Poultry'!$J$32</f>
        <v>Direct processing</v>
      </c>
      <c r="E48" s="18">
        <v>0.2</v>
      </c>
      <c r="F48" s="18">
        <v>0.2</v>
      </c>
      <c r="G48" s="18">
        <v>0.2</v>
      </c>
      <c r="H48" s="18">
        <v>0.2</v>
      </c>
      <c r="I48" s="16" t="s">
        <v>315</v>
      </c>
      <c r="J48" s="16"/>
      <c r="K48" s="18">
        <v>0.25</v>
      </c>
      <c r="L48" s="18">
        <v>0.25</v>
      </c>
      <c r="M48" s="104">
        <f t="shared" si="2"/>
        <v>0.5</v>
      </c>
      <c r="R48" s="21"/>
    </row>
    <row r="49" spans="1:18" ht="20.100000000000001" customHeight="1" x14ac:dyDescent="0.2">
      <c r="A49" s="80" t="s">
        <v>1</v>
      </c>
      <c r="D49" s="110" t="str">
        <f>'Constants - Poultry'!$J$33</f>
        <v>Direct application</v>
      </c>
      <c r="E49" s="104">
        <f>1-SUM(E45:E48)</f>
        <v>0.19999999999999996</v>
      </c>
      <c r="F49" s="104">
        <f t="shared" ref="F49:H49" si="3">1-SUM(F45:F48)</f>
        <v>0.19999999999999996</v>
      </c>
      <c r="G49" s="104">
        <f t="shared" si="3"/>
        <v>0.19999999999999996</v>
      </c>
      <c r="H49" s="104">
        <f t="shared" si="3"/>
        <v>0.19999999999999996</v>
      </c>
      <c r="K49" s="104">
        <v>0</v>
      </c>
      <c r="L49" s="104">
        <v>0</v>
      </c>
      <c r="M49" s="104">
        <f t="shared" si="2"/>
        <v>1</v>
      </c>
      <c r="R49" s="21"/>
    </row>
    <row r="50" spans="1:18" ht="20.100000000000001" customHeight="1" x14ac:dyDescent="0.2">
      <c r="A50" s="5" t="str">
        <f>HYPERLINK("#'Constants - Poultry'!A1", "Constants - Poultry")</f>
        <v>Constants - Poultry</v>
      </c>
      <c r="R50" s="21"/>
    </row>
    <row r="51" spans="1:18" ht="20.100000000000001" customHeight="1" x14ac:dyDescent="0.2">
      <c r="A51" s="5" t="str">
        <f>HYPERLINK("#'Constants - Common livestock'!A1", "Constants - Common Livestock")</f>
        <v>Constants - Common Livestock</v>
      </c>
      <c r="D51" s="108" t="str">
        <f>"From stage 1: " &amp; $D$32</f>
        <v>From stage 1: Manure stored in house</v>
      </c>
      <c r="E51" s="87" t="str">
        <f>IF(SUM(E32:H32)&gt;0,"Manure was sent to this MMS, please complete this section.","No manure was sent to this MMS. Leave this section blank.")</f>
        <v>Manure was sent to this MMS, please complete this section.</v>
      </c>
      <c r="K51" s="109" t="s">
        <v>321</v>
      </c>
      <c r="L51" s="109" t="s">
        <v>322</v>
      </c>
      <c r="M51" s="109" t="s">
        <v>323</v>
      </c>
      <c r="R51" s="21"/>
    </row>
    <row r="52" spans="1:18" ht="20.100000000000001" customHeight="1" x14ac:dyDescent="0.2">
      <c r="A52" s="5" t="str">
        <f>HYPERLINK("#'Constants - Electricity'!A1", "Constants - Electricity")</f>
        <v>Constants - Electricity</v>
      </c>
      <c r="D52" s="110" t="str">
        <f>'Constants - Poultry'!$J$29</f>
        <v>Solid storage</v>
      </c>
      <c r="E52" s="18">
        <v>0.2</v>
      </c>
      <c r="F52" s="18">
        <v>0.2</v>
      </c>
      <c r="G52" s="18">
        <v>0.2</v>
      </c>
      <c r="H52" s="18">
        <v>0.2</v>
      </c>
      <c r="I52" s="16" t="s">
        <v>315</v>
      </c>
      <c r="J52" s="16"/>
      <c r="K52" s="18">
        <v>0.25</v>
      </c>
      <c r="L52" s="18">
        <v>0.25</v>
      </c>
      <c r="M52" s="104">
        <f>1-SUM(K52:L52)</f>
        <v>0.5</v>
      </c>
      <c r="R52" s="21"/>
    </row>
    <row r="53" spans="1:18" ht="20.100000000000001" customHeight="1" x14ac:dyDescent="0.2">
      <c r="A53" s="5" t="str">
        <f>HYPERLINK("#'Constants - Fertiliser'!A1", "Constants - Fertiliser")</f>
        <v>Constants - Fertiliser</v>
      </c>
      <c r="D53" s="110" t="str">
        <f>'Constants - Poultry'!$J$30</f>
        <v>Composting (passive windrow)</v>
      </c>
      <c r="E53" s="18">
        <v>0.2</v>
      </c>
      <c r="F53" s="18">
        <v>0.2</v>
      </c>
      <c r="G53" s="18">
        <v>0.2</v>
      </c>
      <c r="H53" s="18">
        <v>0.2</v>
      </c>
      <c r="I53" s="16" t="s">
        <v>315</v>
      </c>
      <c r="J53" s="16"/>
      <c r="K53" s="18">
        <v>0.25</v>
      </c>
      <c r="L53" s="18">
        <v>0.25</v>
      </c>
      <c r="M53" s="104">
        <f>1-SUM(K53:L53)</f>
        <v>0.5</v>
      </c>
      <c r="R53" s="21"/>
    </row>
    <row r="54" spans="1:18" ht="20.100000000000001" customHeight="1" x14ac:dyDescent="0.2">
      <c r="A54" s="5" t="str">
        <f>HYPERLINK("#'Constants - Fuel'!A1", "Constants - Fuel")</f>
        <v>Constants - Fuel</v>
      </c>
      <c r="D54" s="110" t="str">
        <f>'Constants - Poultry'!$J$31</f>
        <v>Digester / covered lagoons</v>
      </c>
      <c r="E54" s="18">
        <v>0.2</v>
      </c>
      <c r="F54" s="18">
        <v>0.2</v>
      </c>
      <c r="G54" s="18">
        <v>0.2</v>
      </c>
      <c r="H54" s="18">
        <v>0.2</v>
      </c>
      <c r="I54" s="16" t="s">
        <v>315</v>
      </c>
      <c r="J54" s="16"/>
      <c r="K54" s="18">
        <v>0.25</v>
      </c>
      <c r="L54" s="18">
        <v>0.25</v>
      </c>
      <c r="M54" s="104">
        <f>1-SUM(K54:L54)</f>
        <v>0.5</v>
      </c>
      <c r="R54" s="21"/>
    </row>
    <row r="55" spans="1:18" ht="20.100000000000001" customHeight="1" x14ac:dyDescent="0.2">
      <c r="A55" s="5" t="str">
        <f>HYPERLINK("#'Constants - Scope 3'!A1", "Constants - Scope 3")</f>
        <v>Constants - Scope 3</v>
      </c>
      <c r="D55" s="110" t="str">
        <f>'Constants - Poultry'!$J$32</f>
        <v>Direct processing</v>
      </c>
      <c r="E55" s="18">
        <v>0.2</v>
      </c>
      <c r="F55" s="18">
        <v>0.2</v>
      </c>
      <c r="G55" s="18">
        <v>0.2</v>
      </c>
      <c r="H55" s="18">
        <v>0.2</v>
      </c>
      <c r="I55" s="16" t="s">
        <v>315</v>
      </c>
      <c r="J55" s="16"/>
      <c r="K55" s="18">
        <v>0.25</v>
      </c>
      <c r="L55" s="18">
        <v>0.25</v>
      </c>
      <c r="M55" s="104">
        <f t="shared" ref="M55:M56" si="4">1-SUM(K55:L55)</f>
        <v>0.5</v>
      </c>
      <c r="R55" s="21"/>
    </row>
    <row r="56" spans="1:18" ht="20.100000000000001" customHeight="1" x14ac:dyDescent="0.2">
      <c r="A56" s="5" t="str">
        <f>HYPERLINK("#'Constants - Solid Waste'!A1", "Constants - Solid Waste")</f>
        <v>Constants - Solid Waste</v>
      </c>
      <c r="D56" s="110" t="str">
        <f>'Constants - Poultry'!$J$33</f>
        <v>Direct application</v>
      </c>
      <c r="E56" s="104">
        <f>1-SUM(E52:E55)</f>
        <v>0.19999999999999996</v>
      </c>
      <c r="F56" s="104">
        <f t="shared" ref="F56:H56" si="5">1-SUM(F52:F55)</f>
        <v>0.19999999999999996</v>
      </c>
      <c r="G56" s="104">
        <f t="shared" si="5"/>
        <v>0.19999999999999996</v>
      </c>
      <c r="H56" s="104">
        <f t="shared" si="5"/>
        <v>0.19999999999999996</v>
      </c>
      <c r="I56" s="16" t="s">
        <v>315</v>
      </c>
      <c r="J56" s="16"/>
      <c r="K56" s="104">
        <v>0</v>
      </c>
      <c r="L56" s="104">
        <v>0</v>
      </c>
      <c r="M56" s="104">
        <f t="shared" si="4"/>
        <v>1</v>
      </c>
      <c r="R56" s="21"/>
    </row>
    <row r="57" spans="1:18" ht="20.100000000000001" customHeight="1" x14ac:dyDescent="0.2">
      <c r="A57" s="5" t="str">
        <f>HYPERLINK("#'Constants - Common'!A1", "Constants - Common")</f>
        <v>Constants - Common</v>
      </c>
      <c r="R57" s="21"/>
    </row>
    <row r="58" spans="1:18" ht="20.100000000000001" customHeight="1" x14ac:dyDescent="0.2">
      <c r="D58" s="103"/>
      <c r="R58" s="21"/>
    </row>
    <row r="59" spans="1:18" ht="20.100000000000001" customHeight="1" x14ac:dyDescent="0.2">
      <c r="D59" s="1" t="s">
        <v>324</v>
      </c>
      <c r="E59" s="13" t="s">
        <v>325</v>
      </c>
      <c r="F59" s="16" t="s">
        <v>100</v>
      </c>
      <c r="R59" s="21"/>
    </row>
    <row r="60" spans="1:18" ht="20.100000000000001" customHeight="1" x14ac:dyDescent="0.2">
      <c r="E60" s="13" t="s">
        <v>326</v>
      </c>
      <c r="F60" s="16" t="s">
        <v>100</v>
      </c>
      <c r="R60" s="21"/>
    </row>
    <row r="61" spans="1:18" ht="20.100000000000001" customHeight="1" x14ac:dyDescent="0.2">
      <c r="R61" s="21"/>
    </row>
    <row r="62" spans="1:18" ht="20.100000000000001" customHeight="1" x14ac:dyDescent="0.2">
      <c r="R62" s="21"/>
    </row>
    <row r="63" spans="1:18" ht="20.100000000000001" customHeight="1" x14ac:dyDescent="0.2">
      <c r="R63" s="21"/>
    </row>
    <row r="64" spans="1:18" ht="20.100000000000001" customHeight="1" x14ac:dyDescent="0.2">
      <c r="R64" s="21"/>
    </row>
    <row r="65" spans="18:18" ht="20.100000000000001" customHeight="1" x14ac:dyDescent="0.2">
      <c r="R65" s="21"/>
    </row>
    <row r="66" spans="18:18" ht="20.100000000000001" customHeight="1" x14ac:dyDescent="0.2">
      <c r="R66" s="21"/>
    </row>
    <row r="67" spans="18:18" ht="20.100000000000001" customHeight="1" x14ac:dyDescent="0.2">
      <c r="R67" s="21"/>
    </row>
    <row r="68" spans="18:18" ht="20.100000000000001" customHeight="1" x14ac:dyDescent="0.2">
      <c r="R68" s="21"/>
    </row>
    <row r="69" spans="18:18" ht="20.100000000000001" customHeight="1" x14ac:dyDescent="0.2">
      <c r="R69" s="21"/>
    </row>
    <row r="70" spans="18:18" ht="20.100000000000001" customHeight="1" x14ac:dyDescent="0.2">
      <c r="R70" s="21"/>
    </row>
    <row r="71" spans="18:18" ht="20.100000000000001" customHeight="1" x14ac:dyDescent="0.2">
      <c r="R71" s="21"/>
    </row>
    <row r="72" spans="18:18" ht="20.100000000000001" customHeight="1" x14ac:dyDescent="0.2">
      <c r="R72" s="21"/>
    </row>
    <row r="73" spans="18:18" ht="20.100000000000001" customHeight="1" x14ac:dyDescent="0.2">
      <c r="R73" s="21"/>
    </row>
    <row r="74" spans="18:18" ht="20.100000000000001" customHeight="1" x14ac:dyDescent="0.2">
      <c r="R74" s="21"/>
    </row>
    <row r="75" spans="18:18" ht="20.100000000000001" customHeight="1" x14ac:dyDescent="0.2">
      <c r="R75" s="21"/>
    </row>
    <row r="76" spans="18:18" ht="20.100000000000001" customHeight="1" x14ac:dyDescent="0.2">
      <c r="R76" s="21"/>
    </row>
    <row r="77" spans="18:18" ht="20.100000000000001" customHeight="1" x14ac:dyDescent="0.2">
      <c r="R77" s="21"/>
    </row>
    <row r="78" spans="18:18" ht="20.100000000000001" customHeight="1" x14ac:dyDescent="0.2">
      <c r="R78" s="21"/>
    </row>
    <row r="79" spans="18:18" ht="20.100000000000001" customHeight="1" x14ac:dyDescent="0.2">
      <c r="R79" s="21"/>
    </row>
    <row r="80" spans="18:18" ht="20.100000000000001" customHeight="1" x14ac:dyDescent="0.2">
      <c r="R80" s="21"/>
    </row>
    <row r="81" spans="18:18" ht="20.100000000000001" customHeight="1" x14ac:dyDescent="0.2">
      <c r="R81" s="21"/>
    </row>
    <row r="82" spans="18:18" ht="20.100000000000001" customHeight="1" x14ac:dyDescent="0.2">
      <c r="R82" s="21"/>
    </row>
    <row r="83" spans="18:18" ht="20.100000000000001" customHeight="1" x14ac:dyDescent="0.2">
      <c r="R83" s="21"/>
    </row>
    <row r="84" spans="18:18" ht="20.100000000000001" customHeight="1" x14ac:dyDescent="0.2">
      <c r="R84" s="21"/>
    </row>
    <row r="85" spans="18:18" ht="20.100000000000001" customHeight="1" x14ac:dyDescent="0.2">
      <c r="R85" s="21"/>
    </row>
    <row r="86" spans="18:18" ht="20.100000000000001" customHeight="1" x14ac:dyDescent="0.2">
      <c r="R86" s="21"/>
    </row>
    <row r="87" spans="18:18" ht="20.100000000000001" customHeight="1" x14ac:dyDescent="0.2">
      <c r="R87" s="21"/>
    </row>
    <row r="88" spans="18:18" ht="20.100000000000001" customHeight="1" x14ac:dyDescent="0.2">
      <c r="R88" s="21"/>
    </row>
    <row r="89" spans="18:18" ht="20.100000000000001" customHeight="1" x14ac:dyDescent="0.2">
      <c r="R89" s="21"/>
    </row>
    <row r="90" spans="18:18" ht="20.100000000000001" customHeight="1" x14ac:dyDescent="0.2">
      <c r="R90" s="21"/>
    </row>
    <row r="91" spans="18:18" ht="20.100000000000001" customHeight="1" x14ac:dyDescent="0.2">
      <c r="R91" s="21"/>
    </row>
    <row r="92" spans="18:18" ht="20.100000000000001" customHeight="1" x14ac:dyDescent="0.2">
      <c r="R92" s="21"/>
    </row>
    <row r="93" spans="18:18" ht="20.100000000000001" customHeight="1" x14ac:dyDescent="0.2">
      <c r="R93" s="21"/>
    </row>
    <row r="94" spans="18:18" ht="20.100000000000001" customHeight="1" x14ac:dyDescent="0.2">
      <c r="R94" s="21"/>
    </row>
    <row r="95" spans="18:18" ht="20.100000000000001" customHeight="1" x14ac:dyDescent="0.2">
      <c r="R95" s="21"/>
    </row>
    <row r="96" spans="18:18" ht="20.100000000000001" customHeight="1" x14ac:dyDescent="0.2">
      <c r="R96" s="21"/>
    </row>
    <row r="97" spans="14:18" ht="20.100000000000001" customHeight="1" x14ac:dyDescent="0.2">
      <c r="R97" s="21"/>
    </row>
    <row r="98" spans="14:18" ht="20.100000000000001" customHeight="1" x14ac:dyDescent="0.2">
      <c r="R98" s="21"/>
    </row>
    <row r="99" spans="14:18" ht="20.100000000000001" customHeight="1" x14ac:dyDescent="0.2">
      <c r="R99" s="21"/>
    </row>
    <row r="100" spans="14:18" ht="20.100000000000001" customHeight="1" x14ac:dyDescent="0.2">
      <c r="R100" s="21"/>
    </row>
    <row r="101" spans="14:18" ht="20.100000000000001" customHeight="1" x14ac:dyDescent="0.2">
      <c r="R101" s="21"/>
    </row>
    <row r="102" spans="14:18" ht="20.100000000000001" customHeight="1" x14ac:dyDescent="0.2">
      <c r="R102" s="21"/>
    </row>
    <row r="103" spans="14:18" ht="20.100000000000001" customHeight="1" x14ac:dyDescent="0.2">
      <c r="R103" s="21"/>
    </row>
    <row r="104" spans="14:18" ht="20.100000000000001" customHeight="1" x14ac:dyDescent="0.2">
      <c r="R104" s="21"/>
    </row>
    <row r="105" spans="14:18" ht="20.100000000000001" customHeight="1" x14ac:dyDescent="0.2">
      <c r="R105" s="21"/>
    </row>
    <row r="106" spans="14:18" ht="20.100000000000001" customHeight="1" x14ac:dyDescent="0.2">
      <c r="R106" s="21"/>
    </row>
    <row r="108" spans="14:18" ht="20.100000000000001" customHeight="1" x14ac:dyDescent="0.2">
      <c r="N108" s="24"/>
    </row>
    <row r="109" spans="14:18" ht="20.100000000000001" customHeight="1" x14ac:dyDescent="0.2">
      <c r="N109" s="24"/>
    </row>
    <row r="110" spans="14:18" ht="20.100000000000001" customHeight="1" x14ac:dyDescent="0.2">
      <c r="N110" s="24"/>
    </row>
    <row r="111" spans="14:18" ht="20.100000000000001" customHeight="1" x14ac:dyDescent="0.2">
      <c r="N111" s="24"/>
    </row>
    <row r="112" spans="14:18" ht="20.100000000000001" customHeight="1" x14ac:dyDescent="0.2">
      <c r="N112" s="24"/>
    </row>
    <row r="113" spans="14:14" ht="20.100000000000001" customHeight="1" x14ac:dyDescent="0.2">
      <c r="N113" s="24"/>
    </row>
    <row r="114" spans="14:14" ht="20.100000000000001" customHeight="1" x14ac:dyDescent="0.2">
      <c r="N114" s="24"/>
    </row>
    <row r="115" spans="14:14" ht="20.100000000000001" customHeight="1" x14ac:dyDescent="0.2">
      <c r="N115" s="24"/>
    </row>
    <row r="116" spans="14:14" ht="20.100000000000001" customHeight="1" x14ac:dyDescent="0.2">
      <c r="N116" s="24"/>
    </row>
    <row r="117" spans="14:14" ht="20.100000000000001" customHeight="1" x14ac:dyDescent="0.2">
      <c r="N117" s="24"/>
    </row>
    <row r="118" spans="14:14" ht="20.100000000000001" customHeight="1" x14ac:dyDescent="0.2">
      <c r="N118" s="24"/>
    </row>
    <row r="119" spans="14:14" ht="20.100000000000001" customHeight="1" x14ac:dyDescent="0.2">
      <c r="N119" s="24"/>
    </row>
    <row r="120" spans="14:14" ht="20.100000000000001" customHeight="1" x14ac:dyDescent="0.2">
      <c r="N120" s="24"/>
    </row>
    <row r="121" spans="14:14" ht="20.100000000000001" customHeight="1" x14ac:dyDescent="0.2">
      <c r="N121" s="24"/>
    </row>
    <row r="122" spans="14:14" ht="20.100000000000001" customHeight="1" x14ac:dyDescent="0.2">
      <c r="N122" s="24"/>
    </row>
    <row r="123" spans="14:14" ht="20.100000000000001" customHeight="1" x14ac:dyDescent="0.2">
      <c r="N123" s="24"/>
    </row>
    <row r="124" spans="14:14" ht="20.100000000000001" customHeight="1" x14ac:dyDescent="0.2">
      <c r="N124" s="24"/>
    </row>
    <row r="125" spans="14:14" ht="20.100000000000001" customHeight="1" x14ac:dyDescent="0.2">
      <c r="N125" s="24"/>
    </row>
    <row r="126" spans="14:14" ht="20.100000000000001" customHeight="1" x14ac:dyDescent="0.2">
      <c r="N126" s="24"/>
    </row>
    <row r="127" spans="14:14" ht="20.100000000000001" customHeight="1" x14ac:dyDescent="0.2">
      <c r="N127" s="24"/>
    </row>
    <row r="128" spans="14:14" ht="20.100000000000001" customHeight="1" x14ac:dyDescent="0.2">
      <c r="N128" s="24"/>
    </row>
    <row r="129" spans="14:14" ht="20.100000000000001" customHeight="1" x14ac:dyDescent="0.2">
      <c r="N129" s="24"/>
    </row>
    <row r="206" spans="13:13" ht="20.100000000000001" customHeight="1" x14ac:dyDescent="0.2">
      <c r="M206" s="16"/>
    </row>
    <row r="207" spans="13:13" ht="20.100000000000001" customHeight="1" x14ac:dyDescent="0.2">
      <c r="M207" s="16"/>
    </row>
    <row r="208" spans="13:13" ht="20.100000000000001" customHeight="1" x14ac:dyDescent="0.2">
      <c r="M208" s="16"/>
    </row>
    <row r="209" spans="13:13" ht="20.100000000000001" customHeight="1" x14ac:dyDescent="0.2">
      <c r="M209" s="16"/>
    </row>
    <row r="210" spans="13:13" ht="20.100000000000001" customHeight="1" x14ac:dyDescent="0.2">
      <c r="M210" s="16"/>
    </row>
    <row r="212" spans="13:13" ht="20.100000000000001" customHeight="1" x14ac:dyDescent="0.2">
      <c r="M212" s="16"/>
    </row>
    <row r="214" spans="13:13" ht="20.100000000000001" customHeight="1" x14ac:dyDescent="0.2">
      <c r="M214" s="16"/>
    </row>
    <row r="215" spans="13:13" ht="20.100000000000001" customHeight="1" x14ac:dyDescent="0.2">
      <c r="M215" s="16"/>
    </row>
    <row r="216" spans="13:13" ht="20.100000000000001" customHeight="1" x14ac:dyDescent="0.2">
      <c r="M216" s="16"/>
    </row>
    <row r="217" spans="13:13" ht="20.100000000000001" customHeight="1" x14ac:dyDescent="0.2">
      <c r="M217" s="16"/>
    </row>
    <row r="219" spans="13:13" ht="20.100000000000001" customHeight="1" x14ac:dyDescent="0.2">
      <c r="M219" s="16"/>
    </row>
    <row r="227" spans="13:13" ht="20.100000000000001" customHeight="1" x14ac:dyDescent="0.2">
      <c r="M227" s="16"/>
    </row>
    <row r="228" spans="13:13" ht="20.100000000000001" customHeight="1" x14ac:dyDescent="0.2">
      <c r="M228" s="16"/>
    </row>
    <row r="229" spans="13:13" ht="20.100000000000001" customHeight="1" x14ac:dyDescent="0.2">
      <c r="M229" s="16"/>
    </row>
    <row r="232" spans="13:13" ht="20.100000000000001" customHeight="1" x14ac:dyDescent="0.2">
      <c r="M232" s="16"/>
    </row>
    <row r="233" spans="13:13" ht="20.100000000000001" customHeight="1" x14ac:dyDescent="0.2">
      <c r="M233" s="16"/>
    </row>
    <row r="234" spans="13:13" ht="20.100000000000001" customHeight="1" x14ac:dyDescent="0.2">
      <c r="M234" s="16"/>
    </row>
    <row r="237" spans="13:13" ht="20.100000000000001" customHeight="1" x14ac:dyDescent="0.2">
      <c r="M237" s="16"/>
    </row>
    <row r="238" spans="13:13" ht="20.100000000000001" customHeight="1" x14ac:dyDescent="0.2">
      <c r="M238" s="16"/>
    </row>
    <row r="239" spans="13:13" ht="20.100000000000001" customHeight="1" x14ac:dyDescent="0.2">
      <c r="M239" s="16"/>
    </row>
    <row r="242" spans="12:13" ht="20.100000000000001" customHeight="1" x14ac:dyDescent="0.2">
      <c r="M242" s="16"/>
    </row>
    <row r="243" spans="12:13" ht="20.100000000000001" customHeight="1" x14ac:dyDescent="0.2">
      <c r="L243" s="16"/>
      <c r="M243" s="16"/>
    </row>
    <row r="244" spans="12:13" ht="20.100000000000001" customHeight="1" x14ac:dyDescent="0.2">
      <c r="M244" s="16"/>
    </row>
    <row r="248" spans="12:13" ht="20.100000000000001" customHeight="1" x14ac:dyDescent="0.2">
      <c r="L248" s="16"/>
    </row>
    <row r="251" spans="12:13" ht="20.100000000000001" customHeight="1" x14ac:dyDescent="0.2">
      <c r="M251" s="16"/>
    </row>
    <row r="252" spans="12:13" ht="20.100000000000001" customHeight="1" x14ac:dyDescent="0.2">
      <c r="M252" s="16"/>
    </row>
    <row r="253" spans="12:13" ht="20.100000000000001" customHeight="1" x14ac:dyDescent="0.2">
      <c r="L253" s="16"/>
      <c r="M253" s="16"/>
    </row>
    <row r="256" spans="12:13" ht="20.100000000000001" customHeight="1" x14ac:dyDescent="0.2">
      <c r="M256" s="16"/>
    </row>
    <row r="257" spans="12:13" ht="20.100000000000001" customHeight="1" x14ac:dyDescent="0.2">
      <c r="M257" s="16"/>
    </row>
    <row r="258" spans="12:13" ht="20.100000000000001" customHeight="1" x14ac:dyDescent="0.2">
      <c r="L258" s="16"/>
      <c r="M258" s="16"/>
    </row>
    <row r="259" spans="12:13" ht="20.100000000000001" customHeight="1" x14ac:dyDescent="0.2">
      <c r="L259" s="16"/>
    </row>
    <row r="260" spans="12:13" ht="20.100000000000001" customHeight="1" x14ac:dyDescent="0.2">
      <c r="L260" s="16"/>
    </row>
    <row r="261" spans="12:13" ht="20.100000000000001" customHeight="1" x14ac:dyDescent="0.2">
      <c r="L261" s="16"/>
      <c r="M261" s="16"/>
    </row>
    <row r="262" spans="12:13" ht="20.100000000000001" customHeight="1" x14ac:dyDescent="0.2">
      <c r="L262" s="16"/>
      <c r="M262" s="16"/>
    </row>
    <row r="263" spans="12:13" ht="20.100000000000001" customHeight="1" x14ac:dyDescent="0.2">
      <c r="M263" s="16"/>
    </row>
    <row r="264" spans="12:13" ht="20.100000000000001" customHeight="1" x14ac:dyDescent="0.2">
      <c r="L264" s="16"/>
    </row>
    <row r="266" spans="12:13" ht="20.100000000000001" customHeight="1" x14ac:dyDescent="0.2">
      <c r="L266" s="16"/>
      <c r="M266" s="16"/>
    </row>
    <row r="267" spans="12:13" ht="20.100000000000001" customHeight="1" x14ac:dyDescent="0.2">
      <c r="L267" s="16"/>
      <c r="M267" s="16"/>
    </row>
    <row r="268" spans="12:13" ht="20.100000000000001" customHeight="1" x14ac:dyDescent="0.2">
      <c r="L268" s="16"/>
      <c r="M268" s="16"/>
    </row>
    <row r="269" spans="12:13" ht="20.100000000000001" customHeight="1" x14ac:dyDescent="0.2">
      <c r="L269" s="16"/>
    </row>
    <row r="271" spans="12:13" ht="20.100000000000001" customHeight="1" x14ac:dyDescent="0.2">
      <c r="L271" s="16"/>
    </row>
    <row r="277" spans="12:12" ht="20.100000000000001" customHeight="1" x14ac:dyDescent="0.2">
      <c r="L277" s="16"/>
    </row>
    <row r="282" spans="12:12" ht="20.100000000000001" customHeight="1" x14ac:dyDescent="0.2">
      <c r="L282" s="16"/>
    </row>
    <row r="287" spans="12:12" ht="20.100000000000001" customHeight="1" x14ac:dyDescent="0.2">
      <c r="L287" s="16"/>
    </row>
    <row r="292" spans="12:12" ht="20.100000000000001" customHeight="1" x14ac:dyDescent="0.2">
      <c r="L292" s="16"/>
    </row>
    <row r="293" spans="12:12" ht="20.100000000000001" customHeight="1" x14ac:dyDescent="0.2">
      <c r="L293" s="16"/>
    </row>
    <row r="294" spans="12:12" ht="20.100000000000001" customHeight="1" x14ac:dyDescent="0.2">
      <c r="L294" s="16"/>
    </row>
    <row r="295" spans="12:12" ht="20.100000000000001" customHeight="1" x14ac:dyDescent="0.2">
      <c r="L295" s="16"/>
    </row>
    <row r="296" spans="12:12" ht="20.100000000000001" customHeight="1" x14ac:dyDescent="0.2">
      <c r="L296" s="16"/>
    </row>
    <row r="298" spans="12:12" ht="20.100000000000001" customHeight="1" x14ac:dyDescent="0.2">
      <c r="L298" s="16"/>
    </row>
    <row r="300" spans="12:12" ht="20.100000000000001" customHeight="1" x14ac:dyDescent="0.2">
      <c r="L300" s="16"/>
    </row>
    <row r="301" spans="12:12" ht="20.100000000000001" customHeight="1" x14ac:dyDescent="0.2">
      <c r="L301" s="16"/>
    </row>
    <row r="302" spans="12:12" ht="20.100000000000001" customHeight="1" x14ac:dyDescent="0.2">
      <c r="L302" s="16"/>
    </row>
    <row r="303" spans="12:12" ht="20.100000000000001" customHeight="1" x14ac:dyDescent="0.2">
      <c r="L303" s="16"/>
    </row>
    <row r="305" spans="12:12" ht="20.100000000000001" customHeight="1" x14ac:dyDescent="0.2">
      <c r="L305" s="16"/>
    </row>
    <row r="313" spans="12:12" ht="20.100000000000001" customHeight="1" x14ac:dyDescent="0.2">
      <c r="L313" s="16"/>
    </row>
    <row r="314" spans="12:12" ht="20.100000000000001" customHeight="1" x14ac:dyDescent="0.2">
      <c r="L314" s="16"/>
    </row>
    <row r="315" spans="12:12" ht="20.100000000000001" customHeight="1" x14ac:dyDescent="0.2">
      <c r="L315" s="16"/>
    </row>
    <row r="318" spans="12:12" ht="20.100000000000001" customHeight="1" x14ac:dyDescent="0.2">
      <c r="L318" s="16"/>
    </row>
    <row r="319" spans="12:12" ht="20.100000000000001" customHeight="1" x14ac:dyDescent="0.2">
      <c r="L319" s="16"/>
    </row>
    <row r="320" spans="12:12" ht="20.100000000000001" customHeight="1" x14ac:dyDescent="0.2">
      <c r="L320" s="16"/>
    </row>
    <row r="323" spans="12:12" ht="20.100000000000001" customHeight="1" x14ac:dyDescent="0.2">
      <c r="L323" s="16"/>
    </row>
    <row r="324" spans="12:12" ht="20.100000000000001" customHeight="1" x14ac:dyDescent="0.2">
      <c r="L324" s="16"/>
    </row>
    <row r="325" spans="12:12" ht="20.100000000000001" customHeight="1" x14ac:dyDescent="0.2">
      <c r="L325" s="16"/>
    </row>
    <row r="328" spans="12:12" ht="20.100000000000001" customHeight="1" x14ac:dyDescent="0.2">
      <c r="L328" s="16"/>
    </row>
    <row r="329" spans="12:12" ht="20.100000000000001" customHeight="1" x14ac:dyDescent="0.2">
      <c r="L329" s="16"/>
    </row>
    <row r="330" spans="12:12" ht="20.100000000000001" customHeight="1" x14ac:dyDescent="0.2">
      <c r="L330" s="16"/>
    </row>
    <row r="337" spans="12:12" ht="20.100000000000001" customHeight="1" x14ac:dyDescent="0.2">
      <c r="L337" s="16"/>
    </row>
    <row r="338" spans="12:12" ht="20.100000000000001" customHeight="1" x14ac:dyDescent="0.2">
      <c r="L338" s="16"/>
    </row>
    <row r="339" spans="12:12" ht="20.100000000000001" customHeight="1" x14ac:dyDescent="0.2">
      <c r="L339" s="16"/>
    </row>
    <row r="342" spans="12:12" ht="20.100000000000001" customHeight="1" x14ac:dyDescent="0.2">
      <c r="L342" s="16"/>
    </row>
    <row r="343" spans="12:12" ht="20.100000000000001" customHeight="1" x14ac:dyDescent="0.2">
      <c r="L343" s="16"/>
    </row>
    <row r="344" spans="12:12" ht="20.100000000000001" customHeight="1" x14ac:dyDescent="0.2">
      <c r="L344" s="16"/>
    </row>
    <row r="347" spans="12:12" ht="20.100000000000001" customHeight="1" x14ac:dyDescent="0.2">
      <c r="L347" s="16"/>
    </row>
    <row r="348" spans="12:12" ht="20.100000000000001" customHeight="1" x14ac:dyDescent="0.2">
      <c r="L348" s="16"/>
    </row>
    <row r="349" spans="12:12" ht="20.100000000000001" customHeight="1" x14ac:dyDescent="0.2">
      <c r="L349" s="16"/>
    </row>
    <row r="352" spans="12:12" ht="20.100000000000001" customHeight="1" x14ac:dyDescent="0.2">
      <c r="L352" s="16"/>
    </row>
    <row r="353" spans="4:12" ht="20.100000000000001" customHeight="1" x14ac:dyDescent="0.2">
      <c r="L353" s="16"/>
    </row>
    <row r="354" spans="4:12" ht="20.100000000000001" customHeight="1" x14ac:dyDescent="0.2">
      <c r="L354" s="16"/>
    </row>
    <row r="356" spans="4:12" ht="20.100000000000001" customHeight="1" x14ac:dyDescent="0.2">
      <c r="D356" s="87"/>
    </row>
  </sheetData>
  <conditionalFormatting sqref="E205:G205">
    <cfRule type="cellIs" dxfId="107" priority="23" operator="lessThan">
      <formula>0</formula>
    </cfRule>
  </conditionalFormatting>
  <conditionalFormatting sqref="F43">
    <cfRule type="cellIs" dxfId="106" priority="21" operator="lessThan">
      <formula>0</formula>
    </cfRule>
  </conditionalFormatting>
  <conditionalFormatting sqref="F121:F122">
    <cfRule type="cellIs" dxfId="105" priority="18" operator="lessThan">
      <formula>0</formula>
    </cfRule>
  </conditionalFormatting>
  <conditionalFormatting sqref="F133:F134">
    <cfRule type="cellIs" dxfId="104" priority="17" operator="lessThan">
      <formula>0</formula>
    </cfRule>
  </conditionalFormatting>
  <conditionalFormatting sqref="F145:F146">
    <cfRule type="cellIs" dxfId="103" priority="16" operator="lessThan">
      <formula>0</formula>
    </cfRule>
  </conditionalFormatting>
  <conditionalFormatting sqref="F157:F158">
    <cfRule type="cellIs" dxfId="102" priority="15" operator="lessThan">
      <formula>0</formula>
    </cfRule>
  </conditionalFormatting>
  <conditionalFormatting sqref="F245:F246">
    <cfRule type="cellIs" dxfId="101" priority="29" operator="lessThan">
      <formula>0</formula>
    </cfRule>
  </conditionalFormatting>
  <conditionalFormatting sqref="F250:F251">
    <cfRule type="cellIs" dxfId="100" priority="28" operator="lessThan">
      <formula>0</formula>
    </cfRule>
  </conditionalFormatting>
  <conditionalFormatting sqref="F255:F256">
    <cfRule type="cellIs" dxfId="99" priority="27" operator="lessThan">
      <formula>0</formula>
    </cfRule>
  </conditionalFormatting>
  <conditionalFormatting sqref="F279:F280">
    <cfRule type="cellIs" dxfId="98" priority="26" operator="lessThan">
      <formula>0</formula>
    </cfRule>
  </conditionalFormatting>
  <conditionalFormatting sqref="F284:F285">
    <cfRule type="cellIs" dxfId="97" priority="25" operator="lessThan">
      <formula>0</formula>
    </cfRule>
  </conditionalFormatting>
  <conditionalFormatting sqref="F289:F290">
    <cfRule type="cellIs" dxfId="96" priority="24" operator="lessThan">
      <formula>0</formula>
    </cfRule>
  </conditionalFormatting>
  <conditionalFormatting sqref="I30:J34">
    <cfRule type="cellIs" dxfId="95" priority="20" operator="lessThan">
      <formula>0</formula>
    </cfRule>
  </conditionalFormatting>
  <conditionalFormatting sqref="I38:J42 O43:P43 I60:J60 N101 I119:K119 L180:M180 L184:M185 L188:M189 L194:M195 L198:M198 I199:M199 I205:M205">
    <cfRule type="cellIs" dxfId="94" priority="22" operator="lessThan">
      <formula>0</formula>
    </cfRule>
  </conditionalFormatting>
  <conditionalFormatting sqref="I45:J49">
    <cfRule type="cellIs" dxfId="93" priority="5" operator="lessThan">
      <formula>0</formula>
    </cfRule>
  </conditionalFormatting>
  <conditionalFormatting sqref="I52:J56">
    <cfRule type="cellIs" dxfId="92" priority="4" operator="lessThan">
      <formula>0</formula>
    </cfRule>
  </conditionalFormatting>
  <conditionalFormatting sqref="I71:J73">
    <cfRule type="cellIs" dxfId="91" priority="3" operator="lessThan">
      <formula>0</formula>
    </cfRule>
  </conditionalFormatting>
  <conditionalFormatting sqref="I77:J80">
    <cfRule type="cellIs" dxfId="90" priority="2" operator="lessThan">
      <formula>0</formula>
    </cfRule>
  </conditionalFormatting>
  <conditionalFormatting sqref="I84:J88">
    <cfRule type="cellIs" dxfId="89" priority="1" operator="lessThan">
      <formula>0</formula>
    </cfRule>
  </conditionalFormatting>
  <conditionalFormatting sqref="K147">
    <cfRule type="cellIs" dxfId="88" priority="19" operator="lessThan">
      <formula>0</formula>
    </cfRule>
  </conditionalFormatting>
  <conditionalFormatting sqref="M113:M116">
    <cfRule type="cellIs" dxfId="87" priority="9" operator="lessThan">
      <formula>0</formula>
    </cfRule>
  </conditionalFormatting>
  <conditionalFormatting sqref="M119">
    <cfRule type="cellIs" dxfId="86" priority="14" operator="lessThan">
      <formula>0</formula>
    </cfRule>
  </conditionalFormatting>
  <conditionalFormatting sqref="M125:M128">
    <cfRule type="cellIs" dxfId="85" priority="8" operator="lessThan">
      <formula>0</formula>
    </cfRule>
  </conditionalFormatting>
  <conditionalFormatting sqref="M131">
    <cfRule type="cellIs" dxfId="84" priority="13" operator="lessThan">
      <formula>0</formula>
    </cfRule>
  </conditionalFormatting>
  <conditionalFormatting sqref="M137:M140">
    <cfRule type="cellIs" dxfId="83" priority="7" operator="lessThan">
      <formula>0</formula>
    </cfRule>
  </conditionalFormatting>
  <conditionalFormatting sqref="M143">
    <cfRule type="cellIs" dxfId="82" priority="12" operator="lessThan">
      <formula>0</formula>
    </cfRule>
  </conditionalFormatting>
  <conditionalFormatting sqref="M149:M152">
    <cfRule type="cellIs" dxfId="81" priority="6" operator="lessThan">
      <formula>0</formula>
    </cfRule>
  </conditionalFormatting>
  <conditionalFormatting sqref="M155">
    <cfRule type="cellIs" dxfId="80" priority="11" operator="lessThan">
      <formula>0</formula>
    </cfRule>
  </conditionalFormatting>
  <conditionalFormatting sqref="M159:M160">
    <cfRule type="cellIs" dxfId="79" priority="10" operator="lessThan">
      <formula>0</formula>
    </cfRule>
  </conditionalFormatting>
  <conditionalFormatting sqref="M206:M210 M212 M214:M217 M219 K223:K225 K228:K230 K243:L243 K248:L248 K253:L253 K258:L262 K264:L264 K266:L269 K271:L271 K277:L277 K282:L282 K287:L287 K292:L296 K298:L298 K300:L303 K305:L305">
    <cfRule type="cellIs" dxfId="78" priority="30" operator="lessThan">
      <formula>0</formula>
    </cfRule>
  </conditionalFormatting>
  <dataValidations count="6">
    <dataValidation type="list" allowBlank="1" showInputMessage="1" showErrorMessage="1" sqref="E59" xr:uid="{828866B3-0261-4075-A61A-401E26B9830A}">
      <formula1>INDIRECT("Table_SourceData_Poultry_CropProdSystems[Production system]")</formula1>
    </dataValidation>
    <dataValidation type="list" allowBlank="1" showInputMessage="1" showErrorMessage="1" sqref="E60" xr:uid="{704D7D62-527D-4890-8254-A4FB62AFE04B}">
      <formula1>INDIRECT("Table_SourceData_Poultry_IrrigationMethods[Irrigation method]")</formula1>
    </dataValidation>
    <dataValidation type="list" allowBlank="1" showInputMessage="1" showErrorMessage="1" sqref="E27" xr:uid="{AC9EC354-D483-43D9-B64B-6857B601D973}">
      <formula1>INDIRECT("Table_SourceData_Poultry_ProductionSystems[Production system]")</formula1>
    </dataValidation>
    <dataValidation type="list" allowBlank="1" showInputMessage="1" showErrorMessage="1" sqref="E244 E249 E254 E288 E283 E278 E156 E144 E120 E132" xr:uid="{DEA7D15C-CC08-4C07-A945-D2CD968B94DE}">
      <formula1>"Yes, No"</formula1>
    </dataValidation>
    <dataValidation type="list" allowBlank="1" showInputMessage="1" showErrorMessage="1" sqref="E220" xr:uid="{742322E9-733B-4421-9C2E-55D00A083900}">
      <formula1>INDIRECT("Table_SourceData_Dairy_ProductionSystemTemplates[Area]")</formula1>
    </dataValidation>
    <dataValidation type="list" allowBlank="1" showInputMessage="1" showErrorMessage="1" sqref="D272" xr:uid="{45864E39-CC43-4BC3-A574-A79F4ED0663A}">
      <formula1>INDIRECT("Table_SourceData_PoultryMMSStage1[MMS]")</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77456F-5DAA-43BC-BE26-A839273D2E88}">
  <sheetPr>
    <tabColor rgb="FFCC6600"/>
  </sheetPr>
  <dimension ref="A1:M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2" width="30.7109375" style="1" customWidth="1"/>
    <col min="13" max="13" width="4.7109375" style="1" customWidth="1"/>
  </cols>
  <sheetData>
    <row r="1" spans="1:13" s="10" customFormat="1" ht="30" customHeight="1" x14ac:dyDescent="0.35">
      <c r="C1" s="10" t="s">
        <v>257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87" t="s">
        <v>258</v>
      </c>
    </row>
    <row r="6" spans="1:13" ht="20.100000000000001" customHeight="1" x14ac:dyDescent="0.2">
      <c r="D6" s="19" t="s">
        <v>259</v>
      </c>
      <c r="E6" s="19" t="s">
        <v>260</v>
      </c>
      <c r="F6" s="19" t="s">
        <v>261</v>
      </c>
      <c r="G6" s="19" t="s">
        <v>262</v>
      </c>
      <c r="H6" s="19" t="s">
        <v>263</v>
      </c>
      <c r="I6" s="19" t="s">
        <v>264</v>
      </c>
    </row>
    <row r="7" spans="1:13" ht="20.100000000000001" customHeight="1" x14ac:dyDescent="0.2">
      <c r="D7" s="33"/>
      <c r="E7" s="13"/>
      <c r="F7" s="97">
        <v>45566</v>
      </c>
      <c r="G7" s="19">
        <v>1000</v>
      </c>
      <c r="H7" s="19">
        <v>500</v>
      </c>
      <c r="I7" s="15">
        <f t="shared" ref="I7:I16" si="0">G7*H7</f>
        <v>500000</v>
      </c>
    </row>
    <row r="8" spans="1:13" ht="20.100000000000001" customHeight="1" x14ac:dyDescent="0.2">
      <c r="A8" s="7" t="s">
        <v>0</v>
      </c>
      <c r="D8" s="33"/>
      <c r="E8" s="13"/>
      <c r="F8" s="97"/>
      <c r="G8" s="19"/>
      <c r="H8" s="19"/>
      <c r="I8" s="15">
        <f t="shared" si="0"/>
        <v>0</v>
      </c>
    </row>
    <row r="9" spans="1:13" ht="20.100000000000001" customHeight="1" x14ac:dyDescent="0.2">
      <c r="A9" s="5" t="str">
        <f>HYPERLINK("#'Input - Enterprise'!A1", "Enterprise")</f>
        <v>Enterprise</v>
      </c>
      <c r="D9" s="33"/>
      <c r="E9" s="13"/>
      <c r="F9" s="97"/>
      <c r="G9" s="19"/>
      <c r="H9" s="19"/>
      <c r="I9" s="15">
        <f t="shared" si="0"/>
        <v>0</v>
      </c>
    </row>
    <row r="10" spans="1:13" ht="20.100000000000001" customHeight="1" x14ac:dyDescent="0.2">
      <c r="A10" s="5" t="str">
        <f>HYPERLINK("#'Input - Site'!A1", "Site")</f>
        <v>Site</v>
      </c>
      <c r="D10" s="33"/>
      <c r="E10" s="13"/>
      <c r="F10" s="97"/>
      <c r="G10" s="19"/>
      <c r="H10" s="19"/>
      <c r="I10" s="15">
        <f t="shared" si="0"/>
        <v>0</v>
      </c>
    </row>
    <row r="11" spans="1:13" ht="20.100000000000001" customHeight="1" x14ac:dyDescent="0.2">
      <c r="A11" s="5" t="str">
        <f>HYPERLINK("#'Input - Poultry'!A1", "Poultry")</f>
        <v>Poultry</v>
      </c>
      <c r="D11" s="33"/>
      <c r="E11" s="13"/>
      <c r="F11" s="97"/>
      <c r="G11" s="19"/>
      <c r="H11" s="19"/>
      <c r="I11" s="15">
        <f t="shared" si="0"/>
        <v>0</v>
      </c>
    </row>
    <row r="12" spans="1:13" ht="20.100000000000001" customHeight="1" x14ac:dyDescent="0.2">
      <c r="A12" s="100" t="str">
        <f>HYPERLINK("#'Input - Livestock sales'!A1", "Livestock sales")</f>
        <v>Livestock sales</v>
      </c>
      <c r="D12" s="33"/>
      <c r="E12" s="13"/>
      <c r="F12" s="97"/>
      <c r="G12" s="19"/>
      <c r="H12" s="19"/>
      <c r="I12" s="15">
        <f t="shared" si="0"/>
        <v>0</v>
      </c>
    </row>
    <row r="13" spans="1:13" ht="20.100000000000001" customHeight="1" x14ac:dyDescent="0.2">
      <c r="A13" s="5" t="str">
        <f>HYPERLINK("#'Input - Poultry purchases'!A1", "Poultry purchases")</f>
        <v>Poultry purchases</v>
      </c>
      <c r="D13" s="33"/>
      <c r="E13" s="13"/>
      <c r="F13" s="97"/>
      <c r="G13" s="19"/>
      <c r="H13" s="19"/>
      <c r="I13" s="15">
        <f t="shared" si="0"/>
        <v>0</v>
      </c>
    </row>
    <row r="14" spans="1:13" ht="20.100000000000001" customHeight="1" x14ac:dyDescent="0.2">
      <c r="A14" s="5" t="str">
        <f>HYPERLINK("#'Input - Fuel'!A1", "Fuel")</f>
        <v>Fuel</v>
      </c>
      <c r="D14" s="33"/>
      <c r="E14" s="13"/>
      <c r="F14" s="97"/>
      <c r="G14" s="19"/>
      <c r="H14" s="19"/>
      <c r="I14" s="15">
        <f t="shared" si="0"/>
        <v>0</v>
      </c>
    </row>
    <row r="15" spans="1:13" ht="20.100000000000001" customHeight="1" x14ac:dyDescent="0.2">
      <c r="A15" s="5" t="str">
        <f>HYPERLINK("#'Input - Electricity'!A1", "Electricity")</f>
        <v>Electricity</v>
      </c>
      <c r="D15" s="33"/>
      <c r="E15" s="13"/>
      <c r="F15" s="97"/>
      <c r="G15" s="19"/>
      <c r="H15" s="19"/>
      <c r="I15" s="15">
        <f t="shared" si="0"/>
        <v>0</v>
      </c>
    </row>
    <row r="16" spans="1:13" ht="20.100000000000001" customHeight="1" x14ac:dyDescent="0.2">
      <c r="A16" s="5" t="str">
        <f>HYPERLINK("#'Input - Common farm inputs'!A1", "Common farm inputs")</f>
        <v>Common farm inputs</v>
      </c>
      <c r="D16" s="33"/>
      <c r="E16" s="13"/>
      <c r="F16" s="97"/>
      <c r="G16" s="19"/>
      <c r="H16" s="19"/>
      <c r="I16" s="15">
        <f t="shared" si="0"/>
        <v>0</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7:E16" xr:uid="{083DF14A-00E2-452A-8599-A053B3BDEC80}">
      <formula1>INDIRECT("Table_SourceData_Poultry_Liveweights[Livestock class j]")</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8C4084-AD36-4017-A252-C4A79AA601B8}">
  <sheetPr>
    <tabColor theme="5" tint="-0.249977111117893"/>
  </sheetPr>
  <dimension ref="A1:J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9" width="30.5703125" style="1" customWidth="1"/>
    <col min="10" max="10" width="4.5703125" style="1" customWidth="1"/>
  </cols>
  <sheetData>
    <row r="1" spans="1:10" ht="30" customHeight="1" x14ac:dyDescent="0.35">
      <c r="A1" s="10" t="e" vm="1">
        <v>#VALUE!</v>
      </c>
      <c r="C1" s="10" t="s">
        <v>941</v>
      </c>
      <c r="D1" s="10"/>
      <c r="E1" s="10"/>
      <c r="F1" s="10"/>
      <c r="G1" s="10"/>
      <c r="H1" s="10"/>
      <c r="I1" s="10"/>
      <c r="J1" s="10"/>
    </row>
    <row r="2" spans="1:10" ht="20.100000000000001" customHeight="1" x14ac:dyDescent="0.2">
      <c r="C2" s="3"/>
      <c r="D2" s="3"/>
      <c r="E2" s="3"/>
      <c r="F2" s="3"/>
      <c r="G2" s="3"/>
      <c r="H2" s="3"/>
      <c r="I2" s="3"/>
      <c r="J2" s="3"/>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87" t="s">
        <v>942</v>
      </c>
      <c r="E5" s="239"/>
      <c r="F5" s="239"/>
      <c r="G5" s="239"/>
      <c r="H5" s="239"/>
    </row>
    <row r="6" spans="1:10" ht="20.100000000000001" customHeight="1" x14ac:dyDescent="0.2">
      <c r="D6" s="240" t="s">
        <v>259</v>
      </c>
      <c r="E6" s="240" t="s">
        <v>260</v>
      </c>
      <c r="F6" s="240" t="s">
        <v>943</v>
      </c>
      <c r="G6" s="240" t="s">
        <v>944</v>
      </c>
      <c r="H6" s="240" t="s">
        <v>945</v>
      </c>
    </row>
    <row r="7" spans="1:10" ht="20.100000000000001" customHeight="1" x14ac:dyDescent="0.2">
      <c r="D7" s="33" t="s">
        <v>946</v>
      </c>
      <c r="E7" s="13" t="s">
        <v>947</v>
      </c>
      <c r="F7" s="74">
        <v>100</v>
      </c>
      <c r="G7" s="15" cm="1">
        <f t="array" ref="G7">Common_InputFunctions.Utility_LookupValueInTableNumber(Table_Input_LivestockPurchases_Poultry[[#This Row],[Class (select)]], Table_SourceData_Poultry_Liveweights[Livestock class j],Table_SourceData_Poultry_Liveweights[Average liveweight (kg)])</f>
        <v>1.3</v>
      </c>
      <c r="H7" s="74">
        <v>1.3</v>
      </c>
    </row>
    <row r="8" spans="1:10" ht="20.100000000000001" customHeight="1" x14ac:dyDescent="0.2">
      <c r="A8" s="7" t="s">
        <v>0</v>
      </c>
      <c r="D8" s="33" t="s">
        <v>948</v>
      </c>
      <c r="E8" s="84" t="s">
        <v>949</v>
      </c>
      <c r="F8" s="74">
        <v>100</v>
      </c>
      <c r="G8" s="15" cm="1">
        <f t="array" ref="G8">Common_InputFunctions.Utility_LookupValueInTableNumber(Table_Input_LivestockPurchases_Poultry[[#This Row],[Class (select)]], Table_SourceData_Poultry_Liveweights[Livestock class j],Table_SourceData_Poultry_Liveweights[Average liveweight (kg)])</f>
        <v>1.4</v>
      </c>
      <c r="H8" s="74">
        <v>1.4</v>
      </c>
    </row>
    <row r="9" spans="1:10" ht="20.100000000000001" customHeight="1" x14ac:dyDescent="0.2">
      <c r="A9" s="5" t="str">
        <f>HYPERLINK("#'Input - Enterprise'!A1", "Enterprise")</f>
        <v>Enterprise</v>
      </c>
      <c r="D9" s="33"/>
      <c r="E9" s="84"/>
      <c r="F9" s="74"/>
      <c r="G9" s="15" cm="1">
        <f t="array" ref="G9">Common_InputFunctions.Utility_LookupValueInTableNumber(Table_Input_LivestockPurchases_Poultry[[#This Row],[Class (select)]], Table_SourceData_Poultry_Liveweights[Livestock class j],Table_SourceData_Poultry_Liveweights[Average liveweight (kg)])</f>
        <v>0</v>
      </c>
      <c r="H9" s="74"/>
    </row>
    <row r="10" spans="1:10" ht="20.100000000000001" customHeight="1" x14ac:dyDescent="0.2">
      <c r="A10" s="5" t="str">
        <f>HYPERLINK("#'Input - Site'!A1", "Site")</f>
        <v>Site</v>
      </c>
      <c r="D10" s="33"/>
      <c r="E10" s="84"/>
      <c r="F10" s="74"/>
      <c r="G10" s="15" cm="1">
        <f t="array" ref="G10">Common_InputFunctions.Utility_LookupValueInTableNumber(Table_Input_LivestockPurchases_Poultry[[#This Row],[Class (select)]], Table_SourceData_Poultry_Liveweights[Livestock class j],Table_SourceData_Poultry_Liveweights[Average liveweight (kg)])</f>
        <v>0</v>
      </c>
      <c r="H10" s="74"/>
    </row>
    <row r="11" spans="1:10" ht="20.100000000000001" customHeight="1" x14ac:dyDescent="0.2">
      <c r="A11" s="5" t="str">
        <f>HYPERLINK("#'Input - Poultry'!A1", "Poultry")</f>
        <v>Poultry</v>
      </c>
      <c r="D11" s="33"/>
      <c r="E11" s="84"/>
      <c r="F11" s="74"/>
      <c r="G11" s="15" cm="1">
        <f t="array" ref="G11">Common_InputFunctions.Utility_LookupValueInTableNumber(Table_Input_LivestockPurchases_Poultry[[#This Row],[Class (select)]], Table_SourceData_Poultry_Liveweights[Livestock class j],Table_SourceData_Poultry_Liveweights[Average liveweight (kg)])</f>
        <v>0</v>
      </c>
      <c r="H11" s="74"/>
    </row>
    <row r="12" spans="1:10" ht="20.100000000000001" customHeight="1" x14ac:dyDescent="0.2">
      <c r="A12" s="5" t="str">
        <f>HYPERLINK("#'Input - Livestock sales'!A1", "Livestock sales")</f>
        <v>Livestock sales</v>
      </c>
      <c r="D12" s="33"/>
      <c r="E12" s="84"/>
      <c r="F12" s="74"/>
      <c r="G12" s="15" cm="1">
        <f t="array" ref="G12">Common_InputFunctions.Utility_LookupValueInTableNumber(Table_Input_LivestockPurchases_Poultry[[#This Row],[Class (select)]], Table_SourceData_Poultry_Liveweights[Livestock class j],Table_SourceData_Poultry_Liveweights[Average liveweight (kg)])</f>
        <v>0</v>
      </c>
      <c r="H12" s="74"/>
    </row>
    <row r="13" spans="1:10" ht="20.100000000000001" customHeight="1" x14ac:dyDescent="0.2">
      <c r="A13" s="100" t="str">
        <f>HYPERLINK("#'Input - Poultry purchases'!A1", "Poultry purchases")</f>
        <v>Poultry purchases</v>
      </c>
      <c r="D13" s="33"/>
      <c r="E13" s="84"/>
      <c r="F13" s="74"/>
      <c r="G13" s="15" cm="1">
        <f t="array" ref="G13">Common_InputFunctions.Utility_LookupValueInTableNumber(Table_Input_LivestockPurchases_Poultry[[#This Row],[Class (select)]], Table_SourceData_Poultry_Liveweights[Livestock class j],Table_SourceData_Poultry_Liveweights[Average liveweight (kg)])</f>
        <v>0</v>
      </c>
      <c r="H13" s="74"/>
    </row>
    <row r="14" spans="1:10" ht="20.100000000000001" customHeight="1" x14ac:dyDescent="0.2">
      <c r="A14" s="5" t="str">
        <f>HYPERLINK("#'Input - Fuel'!A1", "Fuel")</f>
        <v>Fuel</v>
      </c>
      <c r="D14" s="33"/>
      <c r="E14" s="84"/>
      <c r="F14" s="74"/>
      <c r="G14" s="15" cm="1">
        <f t="array" ref="G14">Common_InputFunctions.Utility_LookupValueInTableNumber(Table_Input_LivestockPurchases_Poultry[[#This Row],[Class (select)]], Table_SourceData_Poultry_Liveweights[Livestock class j],Table_SourceData_Poultry_Liveweights[Average liveweight (kg)])</f>
        <v>0</v>
      </c>
      <c r="H14" s="74"/>
    </row>
    <row r="15" spans="1:10" ht="20.100000000000001" customHeight="1" x14ac:dyDescent="0.2">
      <c r="A15" s="5" t="str">
        <f>HYPERLINK("#'Input - Electricity'!A1", "Electricity")</f>
        <v>Electricity</v>
      </c>
      <c r="D15" s="33"/>
      <c r="E15" s="84"/>
      <c r="F15" s="74"/>
      <c r="G15" s="15" cm="1">
        <f t="array" ref="G15">Common_InputFunctions.Utility_LookupValueInTableNumber(Table_Input_LivestockPurchases_Poultry[[#This Row],[Class (select)]], Table_SourceData_Poultry_Liveweights[Livestock class j],Table_SourceData_Poultry_Liveweights[Average liveweight (kg)])</f>
        <v>0</v>
      </c>
      <c r="H15" s="74"/>
    </row>
    <row r="16" spans="1:10" ht="20.100000000000001" customHeight="1" x14ac:dyDescent="0.2">
      <c r="A16" s="5" t="str">
        <f>HYPERLINK("#'Input - Common farm inputs'!A1", "Common farm inputs")</f>
        <v>Common farm inputs</v>
      </c>
      <c r="D16" s="33"/>
      <c r="E16" s="84"/>
      <c r="F16" s="74"/>
      <c r="G16" s="15" cm="1">
        <f t="array" ref="G16">Common_InputFunctions.Utility_LookupValueInTableNumber(Table_Input_LivestockPurchases_Poultry[[#This Row],[Class (select)]], Table_SourceData_Poultry_Liveweights[Livestock class j],Table_SourceData_Poultry_Liveweights[Average liveweight (kg)])</f>
        <v>0</v>
      </c>
      <c r="H16" s="74"/>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7:E16" xr:uid="{6CC7E677-7466-4D69-83A4-0E0032A4E7BC}">
      <formula1>INDIRECT("Table_SourceData_Poultry_Liveweights[Livestock class j]")</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B5F5D-9901-40F4-BA3B-CE8D21AB2C80}">
  <sheetPr>
    <tabColor theme="5" tint="-0.249977111117893"/>
  </sheetPr>
  <dimension ref="A1:K346"/>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10" customFormat="1" ht="30" customHeight="1" x14ac:dyDescent="0.35">
      <c r="A1" s="10" t="e" vm="1">
        <v>#VALUE!</v>
      </c>
      <c r="C1" s="10" t="s">
        <v>584</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585</v>
      </c>
      <c r="E5" s="24"/>
      <c r="F5" s="24"/>
      <c r="G5" s="24"/>
      <c r="H5" s="24"/>
    </row>
    <row r="6" spans="1:11" ht="20.100000000000001" customHeight="1" x14ac:dyDescent="0.2">
      <c r="D6" s="8"/>
      <c r="E6" s="8"/>
      <c r="F6" s="8"/>
      <c r="G6" s="8"/>
      <c r="H6" s="8"/>
      <c r="I6" s="8"/>
      <c r="J6" s="8"/>
    </row>
    <row r="7" spans="1:11" ht="20.100000000000001" customHeight="1" x14ac:dyDescent="0.2">
      <c r="D7" s="1" t="s">
        <v>586</v>
      </c>
    </row>
    <row r="8" spans="1:11" ht="20.100000000000001" customHeight="1" x14ac:dyDescent="0.2">
      <c r="A8" s="7" t="s">
        <v>0</v>
      </c>
      <c r="D8" s="1" t="s">
        <v>587</v>
      </c>
    </row>
    <row r="9" spans="1:11" ht="20.100000000000001" customHeight="1" x14ac:dyDescent="0.2">
      <c r="A9" s="5" t="str">
        <f>HYPERLINK("#'Input - Enterprise'!A1", "Enterprise")</f>
        <v>Enterprise</v>
      </c>
      <c r="D9" s="1" t="s">
        <v>588</v>
      </c>
    </row>
    <row r="10" spans="1:11" ht="20.100000000000001" customHeight="1" x14ac:dyDescent="0.2">
      <c r="A10" s="5" t="str">
        <f>HYPERLINK("#'Input - Site'!A1", "Site")</f>
        <v>Site</v>
      </c>
    </row>
    <row r="11" spans="1:11" ht="20.100000000000001" customHeight="1" x14ac:dyDescent="0.2">
      <c r="A11" s="5" t="str">
        <f>HYPERLINK("#'Input - Poultry'!A1", "Poultry")</f>
        <v>Poultry</v>
      </c>
      <c r="D11" s="1" t="s">
        <v>589</v>
      </c>
      <c r="E11" s="13" t="s">
        <v>590</v>
      </c>
      <c r="F11" s="16" t="s">
        <v>100</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c r="D13" s="131" t="s">
        <v>557</v>
      </c>
      <c r="E13" s="43"/>
      <c r="F13" s="43"/>
      <c r="G13" s="43"/>
      <c r="H13" s="44"/>
    </row>
    <row r="14" spans="1:11" ht="20.100000000000001" customHeight="1" x14ac:dyDescent="0.2">
      <c r="A14" s="100" t="str">
        <f>HYPERLINK("#'Input - Fuel'!A1", "Fuel")</f>
        <v>Fuel</v>
      </c>
      <c r="D14" s="45" t="s">
        <v>591</v>
      </c>
      <c r="E14" s="46"/>
      <c r="F14" s="46"/>
      <c r="G14" s="46"/>
      <c r="H14" s="47"/>
    </row>
    <row r="15" spans="1:11" ht="20.100000000000001" customHeight="1" x14ac:dyDescent="0.2">
      <c r="A15" s="5" t="str">
        <f>HYPERLINK("#'Input - Electricity'!A1", "Electricity")</f>
        <v>Electricity</v>
      </c>
      <c r="D15" s="8"/>
      <c r="E15" s="8"/>
      <c r="F15" s="8"/>
      <c r="G15" s="8"/>
      <c r="H15" s="8"/>
      <c r="I15" s="8"/>
      <c r="J15" s="8"/>
    </row>
    <row r="16" spans="1:11" ht="20.100000000000001" customHeight="1" x14ac:dyDescent="0.2">
      <c r="A16" s="5" t="str">
        <f>HYPERLINK("#'Input - Common farm inputs'!A1", "Common farm inputs")</f>
        <v>Common farm inputs</v>
      </c>
      <c r="D16" s="78" t="s">
        <v>592</v>
      </c>
      <c r="E16" s="78" t="s">
        <v>593</v>
      </c>
      <c r="F16" s="78" t="s">
        <v>594</v>
      </c>
      <c r="G16" s="78" t="s">
        <v>595</v>
      </c>
      <c r="H16" s="78" t="s">
        <v>596</v>
      </c>
      <c r="I16" s="78" t="s">
        <v>597</v>
      </c>
      <c r="J16" s="78" t="s">
        <v>598</v>
      </c>
    </row>
    <row r="17" spans="1:10" ht="20.100000000000001" customHeight="1" x14ac:dyDescent="0.2">
      <c r="A17" s="5" t="str">
        <f>HYPERLINK("#'Input - Livestock farm Inputs'!A1", "Livestock farm Inputs")</f>
        <v>Livestock farm Inputs</v>
      </c>
      <c r="D17" s="13" t="s">
        <v>599</v>
      </c>
      <c r="E17" s="13" t="s">
        <v>600</v>
      </c>
      <c r="F17" s="149">
        <v>100</v>
      </c>
      <c r="G17" s="15" t="str" cm="1">
        <f t="array" ref="G17">Common_InputFunctions.Utility_LookupValueInTable(Table_Input_Fuel[[#This Row],[Fuel type (select)]],Table_FuelTypes_Units[Fuel type], Table_FuelTypes_Units[Input Unit])</f>
        <v>GJ</v>
      </c>
      <c r="H17" s="150">
        <f>1</f>
        <v>1</v>
      </c>
      <c r="I17" s="15">
        <f>Table_Input_Fuel[[#This Row],[Amount purchased]]*Table_Input_Fuel[[#This Row],[Percent consumed]]*IF(Table_Input_Fuel[[#This Row],[Amount unit]]="L", 10^-3, 1)</f>
        <v>100</v>
      </c>
      <c r="J17" s="15" t="str" cm="1">
        <f t="array" ref="J17">Common_InputFunctions.Utility_LookupValueInTable(Table_Input_Fuel[[#This Row],[Fuel type (select)]],Table_FuelTypes_Units[Fuel type], Table_FuelTypes_Units[Unit])</f>
        <v>GJ</v>
      </c>
    </row>
    <row r="18" spans="1:10" ht="20.100000000000001" customHeight="1" x14ac:dyDescent="0.2">
      <c r="A18" s="5" t="str">
        <f>HYPERLINK("#'Input - Freight'!A1", "Freight")</f>
        <v>Freight</v>
      </c>
      <c r="D18" s="13" t="s">
        <v>599</v>
      </c>
      <c r="E18" s="13" t="s">
        <v>601</v>
      </c>
      <c r="F18" s="149">
        <v>10000</v>
      </c>
      <c r="G18" s="15" t="str" cm="1">
        <f t="array" ref="G18">Common_InputFunctions.Utility_LookupValueInTable(Table_Input_Fuel[[#This Row],[Fuel type (select)]],Table_FuelTypes_Units[Fuel type], Table_FuelTypes_Units[Input Unit])</f>
        <v>L</v>
      </c>
      <c r="H18" s="151">
        <f>1</f>
        <v>1</v>
      </c>
      <c r="I18" s="15">
        <f>Table_Input_Fuel[[#This Row],[Amount purchased]]*Table_Input_Fuel[[#This Row],[Percent consumed]]*IF(Table_Input_Fuel[[#This Row],[Amount unit]]="L", 10^-3, 1)</f>
        <v>10</v>
      </c>
      <c r="J18" s="15" t="str" cm="1">
        <f t="array" ref="J18">Common_InputFunctions.Utility_LookupValueInTable(Table_Input_Fuel[[#This Row],[Fuel type (select)]],Table_FuelTypes_Units[Fuel type], Table_FuelTypes_Units[Unit])</f>
        <v>kL</v>
      </c>
    </row>
    <row r="19" spans="1:10" ht="20.100000000000001" customHeight="1" x14ac:dyDescent="0.2">
      <c r="A19" s="5" t="str">
        <f>HYPERLINK("#'Input - Solid waste'!A1", "Solid waste")</f>
        <v>Solid waste</v>
      </c>
      <c r="D19" s="13" t="s">
        <v>602</v>
      </c>
      <c r="E19" s="13" t="s">
        <v>603</v>
      </c>
      <c r="F19" s="149">
        <v>10000</v>
      </c>
      <c r="G19" s="15" t="str" cm="1">
        <f t="array" ref="G19">Common_InputFunctions.Utility_LookupValueInTable(Table_Input_Fuel[[#This Row],[Fuel type (select)]],Table_FuelTypes_Units[Fuel type], Table_FuelTypes_Units[Input Unit])</f>
        <v>L</v>
      </c>
      <c r="H19" s="151">
        <f>1</f>
        <v>1</v>
      </c>
      <c r="I19" s="15">
        <f>Table_Input_Fuel[[#This Row],[Amount purchased]]*Table_Input_Fuel[[#This Row],[Percent consumed]]*IF(Table_Input_Fuel[[#This Row],[Amount unit]]="L", 10^-3, 1)</f>
        <v>10</v>
      </c>
      <c r="J19" s="15" t="str" cm="1">
        <f t="array" ref="J19">Common_InputFunctions.Utility_LookupValueInTable(Table_Input_Fuel[[#This Row],[Fuel type (select)]],Table_FuelTypes_Units[Fuel type], Table_FuelTypes_Units[Unit])</f>
        <v>kL</v>
      </c>
    </row>
    <row r="20" spans="1:10" ht="20.100000000000001" customHeight="1" x14ac:dyDescent="0.2">
      <c r="A20" s="5" t="str">
        <f>HYPERLINK("#'Input - Manure sent off-site'!A1", "Manure sent off-site")</f>
        <v>Manure sent off-site</v>
      </c>
      <c r="D20" s="13" t="s">
        <v>604</v>
      </c>
      <c r="E20" s="13" t="s">
        <v>603</v>
      </c>
      <c r="F20" s="149">
        <v>10000</v>
      </c>
      <c r="G20" s="15" t="str" cm="1">
        <f t="array" ref="G20">Common_InputFunctions.Utility_LookupValueInTable(Table_Input_Fuel[[#This Row],[Fuel type (select)]],Table_FuelTypes_Units[Fuel type], Table_FuelTypes_Units[Input Unit])</f>
        <v>L</v>
      </c>
      <c r="H20" s="151">
        <f>1</f>
        <v>1</v>
      </c>
      <c r="I20" s="15">
        <f>Table_Input_Fuel[[#This Row],[Amount purchased]]*Table_Input_Fuel[[#This Row],[Percent consumed]]*IF(Table_Input_Fuel[[#This Row],[Amount unit]]="L", 10^-3, 1)</f>
        <v>10</v>
      </c>
      <c r="J20" s="15" t="str" cm="1">
        <f t="array" ref="J20">Common_InputFunctions.Utility_LookupValueInTable(Table_Input_Fuel[[#This Row],[Fuel type (select)]],Table_FuelTypes_Units[Fuel type], Table_FuelTypes_Units[Unit])</f>
        <v>kL</v>
      </c>
    </row>
    <row r="21" spans="1:10" ht="20.100000000000001" customHeight="1" x14ac:dyDescent="0.2">
      <c r="A21" s="5" t="str">
        <f>HYPERLINK("#'Input - Data quality'!A1", "Data quality")</f>
        <v>Data quality</v>
      </c>
      <c r="D21" s="84" t="s">
        <v>605</v>
      </c>
      <c r="E21" s="84" t="s">
        <v>606</v>
      </c>
      <c r="F21" s="149">
        <v>10000</v>
      </c>
      <c r="G21" s="152" t="str" cm="1">
        <f t="array" ref="G21">Common_InputFunctions.Utility_LookupValueInTable(Table_Input_Fuel[[#This Row],[Fuel type (select)]],Table_FuelTypes_Units[Fuel type], Table_FuelTypes_Units[Input Unit])</f>
        <v>L</v>
      </c>
      <c r="H21" s="153">
        <f>1</f>
        <v>1</v>
      </c>
      <c r="I21" s="152">
        <f>Table_Input_Fuel[[#This Row],[Amount purchased]]*Table_Input_Fuel[[#This Row],[Percent consumed]]*IF(Table_Input_Fuel[[#This Row],[Amount unit]]="L", 10^-3, 1)</f>
        <v>10</v>
      </c>
      <c r="J21" s="15" t="str" cm="1">
        <f t="array" ref="J21">Common_InputFunctions.Utility_LookupValueInTable(Table_Input_Fuel[[#This Row],[Fuel type (select)]],Table_FuelTypes_Units[Fuel type], Table_FuelTypes_Units[Unit])</f>
        <v>kL</v>
      </c>
    </row>
    <row r="22" spans="1:10" ht="20.100000000000001" customHeight="1" x14ac:dyDescent="0.2">
      <c r="A22" s="5" t="str">
        <f>HYPERLINK("#'Input - Fert Prod System'!A1", "Fert Prod System")</f>
        <v>Fert Prod System</v>
      </c>
    </row>
    <row r="23" spans="1:10" ht="20.100000000000001" customHeight="1" x14ac:dyDescent="0.2">
      <c r="A23" s="5" t="str">
        <f>HYPERLINK("#'Input - Fertiliser'!A1", "Fertiliser")</f>
        <v>Fertiliser</v>
      </c>
    </row>
    <row r="26" spans="1:10" ht="20.100000000000001" customHeight="1" x14ac:dyDescent="0.2">
      <c r="A26" s="6" t="s">
        <v>2</v>
      </c>
    </row>
    <row r="27" spans="1:10" ht="20.100000000000001" customHeight="1" x14ac:dyDescent="0.2">
      <c r="A27" s="5" t="str">
        <f>HYPERLINK("#'4.6.1.1-2 Methane'!A1", "4.6.1.1-2 Manure Methane")</f>
        <v>4.6.1.1-2 Manure Methane</v>
      </c>
    </row>
    <row r="28" spans="1:10" ht="20.100000000000001" customHeight="1" x14ac:dyDescent="0.2">
      <c r="A28" s="5" t="str">
        <f>HYPERLINK("#'4.6.1.3-4 Direct N20'!A1", "4.6.1.3-4 Manure Direct N2O")</f>
        <v>4.6.1.3-4 Manure Direct N2O</v>
      </c>
    </row>
    <row r="29" spans="1:10" ht="20.100000000000001" customHeight="1" x14ac:dyDescent="0.2">
      <c r="A29" s="5" t="str">
        <f>HYPERLINK("#'4.6.1.5-6 Atmos Dep'!A1", "4.6.1.5-6 Manure Atmos Dep")</f>
        <v>4.6.1.5-6 Manure Atmos Dep</v>
      </c>
    </row>
    <row r="30" spans="1:10" ht="20.100000000000001" customHeight="1" x14ac:dyDescent="0.2">
      <c r="A30" s="5" t="str">
        <f>HYPERLINK("#'4.6.1.7-8 Leaching and runoff'!A1", "4.6.1.7-8 Manure Leaching and runoff")</f>
        <v>4.6.1.7-8 Manure Leaching and runoff</v>
      </c>
    </row>
    <row r="31" spans="1:10" ht="20.100000000000001" customHeight="1" x14ac:dyDescent="0.2">
      <c r="A31" s="5" t="str">
        <f>HYPERLINK("#'4.6.1.9 Manure applied to soils'!A1", "4.6.1.9 Manure applied to soils")</f>
        <v>4.6.1.9 Manure applied to soils</v>
      </c>
    </row>
    <row r="32" spans="1:10" ht="20.100000000000001" customHeight="1" x14ac:dyDescent="0.2">
      <c r="A32" s="5" t="str">
        <f>HYPERLINK("#'4.6.1.10-11 Soil direct N2O'!A1", "4.6.1.10-11 Soil direct N2O")</f>
        <v>4.6.1.10-11 Soil direct N2O</v>
      </c>
    </row>
    <row r="33" spans="1:11" ht="20.100000000000001" customHeight="1" x14ac:dyDescent="0.2">
      <c r="A33" s="5" t="str">
        <f>HYPERLINK("#'4.6.1.12-13 Soil atmos dep'!A1", "4.6.1.12-13 Soil atmos dep")</f>
        <v>4.6.1.12-13 Soil atmos dep</v>
      </c>
    </row>
    <row r="34" spans="1:11" ht="20.100000000000001" customHeight="1" x14ac:dyDescent="0.2">
      <c r="A34" s="5" t="str">
        <f>HYPERLINK("#'4.6.1.14-15 Soil leach runoff'!A1", "4.6.1.14-15 Soil leach runoff")</f>
        <v>4.6.1.14-15 Soil leach runoff</v>
      </c>
    </row>
    <row r="35" spans="1:11" ht="20.100000000000001" customHeight="1" x14ac:dyDescent="0.2">
      <c r="A35" s="5" t="str">
        <f>HYPERLINK("#'8.1.1.1-2 Transport fuel'!A1", "8.1.1.1-2 Transport fuel")</f>
        <v>8.1.1.1-2 Transport fuel</v>
      </c>
    </row>
    <row r="36" spans="1:11" ht="20.100000000000001" customHeight="1" x14ac:dyDescent="0.2">
      <c r="A36" s="5" t="str">
        <f>HYPERLINK("#'8.2.1.1-2 Stationary fuel'!A1", "8.2.1.1-2 Stationary fuel")</f>
        <v>8.2.1.1-2 Stationary fuel</v>
      </c>
    </row>
    <row r="37" spans="1:11" ht="20.100000000000001" customHeight="1" x14ac:dyDescent="0.2">
      <c r="A37" s="5" t="str">
        <f>HYPERLINK("#'10.1.1-2 Solid waste treatment'!A1", "10.1.1.1-2 Solid waste")</f>
        <v>10.1.1.1-2 Solid waste</v>
      </c>
    </row>
    <row r="38" spans="1:11" ht="20.100000000000001" customHeight="1" x14ac:dyDescent="0.2">
      <c r="A38" s="5" t="str">
        <f>HYPERLINK("#'14.1.1-2 Purchased electricity'!A1", "14.1.1-2 Purchased electricity")</f>
        <v>14.1.1-2 Purchased electricity</v>
      </c>
      <c r="C38" s="142"/>
      <c r="K38" s="142"/>
    </row>
    <row r="39" spans="1:11" ht="20.100000000000001" customHeight="1" x14ac:dyDescent="0.2">
      <c r="A39" s="5" t="str">
        <f>HYPERLINK("#'15 Scope 3'!A1", "15 Scope 3")</f>
        <v>15 Scope 3</v>
      </c>
      <c r="C39" s="142"/>
      <c r="K39" s="142"/>
    </row>
    <row r="40" spans="1:11" s="140" customFormat="1" ht="20.100000000000001" customHeight="1" x14ac:dyDescent="0.2">
      <c r="A40" s="5" t="str">
        <f>HYPERLINK("#'Calcs - Manure sent off-site'!A1", "Calcs - Manure sent off-site")</f>
        <v>Calcs - Manure sent off-site</v>
      </c>
      <c r="C40" s="1"/>
      <c r="D40" s="1"/>
      <c r="E40" s="1"/>
      <c r="F40" s="1"/>
      <c r="G40" s="1"/>
      <c r="H40" s="1"/>
      <c r="I40" s="1"/>
      <c r="J40" s="1"/>
      <c r="K40" s="1"/>
    </row>
    <row r="41" spans="1:11" s="140" customFormat="1" ht="20.100000000000001" customHeight="1" x14ac:dyDescent="0.2">
      <c r="A41" s="5" t="str">
        <f>HYPERLINK("#'5.1.1.1-2 Inorganic fert N2O'!A1", "5.1.1.1-2 Inorganic fert N2O")</f>
        <v>5.1.1.1-2 Inorganic fert N2O</v>
      </c>
      <c r="C41" s="1"/>
      <c r="D41" s="1"/>
      <c r="E41" s="1"/>
      <c r="F41" s="1"/>
      <c r="G41" s="1"/>
      <c r="H41" s="1"/>
      <c r="I41" s="1"/>
      <c r="J41" s="1"/>
      <c r="K41" s="1"/>
    </row>
    <row r="42" spans="1:11" ht="20.100000000000001" customHeight="1" x14ac:dyDescent="0.2">
      <c r="A42" s="5" t="str">
        <f>HYPERLINK("#'5.1.1.3-4 Inorganic fert CO2'!A1", "5.1.1.3-4 Inorganic fert CO2")</f>
        <v>5.1.1.3-4 Inorganic fert CO2</v>
      </c>
    </row>
    <row r="43" spans="1:11" ht="20.100000000000001" customHeight="1" x14ac:dyDescent="0.2">
      <c r="A43" s="5" t="str">
        <f>HYPERLINK("#'5.2.1.1-2 Organic Fert N2O'!A1", "5.2.1.1-2 Organic Fert N2O")</f>
        <v>5.2.1.1-2 Organic Fert N2O</v>
      </c>
    </row>
    <row r="44" spans="1:11" ht="20.100000000000001" customHeight="1" x14ac:dyDescent="0.2">
      <c r="A44" s="5" t="str">
        <f>HYPERLINK("#'5.3.1.1-2 Lime CO2'!A1", "5.3.1.1-2 Lime CO2")</f>
        <v>5.3.1.1-2 Lime CO2</v>
      </c>
    </row>
    <row r="45" spans="1:11" ht="20.100000000000001" customHeight="1" x14ac:dyDescent="0.2">
      <c r="A45" s="5" t="str">
        <f>HYPERLINK("#'5.4.1.1-4 Atmos deposition'!A1", "5.4.1.1-4 Atmos deposition")</f>
        <v>5.4.1.1-4 Atmos deposition</v>
      </c>
    </row>
    <row r="46" spans="1: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346" spans="4:4" ht="20.100000000000001" customHeight="1" x14ac:dyDescent="0.2">
      <c r="D346" s="87"/>
    </row>
  </sheetData>
  <conditionalFormatting sqref="F32">
    <cfRule type="cellIs" dxfId="77" priority="9" operator="lessThan">
      <formula>0</formula>
    </cfRule>
  </conditionalFormatting>
  <conditionalFormatting sqref="F111:F112">
    <cfRule type="cellIs" dxfId="76" priority="8" operator="lessThan">
      <formula>0</formula>
    </cfRule>
  </conditionalFormatting>
  <conditionalFormatting sqref="F123:F124">
    <cfRule type="cellIs" dxfId="75" priority="7" operator="lessThan">
      <formula>0</formula>
    </cfRule>
  </conditionalFormatting>
  <conditionalFormatting sqref="F135:F136">
    <cfRule type="cellIs" dxfId="74" priority="6" operator="lessThan">
      <formula>0</formula>
    </cfRule>
  </conditionalFormatting>
  <conditionalFormatting sqref="F147:F148">
    <cfRule type="cellIs" dxfId="73" priority="5" operator="lessThan">
      <formula>0</formula>
    </cfRule>
  </conditionalFormatting>
  <conditionalFormatting sqref="F235:F236">
    <cfRule type="cellIs" dxfId="72" priority="17" operator="lessThan">
      <formula>0</formula>
    </cfRule>
  </conditionalFormatting>
  <conditionalFormatting sqref="F240:F241">
    <cfRule type="cellIs" dxfId="71" priority="16" operator="lessThan">
      <formula>0</formula>
    </cfRule>
  </conditionalFormatting>
  <conditionalFormatting sqref="F245:F246">
    <cfRule type="cellIs" dxfId="70" priority="15" operator="lessThan">
      <formula>0</formula>
    </cfRule>
  </conditionalFormatting>
  <conditionalFormatting sqref="F269:F270">
    <cfRule type="cellIs" dxfId="69" priority="14" operator="lessThan">
      <formula>0</formula>
    </cfRule>
  </conditionalFormatting>
  <conditionalFormatting sqref="F274:F275">
    <cfRule type="cellIs" dxfId="68" priority="13" operator="lessThan">
      <formula>0</formula>
    </cfRule>
  </conditionalFormatting>
  <conditionalFormatting sqref="F279:F280">
    <cfRule type="cellIs" dxfId="67" priority="12" operator="lessThan">
      <formula>0</formula>
    </cfRule>
  </conditionalFormatting>
  <conditionalFormatting sqref="I26:J27 H28:H30 I31:J31 I33:J35 I37:J38 I189:J189 E195:G195 I195:J195">
    <cfRule type="cellIs" dxfId="66" priority="11" operator="lessThan">
      <formula>0</formula>
    </cfRule>
  </conditionalFormatting>
  <conditionalFormatting sqref="I42:J46">
    <cfRule type="cellIs" dxfId="65" priority="4" operator="lessThan">
      <formula>0</formula>
    </cfRule>
  </conditionalFormatting>
  <conditionalFormatting sqref="I50:J50 I109:J109">
    <cfRule type="cellIs" dxfId="64" priority="10" operator="lessThan">
      <formula>0</formula>
    </cfRule>
  </conditionalFormatting>
  <conditionalFormatting sqref="I61:J63">
    <cfRule type="cellIs" dxfId="63" priority="3" operator="lessThan">
      <formula>0</formula>
    </cfRule>
  </conditionalFormatting>
  <conditionalFormatting sqref="I67:J70">
    <cfRule type="cellIs" dxfId="62" priority="2" operator="lessThan">
      <formula>0</formula>
    </cfRule>
  </conditionalFormatting>
  <conditionalFormatting sqref="I74:J78">
    <cfRule type="cellIs" dxfId="61" priority="1" operator="lessThan">
      <formula>0</formula>
    </cfRule>
  </conditionalFormatting>
  <dataValidations count="9">
    <dataValidation type="list" allowBlank="1" showInputMessage="1" showErrorMessage="1" sqref="E17:E21" xr:uid="{CEE0CDD6-645D-42A8-B53E-73F9F5319A71}">
      <formula1>_xlfn.TRIMRANGE(INDIRECT("Table_FuelTypesPerUse["&amp;D17&amp;"]"))</formula1>
    </dataValidation>
    <dataValidation type="list" allowBlank="1" showInputMessage="1" showErrorMessage="1" sqref="D17:D21" xr:uid="{EDF239C2-12CC-4CAD-82BB-ECDE95CD1A31}">
      <formula1>INDIRECT("Table_FuelTypesPerUse[#Headers]")</formula1>
    </dataValidation>
    <dataValidation type="list" allowBlank="1" showInputMessage="1" showErrorMessage="1" sqref="E11" xr:uid="{62C8EFC2-23EB-4938-ACD8-FA8FD9CF73C6}">
      <formula1>"Metro, Non-metro"</formula1>
    </dataValidation>
    <dataValidation type="list" allowBlank="1" showInputMessage="1" showErrorMessage="1" sqref="D29:D30" xr:uid="{A739ED1E-6D66-4DFD-B88A-B89BA7CD75BD}">
      <formula1>INDIRECT("Table_SourceData_OrganicFertiliserTypes[Organic fertiliser type]")</formula1>
    </dataValidation>
    <dataValidation type="list" allowBlank="1" showInputMessage="1" showErrorMessage="1" sqref="E49" xr:uid="{A46EB160-88A0-43D2-9C66-BCF3D8C89B11}">
      <formula1>INDIRECT("Table_SourceData_Swine_CropProdSystems[Production system]")</formula1>
    </dataValidation>
    <dataValidation type="list" allowBlank="1" showInputMessage="1" showErrorMessage="1" sqref="E50" xr:uid="{EDD2A58F-ECA2-4263-9A74-F7B9DB216A49}">
      <formula1>INDIRECT("Table_SourceData_Swine_IrrigationMethods[Irrigation method]")</formula1>
    </dataValidation>
    <dataValidation type="list" allowBlank="1" showInputMessage="1" showErrorMessage="1" sqref="E234 E239 E244 E278 E273 E268 E146 E134 E110 E122" xr:uid="{F7FC4817-430C-4589-8C1E-BA21714DB978}">
      <formula1>"Yes, No"</formula1>
    </dataValidation>
    <dataValidation type="list" allowBlank="1" showInputMessage="1" showErrorMessage="1" sqref="E210" xr:uid="{51AA4B25-0B56-463E-8385-81F6CE52DF6F}">
      <formula1>INDIRECT("Table_SourceData_Dairy_ProductionSystemTemplates[Area]")</formula1>
    </dataValidation>
    <dataValidation type="list" allowBlank="1" showInputMessage="1" showErrorMessage="1" sqref="D262" xr:uid="{3F97C871-84AC-4A5C-BFB9-39234FD08A6D}">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F2510B-057E-49F4-8B42-579655062673}">
  <sheetPr>
    <tabColor theme="5" tint="-0.249977111117893"/>
  </sheetPr>
  <dimension ref="A1:L365"/>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538</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1" t="s">
        <v>539</v>
      </c>
      <c r="E5" s="13" t="s">
        <v>540</v>
      </c>
      <c r="F5" s="16" t="s">
        <v>100</v>
      </c>
    </row>
    <row r="6" spans="1:10" ht="20.100000000000001" customHeight="1" x14ac:dyDescent="0.2">
      <c r="E6" s="87" t="str">
        <f>IF(X_Cell_Electricity_CalculationMethod="Location-based (simpler)", "Complete the fields in the Location-based section", "Complete the fields in the Market-based section")</f>
        <v>Complete the fields in the Location-based section</v>
      </c>
    </row>
    <row r="8" spans="1:10" ht="20.100000000000001" customHeight="1" x14ac:dyDescent="0.2">
      <c r="A8" s="7" t="s">
        <v>0</v>
      </c>
      <c r="C8" s="83"/>
      <c r="D8" s="83"/>
      <c r="E8" s="83"/>
      <c r="F8" s="83"/>
      <c r="G8" s="83"/>
      <c r="H8" s="83"/>
      <c r="I8" s="83"/>
      <c r="J8" s="83"/>
    </row>
    <row r="9" spans="1:10" ht="20.100000000000001" customHeight="1" x14ac:dyDescent="0.2">
      <c r="A9" s="5" t="str">
        <f>HYPERLINK("#'Input - Enterprise'!A1", "Enterprise")</f>
        <v>Enterprise</v>
      </c>
      <c r="D9" s="2" t="s">
        <v>541</v>
      </c>
    </row>
    <row r="10" spans="1:10" ht="20.100000000000001" customHeight="1" x14ac:dyDescent="0.2">
      <c r="A10" s="5" t="str">
        <f>HYPERLINK("#'Input - Site'!A1", "Site")</f>
        <v>Site</v>
      </c>
    </row>
    <row r="11" spans="1:10" ht="20.100000000000001" customHeight="1" x14ac:dyDescent="0.2">
      <c r="A11" s="5" t="str">
        <f>HYPERLINK("#'Input - Poultry'!A1", "Poultry")</f>
        <v>Poultry</v>
      </c>
      <c r="D11" s="77" t="s">
        <v>542</v>
      </c>
    </row>
    <row r="12" spans="1:10" ht="20.100000000000001" customHeight="1" x14ac:dyDescent="0.2">
      <c r="A12" s="5" t="str">
        <f>HYPERLINK("#'Input - Livestock sales'!A1", "Livestock sales")</f>
        <v>Livestock sales</v>
      </c>
    </row>
    <row r="13" spans="1:10" ht="20.100000000000001" customHeight="1" x14ac:dyDescent="0.2">
      <c r="A13" s="5" t="str">
        <f>HYPERLINK("#'Input - Poultry purchases'!A1", "Poultry purchases")</f>
        <v>Poultry purchases</v>
      </c>
      <c r="D13" s="35" t="s">
        <v>543</v>
      </c>
      <c r="E13" s="38"/>
      <c r="F13" s="8"/>
    </row>
    <row r="14" spans="1:10" ht="20.100000000000001" customHeight="1" x14ac:dyDescent="0.2">
      <c r="A14" s="5" t="str">
        <f>HYPERLINK("#'Input - Fuel'!A1", "Fuel")</f>
        <v>Fuel</v>
      </c>
      <c r="D14" s="8"/>
      <c r="E14" s="8"/>
      <c r="F14" s="8"/>
    </row>
    <row r="15" spans="1:10" ht="20.100000000000001" customHeight="1" x14ac:dyDescent="0.2">
      <c r="A15" s="100" t="str">
        <f>HYPERLINK("#'Input - Electricity'!A1", "Electricity")</f>
        <v>Electricity</v>
      </c>
      <c r="D15" s="1" t="s">
        <v>544</v>
      </c>
      <c r="E15" s="138">
        <v>30000</v>
      </c>
      <c r="F15" s="16" t="s">
        <v>545</v>
      </c>
    </row>
    <row r="16" spans="1:10" ht="20.100000000000001" customHeight="1" x14ac:dyDescent="0.2">
      <c r="A16" s="5" t="str">
        <f>HYPERLINK("#'Input - Common farm inputs'!A1", "Common farm inputs")</f>
        <v>Common farm inputs</v>
      </c>
      <c r="D16" s="1" t="s">
        <v>546</v>
      </c>
      <c r="E16" s="15" t="str">
        <f>IF(X_Cell_Site_State="Western Australia", X_Cell_Site_Region, X_Cell_Site_State)</f>
        <v>Dry climate zone</v>
      </c>
      <c r="F16" s="8"/>
    </row>
    <row r="17" spans="1:11" ht="20.100000000000001" customHeight="1" x14ac:dyDescent="0.2">
      <c r="A17" s="5" t="str">
        <f>HYPERLINK("#'Input - Livestock farm Inputs'!A1", "Livestock farm Inputs")</f>
        <v>Livestock farm Inputs</v>
      </c>
      <c r="D17" s="1" t="s">
        <v>547</v>
      </c>
      <c r="E17" s="13" t="s">
        <v>548</v>
      </c>
      <c r="F17" s="16" t="s">
        <v>100</v>
      </c>
    </row>
    <row r="18" spans="1:11" ht="20.100000000000001" customHeight="1" x14ac:dyDescent="0.2">
      <c r="A18" s="5" t="str">
        <f>HYPERLINK("#'Input - Freight'!A1", "Freight")</f>
        <v>Freight</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c r="C20" s="83"/>
      <c r="D20" s="83"/>
      <c r="E20" s="83"/>
      <c r="F20" s="83"/>
      <c r="G20" s="83"/>
      <c r="H20" s="83"/>
      <c r="I20" s="83"/>
      <c r="J20" s="83"/>
    </row>
    <row r="21" spans="1:11" ht="20.100000000000001" customHeight="1" x14ac:dyDescent="0.2">
      <c r="A21" s="5" t="str">
        <f>HYPERLINK("#'Input - Data quality'!A1", "Data quality")</f>
        <v>Data quality</v>
      </c>
      <c r="D21" s="2" t="s">
        <v>549</v>
      </c>
    </row>
    <row r="22" spans="1:11" ht="20.100000000000001" customHeight="1" x14ac:dyDescent="0.2">
      <c r="A22" s="5" t="str">
        <f>HYPERLINK("#'Input - Fert Prod System'!A1", "Fert Prod System")</f>
        <v>Fert Prod System</v>
      </c>
      <c r="E22" s="87" t="str">
        <f>IF(E16="ACT", "", "ALERT: Your farm is not in the ACT, so the JRPP is not applicable")</f>
        <v>ALERT: Your farm is not in the ACT, so the JRPP is not applicable</v>
      </c>
    </row>
    <row r="23" spans="1:11" ht="20.100000000000001" customHeight="1" x14ac:dyDescent="0.2">
      <c r="A23" s="5" t="str">
        <f>HYPERLINK("#'Input - Fertiliser'!A1", "Fertiliser")</f>
        <v>Fertiliser</v>
      </c>
      <c r="D23" s="1" t="s">
        <v>550</v>
      </c>
      <c r="E23" s="138">
        <v>30000</v>
      </c>
      <c r="F23" s="16" t="s">
        <v>545</v>
      </c>
    </row>
    <row r="24" spans="1:11" ht="20.100000000000001" customHeight="1" x14ac:dyDescent="0.2">
      <c r="D24" s="1" t="s">
        <v>551</v>
      </c>
      <c r="E24" s="18">
        <v>0.1</v>
      </c>
      <c r="F24" s="16" t="s">
        <v>140</v>
      </c>
    </row>
    <row r="25" spans="1:11" ht="20.100000000000001" customHeight="1" x14ac:dyDescent="0.2">
      <c r="D25" s="1" t="s">
        <v>552</v>
      </c>
      <c r="E25" s="18">
        <v>0.1</v>
      </c>
      <c r="F25" s="16" t="s">
        <v>140</v>
      </c>
    </row>
    <row r="26" spans="1:11" ht="20.100000000000001" customHeight="1" x14ac:dyDescent="0.2">
      <c r="A26" s="6" t="s">
        <v>2</v>
      </c>
    </row>
    <row r="27" spans="1:11" ht="20.100000000000001" customHeight="1" x14ac:dyDescent="0.2">
      <c r="A27" s="5" t="str">
        <f>HYPERLINK("#'4.6.1.1-2 Methane'!A1", "4.6.1.1-2 Manure Methane")</f>
        <v>4.6.1.1-2 Manure Methane</v>
      </c>
      <c r="D27" s="1" t="s">
        <v>553</v>
      </c>
      <c r="E27" s="138">
        <v>10000</v>
      </c>
      <c r="F27" s="16" t="s">
        <v>545</v>
      </c>
    </row>
    <row r="28" spans="1:11" ht="20.100000000000001" customHeight="1" x14ac:dyDescent="0.2">
      <c r="A28" s="5" t="str">
        <f>HYPERLINK("#'4.6.1.3-4 Direct N20'!A1", "4.6.1.3-4 Manure Direct N2O")</f>
        <v>4.6.1.3-4 Manure Direct N2O</v>
      </c>
    </row>
    <row r="29" spans="1:11" ht="20.100000000000001" customHeight="1" x14ac:dyDescent="0.2">
      <c r="A29" s="5" t="str">
        <f>HYPERLINK("#'4.6.1.5-6 Atmos Dep'!A1", "4.6.1.5-6 Manure Atmos Dep")</f>
        <v>4.6.1.5-6 Manure Atmos Dep</v>
      </c>
      <c r="D29" s="1" t="s">
        <v>554</v>
      </c>
      <c r="E29" s="139" t="str">
        <f>TEXT(X_Cell_Site_StartDate, "dd mmm yyyy")</f>
        <v>NO - Not in leaching zone</v>
      </c>
      <c r="K29" s="140"/>
    </row>
    <row r="30" spans="1:11" ht="20.100000000000001" customHeight="1" x14ac:dyDescent="0.2">
      <c r="A30" s="5" t="str">
        <f>HYPERLINK("#'4.6.1.7-8 Leaching and runoff'!A1", "4.6.1.7-8 Manure Leaching and runoff")</f>
        <v>4.6.1.7-8 Manure Leaching and runoff</v>
      </c>
      <c r="D30" s="1" t="s">
        <v>555</v>
      </c>
      <c r="E30" s="139" t="str">
        <f>TEXT(X_Cell_Site_EndDate, "dd mmm yyyy")</f>
        <v>02 Nov 1900</v>
      </c>
      <c r="K30" s="140"/>
    </row>
    <row r="31" spans="1:11" ht="20.100000000000001" customHeight="1" x14ac:dyDescent="0.2">
      <c r="A31" s="5" t="str">
        <f>HYPERLINK("#'4.6.1.9 Manure applied to soils'!A1", "4.6.1.9 Manure applied to soils")</f>
        <v>4.6.1.9 Manure applied to soils</v>
      </c>
      <c r="K31" s="140"/>
    </row>
    <row r="32" spans="1:11" ht="20.100000000000001" customHeight="1" x14ac:dyDescent="0.2">
      <c r="A32" s="5" t="str">
        <f>HYPERLINK("#'4.6.1.10-11 Soil direct N2O'!A1", "4.6.1.10-11 Soil direct N2O")</f>
        <v>4.6.1.10-11 Soil direct N2O</v>
      </c>
      <c r="D32" s="77" t="s">
        <v>556</v>
      </c>
      <c r="K32" s="140"/>
    </row>
    <row r="33" spans="1:12" ht="20.100000000000001" customHeight="1" x14ac:dyDescent="0.2">
      <c r="A33" s="5" t="str">
        <f>HYPERLINK("#'4.6.1.12-13 Soil atmos dep'!A1", "4.6.1.12-13 Soil atmos dep")</f>
        <v>4.6.1.12-13 Soil atmos dep</v>
      </c>
      <c r="K33" s="140"/>
    </row>
    <row r="34" spans="1:12" ht="20.100000000000001" customHeight="1" x14ac:dyDescent="0.2">
      <c r="A34" s="5" t="str">
        <f>HYPERLINK("#'4.6.1.14-15 Soil leach runoff'!A1", "4.6.1.14-15 Soil leach runoff")</f>
        <v>4.6.1.14-15 Soil leach runoff</v>
      </c>
      <c r="D34" s="35" t="s">
        <v>557</v>
      </c>
      <c r="E34" s="38"/>
      <c r="K34" s="140"/>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c r="D36" s="78" t="s">
        <v>156</v>
      </c>
      <c r="E36" s="78" t="s">
        <v>558</v>
      </c>
      <c r="F36" s="78" t="s">
        <v>559</v>
      </c>
      <c r="G36" s="78" t="s">
        <v>560</v>
      </c>
      <c r="H36" s="78" t="s">
        <v>561</v>
      </c>
      <c r="I36" s="78" t="s">
        <v>562</v>
      </c>
      <c r="L36" s="140"/>
    </row>
    <row r="37" spans="1:12" ht="20.100000000000001" customHeight="1" x14ac:dyDescent="0.2">
      <c r="A37" s="5" t="str">
        <f>HYPERLINK("#'10.1.1-2 Solid waste treatment'!A1", "10.1.1.1-2 Solid waste")</f>
        <v>10.1.1.1-2 Solid waste</v>
      </c>
      <c r="D37" s="19" t="s">
        <v>563</v>
      </c>
      <c r="E37" s="13" t="s">
        <v>564</v>
      </c>
      <c r="F37" s="141">
        <v>44185</v>
      </c>
      <c r="G37" s="19">
        <v>12</v>
      </c>
      <c r="H37" s="15">
        <f>Table_Input_RECSurrendered[[#This Row],[Number of certificates]]</f>
        <v>12</v>
      </c>
      <c r="I37" s="15" t="e">
        <f>IF(DATEDIF(Table_Input_RECSurrendered[[#This Row],[Generation date]],DATEVALUE($E$30),"M")&gt;36,"Ineligible - older than 36 months","Elegible")</f>
        <v>#NUM!</v>
      </c>
      <c r="L37" s="140"/>
    </row>
    <row r="38" spans="1:12" ht="20.100000000000001" customHeight="1" x14ac:dyDescent="0.2">
      <c r="A38" s="5" t="str">
        <f>HYPERLINK("#'14.1.1-2 Purchased electricity'!A1", "14.1.1-2 Purchased electricity")</f>
        <v>14.1.1-2 Purchased electricity</v>
      </c>
      <c r="D38" s="19" t="s">
        <v>565</v>
      </c>
      <c r="E38" s="13" t="s">
        <v>566</v>
      </c>
      <c r="F38" s="141">
        <v>44575</v>
      </c>
      <c r="G38" s="19">
        <v>5</v>
      </c>
      <c r="H38" s="15">
        <f>Table_Input_RECSurrendered[[#This Row],[Number of certificates]]</f>
        <v>5</v>
      </c>
      <c r="I38" s="15" t="e">
        <f>IF(DATEDIF(Table_Input_RECSurrendered[[#This Row],[Generation date]],DATEVALUE($E$30),"M")&gt;36,"Ineligible - older than 36 months","Elegible")</f>
        <v>#NUM!</v>
      </c>
    </row>
    <row r="39" spans="1:12" ht="20.100000000000001" customHeight="1" x14ac:dyDescent="0.2">
      <c r="A39" s="5" t="str">
        <f>HYPERLINK("#'15 Scope 3'!A1", "15 Scope 3")</f>
        <v>15 Scope 3</v>
      </c>
      <c r="D39" s="19" t="s">
        <v>567</v>
      </c>
      <c r="E39" s="13" t="s">
        <v>564</v>
      </c>
      <c r="F39" s="141">
        <v>45438</v>
      </c>
      <c r="G39" s="19">
        <v>5</v>
      </c>
      <c r="H39" s="15">
        <f>Table_Input_RECSurrendered[[#This Row],[Number of certificates]]</f>
        <v>5</v>
      </c>
      <c r="I39" s="15" t="e">
        <f>IF(DATEDIF(Table_Input_RECSurrendered[[#This Row],[Generation date]],DATEVALUE($E$30),"M")&gt;36,"Ineligible - older than 36 months","Elegible")</f>
        <v>#NUM!</v>
      </c>
    </row>
    <row r="40" spans="1:12" s="140" customFormat="1" ht="20.100000000000001" customHeight="1" x14ac:dyDescent="0.2">
      <c r="A40" s="5" t="str">
        <f>HYPERLINK("#'Calcs - Manure sent off-site'!A1", "Calcs - Manure sent off-site")</f>
        <v>Calcs - Manure sent off-site</v>
      </c>
      <c r="C40" s="1"/>
      <c r="D40" s="1"/>
      <c r="E40" s="1"/>
      <c r="F40" s="1"/>
      <c r="G40" s="1"/>
      <c r="H40" s="1"/>
      <c r="I40" s="1"/>
      <c r="J40" s="1"/>
    </row>
    <row r="41" spans="1:12" s="140" customFormat="1" ht="20.100000000000001" customHeight="1" x14ac:dyDescent="0.2">
      <c r="A41" s="5" t="str">
        <f>HYPERLINK("#'5.1.1.1-2 Inorganic fert N2O'!A1", "5.1.1.1-2 Inorganic fert N2O")</f>
        <v>5.1.1.1-2 Inorganic fert N2O</v>
      </c>
      <c r="C41" s="1"/>
      <c r="D41" s="1" t="s">
        <v>568</v>
      </c>
      <c r="E41" s="15">
        <f>SUMIF(Table_Input_RECSurrendered[Elegibility], "Elegible", Table_Input_RECSurrendered[MWh])</f>
        <v>0</v>
      </c>
      <c r="F41" s="16" t="s">
        <v>561</v>
      </c>
      <c r="G41" s="1"/>
      <c r="H41" s="1"/>
      <c r="I41" s="1"/>
      <c r="J41" s="1"/>
      <c r="L41" s="140" t="s">
        <v>313</v>
      </c>
    </row>
    <row r="42" spans="1:12" ht="20.100000000000001" customHeight="1" x14ac:dyDescent="0.2">
      <c r="A42" s="5" t="str">
        <f>HYPERLINK("#'5.1.1.3-4 Inorganic fert CO2'!A1", "5.1.1.3-4 Inorganic fert CO2")</f>
        <v>5.1.1.3-4 Inorganic fert CO2</v>
      </c>
      <c r="C42" s="142"/>
    </row>
    <row r="43" spans="1:12" ht="20.100000000000001" customHeight="1" x14ac:dyDescent="0.2">
      <c r="A43" s="5" t="str">
        <f>HYPERLINK("#'5.2.1.1-2 Organic Fert N2O'!A1", "5.2.1.1-2 Organic Fert N2O")</f>
        <v>5.2.1.1-2 Organic Fert N2O</v>
      </c>
      <c r="C43" s="142"/>
      <c r="D43" s="77" t="s">
        <v>569</v>
      </c>
      <c r="J43" s="142"/>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c r="D45" s="78" t="s">
        <v>156</v>
      </c>
      <c r="E45" s="78" t="s">
        <v>570</v>
      </c>
      <c r="F45" s="78" t="s">
        <v>559</v>
      </c>
      <c r="G45" s="78" t="s">
        <v>560</v>
      </c>
      <c r="H45" s="78" t="s">
        <v>561</v>
      </c>
      <c r="I45" s="78" t="s">
        <v>562</v>
      </c>
    </row>
    <row r="46" spans="1:12" ht="20.100000000000001" customHeight="1" x14ac:dyDescent="0.2">
      <c r="A46" s="5" t="str">
        <f>HYPERLINK("#'5.5.1.1-2 Leaching and runoff'!A1", "5.5.1.1-2 Leaching and runoff")</f>
        <v>5.5.1.1-2 Leaching and runoff</v>
      </c>
      <c r="D46" s="19" t="s">
        <v>571</v>
      </c>
      <c r="E46" s="143" t="str">
        <f>"Issued for generated electricity"</f>
        <v>Issued for generated electricity</v>
      </c>
      <c r="F46" s="141">
        <v>44697</v>
      </c>
      <c r="G46" s="19">
        <v>10</v>
      </c>
      <c r="H46" s="15">
        <f>Table_Input_RECConsumedByEntity[[#This Row],[Number of certificates]]</f>
        <v>10</v>
      </c>
      <c r="I46" s="15" t="e">
        <f>IF(AND(Table_Input_RECConsumedByEntity[[#This Row],[Generation date]]&gt;=DATEVALUE($E$29), Table_Input_RECConsumedByEntity[[#This Row],[Generation date]]&lt;= DATEVALUE($E$30)), "Elegible", "Ineligible - outside reporting year")</f>
        <v>#VALUE!</v>
      </c>
    </row>
    <row r="47" spans="1:12" ht="20.100000000000001" customHeight="1" x14ac:dyDescent="0.2">
      <c r="D47" s="19" t="s">
        <v>572</v>
      </c>
      <c r="E47" s="143" t="str">
        <f>"Issued for generated electricity"</f>
        <v>Issued for generated electricity</v>
      </c>
      <c r="F47" s="141">
        <v>45483</v>
      </c>
      <c r="G47" s="19">
        <v>4</v>
      </c>
      <c r="H47" s="15">
        <f>Table_Input_RECConsumedByEntity[[#This Row],[Number of certificates]]</f>
        <v>4</v>
      </c>
      <c r="I47" s="15" t="e">
        <f>IF(AND(Table_Input_RECConsumedByEntity[[#This Row],[Generation date]]&gt;=DATEVALUE($E$29), Table_Input_RECConsumedByEntity[[#This Row],[Generation date]]&lt;= DATEVALUE($E$30)), "Elegible", "Ineligible - outside reporting year")</f>
        <v>#VALUE!</v>
      </c>
    </row>
    <row r="48" spans="1:12" ht="20.100000000000001" customHeight="1" x14ac:dyDescent="0.2">
      <c r="D48" s="144">
        <v>45597</v>
      </c>
      <c r="E48" s="143" t="str">
        <f>"Issued for generated electricity"</f>
        <v>Issued for generated electricity</v>
      </c>
      <c r="F48" s="141">
        <v>45607</v>
      </c>
      <c r="G48" s="19">
        <v>7</v>
      </c>
      <c r="H48" s="15">
        <f>Table_Input_RECConsumedByEntity[[#This Row],[Number of certificates]]</f>
        <v>7</v>
      </c>
      <c r="I48" s="15" t="e">
        <f>IF(AND(Table_Input_RECConsumedByEntity[[#This Row],[Generation date]]&gt;=DATEVALUE($E$29), Table_Input_RECConsumedByEntity[[#This Row],[Generation date]]&lt;= DATEVALUE($E$30)), "Elegible", "Ineligible - outside reporting year")</f>
        <v>#VALUE!</v>
      </c>
    </row>
    <row r="49" spans="1:6" ht="20.100000000000001" customHeight="1" x14ac:dyDescent="0.2">
      <c r="A49" s="80" t="s">
        <v>1</v>
      </c>
    </row>
    <row r="50" spans="1:6" ht="20.100000000000001" customHeight="1" x14ac:dyDescent="0.2">
      <c r="A50" s="5" t="str">
        <f>HYPERLINK("#'Constants - Poultry'!A1", "Constants - Poultry")</f>
        <v>Constants - Poultry</v>
      </c>
      <c r="D50" s="1" t="s">
        <v>573</v>
      </c>
      <c r="E50" s="15">
        <f>SUMIF(Table_Input_RECConsumedByEntity[Elegibility], "Elegible", Table_Input_RECConsumedByEntity[Number of certificates])</f>
        <v>0</v>
      </c>
      <c r="F50" s="16" t="s">
        <v>561</v>
      </c>
    </row>
    <row r="51" spans="1:6" ht="20.100000000000001" customHeight="1" x14ac:dyDescent="0.2">
      <c r="A51" s="5" t="str">
        <f>HYPERLINK("#'Constants - Common livestock'!A1", "Constants - Common Livestock")</f>
        <v>Constants - Common Livestock</v>
      </c>
    </row>
    <row r="52" spans="1:6" ht="20.100000000000001" customHeight="1" x14ac:dyDescent="0.2">
      <c r="A52" s="5" t="str">
        <f>HYPERLINK("#'Constants - Electricity'!A1", "Constants - Electricity")</f>
        <v>Constants - Electricity</v>
      </c>
    </row>
    <row r="53" spans="1:6" ht="20.100000000000001" customHeight="1" x14ac:dyDescent="0.2">
      <c r="A53" s="5" t="str">
        <f>HYPERLINK("#'Constants - Fertiliser'!A1", "Constants - Fertiliser")</f>
        <v>Constants - Fertiliser</v>
      </c>
    </row>
    <row r="54" spans="1:6" ht="20.100000000000001" customHeight="1" x14ac:dyDescent="0.2">
      <c r="A54" s="5" t="str">
        <f>HYPERLINK("#'Constants - Fuel'!A1", "Constants - Fuel")</f>
        <v>Constants - Fuel</v>
      </c>
    </row>
    <row r="55" spans="1:6" ht="20.100000000000001" customHeight="1" x14ac:dyDescent="0.2">
      <c r="A55" s="5" t="str">
        <f>HYPERLINK("#'Constants - Scope 3'!A1", "Constants - Scope 3")</f>
        <v>Constants - Scope 3</v>
      </c>
      <c r="D55" s="145"/>
    </row>
    <row r="56" spans="1:6" ht="20.100000000000001" customHeight="1" x14ac:dyDescent="0.2">
      <c r="A56" s="5" t="str">
        <f>HYPERLINK("#'Constants - Solid Waste'!A1", "Constants - Solid Waste")</f>
        <v>Constants - Solid Waste</v>
      </c>
      <c r="D56" s="145"/>
    </row>
    <row r="57" spans="1:6" ht="20.100000000000001" customHeight="1" x14ac:dyDescent="0.2">
      <c r="A57" s="5" t="str">
        <f>HYPERLINK("#'Constants - Common'!A1", "Constants - Common")</f>
        <v>Constants - Common</v>
      </c>
    </row>
    <row r="365" spans="4:4" ht="20.100000000000001" customHeight="1" x14ac:dyDescent="0.2">
      <c r="D365" s="87"/>
    </row>
  </sheetData>
  <conditionalFormatting sqref="F130:F131">
    <cfRule type="cellIs" dxfId="60" priority="8" operator="lessThan">
      <formula>0</formula>
    </cfRule>
  </conditionalFormatting>
  <conditionalFormatting sqref="F142:F143">
    <cfRule type="cellIs" dxfId="59" priority="7" operator="lessThan">
      <formula>0</formula>
    </cfRule>
  </conditionalFormatting>
  <conditionalFormatting sqref="F154:F155">
    <cfRule type="cellIs" dxfId="58" priority="6" operator="lessThan">
      <formula>0</formula>
    </cfRule>
  </conditionalFormatting>
  <conditionalFormatting sqref="F166:F167">
    <cfRule type="cellIs" dxfId="57" priority="5" operator="lessThan">
      <formula>0</formula>
    </cfRule>
  </conditionalFormatting>
  <conditionalFormatting sqref="F254:F255">
    <cfRule type="cellIs" dxfId="56" priority="17" operator="lessThan">
      <formula>0</formula>
    </cfRule>
  </conditionalFormatting>
  <conditionalFormatting sqref="F259:F260">
    <cfRule type="cellIs" dxfId="55" priority="16" operator="lessThan">
      <formula>0</formula>
    </cfRule>
  </conditionalFormatting>
  <conditionalFormatting sqref="F264:F265">
    <cfRule type="cellIs" dxfId="54" priority="15" operator="lessThan">
      <formula>0</formula>
    </cfRule>
  </conditionalFormatting>
  <conditionalFormatting sqref="F288:F289">
    <cfRule type="cellIs" dxfId="53" priority="14" operator="lessThan">
      <formula>0</formula>
    </cfRule>
  </conditionalFormatting>
  <conditionalFormatting sqref="F293:F294">
    <cfRule type="cellIs" dxfId="52" priority="13" operator="lessThan">
      <formula>0</formula>
    </cfRule>
  </conditionalFormatting>
  <conditionalFormatting sqref="F298:F299">
    <cfRule type="cellIs" dxfId="51" priority="12" operator="lessThan">
      <formula>0</formula>
    </cfRule>
  </conditionalFormatting>
  <conditionalFormatting sqref="I59:I63">
    <cfRule type="cellIs" dxfId="50" priority="4" operator="lessThan">
      <formula>0</formula>
    </cfRule>
  </conditionalFormatting>
  <conditionalFormatting sqref="I67 I126">
    <cfRule type="cellIs" dxfId="49" priority="10" operator="lessThan">
      <formula>0</formula>
    </cfRule>
  </conditionalFormatting>
  <conditionalFormatting sqref="I78:I80">
    <cfRule type="cellIs" dxfId="48" priority="3" operator="lessThan">
      <formula>0</formula>
    </cfRule>
  </conditionalFormatting>
  <conditionalFormatting sqref="I84:I87">
    <cfRule type="cellIs" dxfId="47" priority="2" operator="lessThan">
      <formula>0</formula>
    </cfRule>
  </conditionalFormatting>
  <conditionalFormatting sqref="I91:I95">
    <cfRule type="cellIs" dxfId="46" priority="1" operator="lessThan">
      <formula>0</formula>
    </cfRule>
  </conditionalFormatting>
  <conditionalFormatting sqref="J35 I49:I50 H51:H53 I52 I54:I55 I206 I212 E214:G214">
    <cfRule type="cellIs" dxfId="45" priority="11" operator="lessThan">
      <formula>0</formula>
    </cfRule>
  </conditionalFormatting>
  <conditionalFormatting sqref="J39 I40 J41 I43">
    <cfRule type="cellIs" dxfId="44" priority="9" operator="lessThan">
      <formula>0</formula>
    </cfRule>
  </conditionalFormatting>
  <dataValidations count="7">
    <dataValidation type="list" allowBlank="1" showInputMessage="1" showErrorMessage="1" sqref="E5" xr:uid="{0D73C73E-4446-4E06-9C1F-65C5225192CD}">
      <formula1>"Location-based (simpler), Market-based (more complex)"</formula1>
    </dataValidation>
    <dataValidation type="list" allowBlank="1" showInputMessage="1" showErrorMessage="1" sqref="E37:E39" xr:uid="{6E81BBC3-5DBA-447C-98D9-6DF07E014F73}">
      <formula1>"Purchased certificate, Issued for generated electricity"</formula1>
    </dataValidation>
    <dataValidation type="list" allowBlank="1" showInputMessage="1" showErrorMessage="1" sqref="E17" xr:uid="{DCDBB97D-AD1A-42A6-B939-BCF00BEDB377}">
      <formula1>INDIRECT("Table_SourceData_ElectricityEFs[State, Territory or grid description]")</formula1>
    </dataValidation>
    <dataValidation type="list" allowBlank="1" showInputMessage="1" showErrorMessage="1" sqref="E69" xr:uid="{FF433614-E23C-443D-81A8-24017E4B3E0D}">
      <formula1>INDIRECT("Table_SourceData_Swine_IrrigationMethods[Irrigation method]")</formula1>
    </dataValidation>
    <dataValidation type="list" allowBlank="1" showInputMessage="1" showErrorMessage="1" sqref="E253 E258 E263 E297 E292 E287 E165 E153 E129 E141" xr:uid="{20794D9E-899C-4C29-A33A-D765EF126065}">
      <formula1>"Yes, No"</formula1>
    </dataValidation>
    <dataValidation type="list" allowBlank="1" showInputMessage="1" showErrorMessage="1" sqref="E229" xr:uid="{A65ED031-310F-4526-A08E-65721B07451A}">
      <formula1>INDIRECT("Table_SourceData_Dairy_ProductionSystemTemplates[Area]")</formula1>
    </dataValidation>
    <dataValidation type="list" allowBlank="1" showInputMessage="1" showErrorMessage="1" sqref="D281" xr:uid="{B8146611-5755-4CF9-8CCB-5DC166F414A8}">
      <formula1>INDIRECT("Table_SourceData_PoultryMMSStage1[MMS]")</formula1>
    </dataValidation>
  </dataValidations>
  <pageMargins left="0.7" right="0.7" top="0.75" bottom="0.75" header="0.3" footer="0.3"/>
  <pageSetup paperSize="9" orientation="portrait" r:id="rId1"/>
  <tableParts count="2">
    <tablePart r:id="rId2"/>
    <tablePart r:id="rId3"/>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C8A65-00CE-4822-816C-E1D4C5679B11}">
  <sheetPr>
    <tabColor theme="5" tint="-0.249977111117893"/>
  </sheetPr>
  <dimension ref="A1:S195"/>
  <sheetViews>
    <sheetView showGridLines="0" workbookViewId="0" zoomScale="100" zoomScaleNormal="100">
      <pane xSplit="1" topLeftCell="B1" activePane="topRight" state="frozenSplit"/>
      <selection pane="topRight" activeCell="A56" sqref="A56"/>
    </sheetView>
  </sheetViews>
  <sheetFormatPr defaultColWidth="9" defaultRowHeight="20.100000000000001" customHeight="1" x14ac:dyDescent="0.2"/>
  <cols>
    <col min="1" max="1" width="36.7109375" style="241" customWidth="1"/>
    <col min="2" max="2" width="4.140625" style="241" customWidth="1"/>
    <col min="3" max="3" width="4.140625" style="239" customWidth="1"/>
    <col min="4" max="4" width="41.28515625" style="239" customWidth="1"/>
    <col min="5" max="10" width="26.85546875" style="239" customWidth="1"/>
    <col min="11" max="18" width="30.5703125" style="1" customWidth="1"/>
    <col min="19" max="19" width="4.5703125" style="1" customWidth="1"/>
    <col min="20" max="16384" width="9" style="241"/>
  </cols>
  <sheetData>
    <row r="1" spans="1:19" ht="30" customHeight="1" x14ac:dyDescent="0.35">
      <c r="A1" s="10" t="e" vm="1">
        <v>#VALUE!</v>
      </c>
      <c r="C1" s="27" t="s">
        <v>950</v>
      </c>
      <c r="D1" s="21"/>
      <c r="E1" s="21"/>
      <c r="F1" s="21"/>
      <c r="G1" s="21"/>
      <c r="H1" s="21"/>
      <c r="I1" s="21"/>
      <c r="J1" s="21"/>
      <c r="K1" s="21"/>
      <c r="L1" s="21"/>
      <c r="M1" s="21"/>
      <c r="N1" s="21"/>
      <c r="O1" s="21"/>
      <c r="P1" s="21"/>
      <c r="Q1" s="21"/>
      <c r="R1" s="21"/>
      <c r="S1" s="21"/>
    </row>
    <row r="2" spans="1:19" ht="20.100000000000001" customHeight="1" x14ac:dyDescent="0.2">
      <c r="A2"/>
      <c r="C2" s="3"/>
      <c r="D2" s="3"/>
      <c r="E2" s="3"/>
      <c r="F2" s="3"/>
      <c r="G2" s="3"/>
      <c r="H2" s="3"/>
      <c r="I2" s="3"/>
      <c r="J2" s="3"/>
      <c r="K2" s="3"/>
      <c r="L2" s="3"/>
      <c r="M2" s="3"/>
      <c r="N2" s="3"/>
      <c r="O2" s="3"/>
      <c r="P2" s="3"/>
      <c r="Q2" s="3"/>
      <c r="R2" s="3"/>
      <c r="S2" s="3"/>
    </row>
    <row r="3" spans="1:19" ht="20.100000000000001" customHeight="1" x14ac:dyDescent="0.2">
      <c r="A3" s="5" t="str">
        <f>HYPERLINK("#'Home'!A1", "Home")</f>
        <v>Home</v>
      </c>
      <c r="C3" s="28"/>
      <c r="D3" s="28"/>
      <c r="E3" s="28"/>
      <c r="F3" s="28"/>
      <c r="G3" s="28"/>
      <c r="H3" s="28"/>
      <c r="I3" s="28"/>
      <c r="J3" s="28"/>
      <c r="K3" s="28"/>
      <c r="L3" s="28"/>
      <c r="M3" s="28"/>
      <c r="N3" s="28"/>
      <c r="O3" s="28"/>
      <c r="P3" s="28"/>
      <c r="Q3" s="28"/>
      <c r="R3" s="28"/>
      <c r="S3" s="28"/>
    </row>
    <row r="4" spans="1:19" ht="20.100000000000001" customHeight="1" x14ac:dyDescent="0.2">
      <c r="A4" s="5" t="str">
        <f>HYPERLINK("#'Results - Activity period'!A1", "Results - Activity period")</f>
        <v>Results - Activity period</v>
      </c>
      <c r="C4" s="24"/>
      <c r="D4" s="24"/>
      <c r="E4" s="24"/>
      <c r="F4" s="24"/>
      <c r="G4" s="24"/>
      <c r="H4" s="24"/>
      <c r="I4" s="24"/>
      <c r="J4" s="24"/>
    </row>
    <row r="5" spans="1:19" ht="20.100000000000001" customHeight="1" x14ac:dyDescent="0.2">
      <c r="A5" s="5" t="str">
        <f>HYPERLINK("#'Results - Product EI'!A1", "Results - Product Emissions Intensity")</f>
        <v>Results - Product Emissions Intensity</v>
      </c>
      <c r="C5" s="1"/>
      <c r="D5" s="2" t="s">
        <v>951</v>
      </c>
      <c r="E5" s="24"/>
      <c r="F5" s="24"/>
      <c r="G5" s="24"/>
      <c r="H5" s="24"/>
      <c r="I5" s="24"/>
      <c r="J5" s="24"/>
    </row>
    <row r="6" spans="1:19" ht="20.100000000000001" customHeight="1" x14ac:dyDescent="0.2">
      <c r="A6"/>
      <c r="C6" s="1"/>
    </row>
    <row r="7" spans="1:19" ht="20.100000000000001" customHeight="1" x14ac:dyDescent="0.2">
      <c r="A7"/>
      <c r="C7" s="1"/>
      <c r="D7" s="78" t="s">
        <v>952</v>
      </c>
      <c r="E7" s="78" t="s">
        <v>953</v>
      </c>
      <c r="F7" s="78" t="s">
        <v>954</v>
      </c>
    </row>
    <row r="8" spans="1:19" ht="20.100000000000001" customHeight="1" x14ac:dyDescent="0.2">
      <c r="A8" s="7" t="s">
        <v>0</v>
      </c>
      <c r="C8" s="1"/>
      <c r="D8" s="33" t="s">
        <v>955</v>
      </c>
      <c r="E8" s="13" t="s">
        <v>956</v>
      </c>
      <c r="F8" s="74">
        <v>100</v>
      </c>
    </row>
    <row r="9" spans="1:19" ht="20.100000000000001" customHeight="1" x14ac:dyDescent="0.2">
      <c r="A9" s="5" t="str">
        <f>HYPERLINK("#'Input - Enterprise'!A1", "Enterprise")</f>
        <v>Enterprise</v>
      </c>
      <c r="C9" s="1"/>
      <c r="D9" s="33" t="s">
        <v>957</v>
      </c>
      <c r="E9" s="84" t="s">
        <v>958</v>
      </c>
      <c r="F9" s="242">
        <v>100</v>
      </c>
    </row>
    <row r="10" spans="1:19" ht="20.100000000000001" customHeight="1" x14ac:dyDescent="0.2">
      <c r="A10" s="5" t="str">
        <f>HYPERLINK("#'Input - Site'!A1", "Site")</f>
        <v>Site</v>
      </c>
      <c r="D10" s="33" t="s">
        <v>959</v>
      </c>
      <c r="E10" s="84" t="s">
        <v>960</v>
      </c>
      <c r="F10" s="242">
        <v>100</v>
      </c>
    </row>
    <row r="11" spans="1:19" ht="20.100000000000001" customHeight="1" x14ac:dyDescent="0.2">
      <c r="A11" s="5" t="str">
        <f>HYPERLINK("#'Input - Poultry'!A1", "Poultry")</f>
        <v>Poultry</v>
      </c>
      <c r="D11" s="33" t="s">
        <v>959</v>
      </c>
      <c r="E11" s="84" t="s">
        <v>960</v>
      </c>
      <c r="F11" s="242">
        <v>100</v>
      </c>
    </row>
    <row r="12" spans="1:19" ht="20.100000000000001" customHeight="1" x14ac:dyDescent="0.2">
      <c r="A12" s="5" t="str">
        <f>HYPERLINK("#'Input - Livestock sales'!A1", "Livestock sales")</f>
        <v>Livestock sales</v>
      </c>
      <c r="C12" s="1"/>
      <c r="D12" s="33" t="s">
        <v>955</v>
      </c>
      <c r="E12" s="84" t="s">
        <v>956</v>
      </c>
      <c r="F12" s="242">
        <v>100</v>
      </c>
    </row>
    <row r="13" spans="1:19" ht="20.100000000000001" customHeight="1" x14ac:dyDescent="0.2">
      <c r="A13" s="5" t="str">
        <f>HYPERLINK("#'Input - Poultry purchases'!A1", "Poultry purchases")</f>
        <v>Poultry purchases</v>
      </c>
      <c r="C13" s="1"/>
      <c r="D13" s="33" t="s">
        <v>955</v>
      </c>
      <c r="E13" s="84" t="s">
        <v>956</v>
      </c>
      <c r="F13" s="242">
        <v>100</v>
      </c>
    </row>
    <row r="14" spans="1:19" ht="20.100000000000001" customHeight="1" x14ac:dyDescent="0.2">
      <c r="A14" s="5" t="str">
        <f>HYPERLINK("#'Input - Fuel'!A1", "Fuel")</f>
        <v>Fuel</v>
      </c>
      <c r="D14" s="33"/>
      <c r="E14" s="13"/>
      <c r="F14" s="74"/>
    </row>
    <row r="15" spans="1:19" ht="20.100000000000001" customHeight="1" x14ac:dyDescent="0.2">
      <c r="A15" s="5" t="str">
        <f>HYPERLINK("#'Input - Electricity'!A1", "Electricity")</f>
        <v>Electricity</v>
      </c>
      <c r="D15" s="33"/>
      <c r="E15" s="13"/>
      <c r="F15" s="74"/>
    </row>
    <row r="16" spans="1:19" ht="20.100000000000001" customHeight="1" x14ac:dyDescent="0.2">
      <c r="A16" s="100" t="str">
        <f>HYPERLINK("#'Input - Common farm inputs'!A1", "Common farm inputs")</f>
        <v>Common farm inputs</v>
      </c>
      <c r="D16" s="33"/>
      <c r="E16" s="13"/>
      <c r="F16" s="74"/>
    </row>
    <row r="17" spans="1:10" ht="20.100000000000001" customHeight="1" x14ac:dyDescent="0.2">
      <c r="A17" s="5" t="str">
        <f>HYPERLINK("#'Input - Livestock farm Inputs'!A1", "Livestock farm Inputs")</f>
        <v>Livestock farm Inputs</v>
      </c>
      <c r="C17" s="1"/>
      <c r="D17" s="33"/>
      <c r="E17" s="13"/>
      <c r="F17" s="74"/>
    </row>
    <row r="18" spans="1:10" ht="20.100000000000001" customHeight="1" x14ac:dyDescent="0.2">
      <c r="A18" s="5" t="str">
        <f>HYPERLINK("#'Input - Freight'!A1", "Freight")</f>
        <v>Freight</v>
      </c>
      <c r="C18" s="1"/>
    </row>
    <row r="19" spans="1:10" ht="20.100000000000001" customHeight="1" x14ac:dyDescent="0.2">
      <c r="A19" s="5" t="str">
        <f>HYPERLINK("#'Input - Solid waste'!A1", "Solid waste")</f>
        <v>Solid waste</v>
      </c>
    </row>
    <row r="20" spans="1:10" ht="20.100000000000001" customHeight="1" x14ac:dyDescent="0.2">
      <c r="A20" s="5" t="str">
        <f>HYPERLINK("#'Input - Manure sent off-site'!A1", "Manure sent off-site")</f>
        <v>Manure sent off-site</v>
      </c>
      <c r="D20" s="2" t="s">
        <v>961</v>
      </c>
    </row>
    <row r="21" spans="1:10" ht="20.100000000000001" customHeight="1" x14ac:dyDescent="0.2">
      <c r="A21" s="5" t="str">
        <f>HYPERLINK("#'Input - Data quality'!A1", "Data quality")</f>
        <v>Data quality</v>
      </c>
      <c r="D21" s="25"/>
      <c r="I21" s="24"/>
      <c r="J21" s="24"/>
    </row>
    <row r="22" spans="1:10" ht="20.100000000000001" customHeight="1" x14ac:dyDescent="0.2">
      <c r="A22" s="5" t="str">
        <f>HYPERLINK("#'Input - Fert Prod System'!A1", "Fert Prod System")</f>
        <v>Fert Prod System</v>
      </c>
      <c r="D22" s="243" t="s">
        <v>962</v>
      </c>
      <c r="E22" s="243" t="s">
        <v>963</v>
      </c>
      <c r="F22" s="243" t="s">
        <v>964</v>
      </c>
      <c r="G22" s="243" t="s">
        <v>595</v>
      </c>
    </row>
    <row r="23" spans="1:10" ht="20.100000000000001" customHeight="1" x14ac:dyDescent="0.2">
      <c r="A23" s="5" t="str">
        <f>HYPERLINK("#'Input - Fertiliser'!A1", "Fertiliser")</f>
        <v>Fertiliser</v>
      </c>
      <c r="D23" s="33" t="s">
        <v>965</v>
      </c>
      <c r="E23" s="33" t="s">
        <v>966</v>
      </c>
      <c r="F23" s="74">
        <v>10000</v>
      </c>
      <c r="G23" s="13" t="s">
        <v>967</v>
      </c>
    </row>
    <row r="24" spans="1:10" ht="20.100000000000001" customHeight="1" x14ac:dyDescent="0.2">
      <c r="A24"/>
      <c r="D24" s="33" t="s">
        <v>968</v>
      </c>
      <c r="E24" s="33" t="s">
        <v>969</v>
      </c>
      <c r="F24" s="74">
        <v>1000</v>
      </c>
      <c r="G24" s="13" t="s">
        <v>970</v>
      </c>
    </row>
    <row r="25" spans="1:10" ht="20.100000000000001" customHeight="1" x14ac:dyDescent="0.2">
      <c r="A25"/>
      <c r="C25" s="1"/>
      <c r="D25" s="33"/>
      <c r="E25" s="33"/>
      <c r="F25" s="74"/>
      <c r="G25" s="13"/>
    </row>
    <row r="26" spans="1:10" ht="20.100000000000001" customHeight="1" x14ac:dyDescent="0.2">
      <c r="A26" s="6" t="s">
        <v>2</v>
      </c>
      <c r="C26" s="1"/>
      <c r="D26" s="33"/>
      <c r="E26" s="33"/>
      <c r="F26" s="74"/>
      <c r="G26" s="13"/>
    </row>
    <row r="27" spans="1:10" ht="20.100000000000001" customHeight="1" x14ac:dyDescent="0.2">
      <c r="A27" s="5" t="str">
        <f>HYPERLINK("#'4.6.1.1-2 Methane'!A1", "4.6.1.1-2 Manure Methane")</f>
        <v>4.6.1.1-2 Manure Methane</v>
      </c>
      <c r="C27" s="1"/>
      <c r="D27" s="33"/>
      <c r="E27" s="33"/>
      <c r="F27" s="74"/>
      <c r="G27" s="13"/>
    </row>
    <row r="28" spans="1:10" ht="20.100000000000001" customHeight="1" x14ac:dyDescent="0.2">
      <c r="A28" s="5" t="str">
        <f>HYPERLINK("#'4.6.1.3-4 Direct N20'!A1", "4.6.1.3-4 Manure Direct N2O")</f>
        <v>4.6.1.3-4 Manure Direct N2O</v>
      </c>
      <c r="D28" s="33"/>
      <c r="E28" s="33"/>
      <c r="F28" s="74"/>
      <c r="G28" s="13"/>
    </row>
    <row r="29" spans="1:10" ht="20.100000000000001" customHeight="1" x14ac:dyDescent="0.2">
      <c r="A29" s="5" t="str">
        <f>HYPERLINK("#'4.6.1.5-6 Atmos Dep'!A1", "4.6.1.5-6 Manure Atmos Dep")</f>
        <v>4.6.1.5-6 Manure Atmos Dep</v>
      </c>
      <c r="D29" s="33"/>
      <c r="E29" s="33"/>
      <c r="F29" s="74"/>
      <c r="G29" s="13"/>
    </row>
    <row r="30" spans="1:10" ht="20.100000000000001" customHeight="1" x14ac:dyDescent="0.2">
      <c r="A30" s="5" t="str">
        <f>HYPERLINK("#'4.6.1.7-8 Leaching and runoff'!A1", "4.6.1.7-8 Manure Leaching and runoff")</f>
        <v>4.6.1.7-8 Manure Leaching and runoff</v>
      </c>
      <c r="D30" s="33"/>
      <c r="E30" s="33"/>
      <c r="F30" s="74"/>
      <c r="G30" s="13"/>
    </row>
    <row r="31" spans="1:10" ht="20.100000000000001" customHeight="1" x14ac:dyDescent="0.2">
      <c r="A31" s="5" t="str">
        <f>HYPERLINK("#'4.6.1.9 Manure applied to soils'!A1", "4.6.1.9 Manure applied to soils")</f>
        <v>4.6.1.9 Manure applied to soils</v>
      </c>
      <c r="D31" s="33"/>
      <c r="E31" s="33"/>
      <c r="F31" s="74"/>
      <c r="G31" s="13"/>
    </row>
    <row r="32" spans="1:10" ht="20.100000000000001" customHeight="1" x14ac:dyDescent="0.2">
      <c r="A32" s="5" t="str">
        <f>HYPERLINK("#'4.6.1.10-11 Soil direct N2O'!A1", "4.6.1.10-11 Soil direct N2O")</f>
        <v>4.6.1.10-11 Soil direct N2O</v>
      </c>
      <c r="D32" s="33"/>
      <c r="E32" s="33"/>
      <c r="F32" s="74"/>
      <c r="G32" s="13"/>
    </row>
    <row r="33" spans="1:6" ht="20.100000000000001" customHeight="1" x14ac:dyDescent="0.2">
      <c r="A33" s="5" t="str">
        <f>HYPERLINK("#'4.6.1.12-13 Soil atmos dep'!A1", "4.6.1.12-13 Soil atmos dep")</f>
        <v>4.6.1.12-13 Soil atmos dep</v>
      </c>
    </row>
    <row r="34" spans="1:6" ht="20.100000000000001" customHeight="1" x14ac:dyDescent="0.2">
      <c r="A34" s="5" t="str">
        <f>HYPERLINK("#'4.6.1.14-15 Soil leach runoff'!A1", "4.6.1.14-15 Soil leach runoff")</f>
        <v>4.6.1.14-15 Soil leach runoff</v>
      </c>
    </row>
    <row r="35" spans="1:6" ht="20.100000000000001" customHeight="1" x14ac:dyDescent="0.2">
      <c r="A35" s="5" t="str">
        <f>HYPERLINK("#'8.1.1.1-2 Transport fuel'!A1", "8.1.1.1-2 Transport fuel")</f>
        <v>8.1.1.1-2 Transport fuel</v>
      </c>
      <c r="D35" s="2" t="s">
        <v>971</v>
      </c>
    </row>
    <row r="36" spans="1:6" ht="20.100000000000001" customHeight="1" x14ac:dyDescent="0.2">
      <c r="A36" s="5" t="str">
        <f>HYPERLINK("#'8.2.1.1-2 Stationary fuel'!A1", "8.2.1.1-2 Stationary fuel")</f>
        <v>8.2.1.1-2 Stationary fuel</v>
      </c>
      <c r="D36" s="25"/>
    </row>
    <row r="37" spans="1:6" ht="20.100000000000001" customHeight="1" x14ac:dyDescent="0.2">
      <c r="A37" s="5" t="str">
        <f>HYPERLINK("#'10.1.1-2 Solid waste treatment'!A1", "10.1.1.1-2 Solid waste")</f>
        <v>10.1.1.1-2 Solid waste</v>
      </c>
      <c r="D37" s="78" t="s">
        <v>972</v>
      </c>
      <c r="E37" s="78" t="s">
        <v>879</v>
      </c>
      <c r="F37" s="78" t="s">
        <v>595</v>
      </c>
    </row>
    <row r="38" spans="1:6" ht="20.100000000000001" customHeight="1" x14ac:dyDescent="0.2">
      <c r="A38" s="5" t="str">
        <f>HYPERLINK("#'14.1.1-2 Purchased electricity'!A1", "14.1.1-2 Purchased electricity")</f>
        <v>14.1.1-2 Purchased electricity</v>
      </c>
      <c r="D38" s="33" t="s">
        <v>973</v>
      </c>
      <c r="E38" s="74">
        <v>1000</v>
      </c>
      <c r="F38" s="33" t="s">
        <v>758</v>
      </c>
    </row>
    <row r="39" spans="1:6" ht="20.100000000000001" customHeight="1" x14ac:dyDescent="0.2">
      <c r="A39" s="5" t="str">
        <f>HYPERLINK("#'15 Scope 3'!A1", "15 Scope 3")</f>
        <v>15 Scope 3</v>
      </c>
      <c r="D39" s="33"/>
      <c r="E39" s="74"/>
      <c r="F39" s="33"/>
    </row>
    <row r="40" spans="1:6" ht="20.100000000000001" customHeight="1" x14ac:dyDescent="0.2">
      <c r="A40" s="5" t="str">
        <f>HYPERLINK("#'Calcs - Manure sent off-site'!A1", "Calcs - Manure sent off-site")</f>
        <v>Calcs - Manure sent off-site</v>
      </c>
      <c r="D40" s="33"/>
      <c r="E40" s="74"/>
      <c r="F40" s="33"/>
    </row>
    <row r="41" spans="1:6" ht="20.100000000000001" customHeight="1" x14ac:dyDescent="0.2">
      <c r="A41" s="5" t="str">
        <f>HYPERLINK("#'5.1.1.1-2 Inorganic fert N2O'!A1", "5.1.1.1-2 Inorganic fert N2O")</f>
        <v>5.1.1.1-2 Inorganic fert N2O</v>
      </c>
      <c r="D41" s="33"/>
      <c r="E41" s="74"/>
      <c r="F41" s="33"/>
    </row>
    <row r="42" spans="1:6" ht="20.100000000000001" customHeight="1" x14ac:dyDescent="0.2">
      <c r="A42" s="5" t="str">
        <f>HYPERLINK("#'5.1.1.3-4 Inorganic fert CO2'!A1", "5.1.1.3-4 Inorganic fert CO2")</f>
        <v>5.1.1.3-4 Inorganic fert CO2</v>
      </c>
      <c r="D42" s="33"/>
      <c r="E42" s="74"/>
      <c r="F42" s="33"/>
    </row>
    <row r="43" spans="1:6" ht="20.100000000000001" customHeight="1" x14ac:dyDescent="0.2">
      <c r="A43" s="5" t="str">
        <f>HYPERLINK("#'5.2.1.1-2 Organic Fert N2O'!A1", "5.2.1.1-2 Organic Fert N2O")</f>
        <v>5.2.1.1-2 Organic Fert N2O</v>
      </c>
      <c r="D43" s="33"/>
      <c r="E43" s="74"/>
      <c r="F43" s="33"/>
    </row>
    <row r="44" spans="1:6" ht="20.100000000000001" customHeight="1" x14ac:dyDescent="0.2">
      <c r="A44" s="5" t="str">
        <f>HYPERLINK("#'5.3.1.1-2 Lime CO2'!A1", "5.3.1.1-2 Lime CO2")</f>
        <v>5.3.1.1-2 Lime CO2</v>
      </c>
      <c r="C44" s="1"/>
      <c r="D44" s="33"/>
      <c r="E44" s="74"/>
      <c r="F44" s="33"/>
    </row>
    <row r="45" spans="1:6" ht="20.100000000000001" customHeight="1" x14ac:dyDescent="0.2">
      <c r="A45" s="5" t="str">
        <f>HYPERLINK("#'5.4.1.1-4 Atmos deposition'!A1", "5.4.1.1-4 Atmos deposition")</f>
        <v>5.4.1.1-4 Atmos deposition</v>
      </c>
      <c r="C45" s="1"/>
      <c r="D45" s="33"/>
      <c r="E45" s="74"/>
      <c r="F45" s="33"/>
    </row>
    <row r="46" spans="1:6" ht="20.100000000000001" customHeight="1" x14ac:dyDescent="0.2">
      <c r="A46" s="5" t="str">
        <f>HYPERLINK("#'5.5.1.1-2 Leaching and runoff'!A1", "5.5.1.1-2 Leaching and runoff")</f>
        <v>5.5.1.1-2 Leaching and runoff</v>
      </c>
      <c r="C46" s="1"/>
      <c r="D46" s="33"/>
      <c r="E46" s="74"/>
      <c r="F46" s="33"/>
    </row>
    <row r="47" spans="1:6" ht="20.100000000000001" customHeight="1" x14ac:dyDescent="0.2">
      <c r="A47"/>
      <c r="C47" s="1"/>
      <c r="D47" s="33"/>
      <c r="E47" s="74"/>
      <c r="F47" s="33"/>
    </row>
    <row r="48" spans="1:6" ht="20.100000000000001" customHeight="1" x14ac:dyDescent="0.2">
      <c r="A48"/>
      <c r="C48" s="1"/>
    </row>
    <row r="49" spans="1:3" ht="20.100000000000001" customHeight="1" x14ac:dyDescent="0.2">
      <c r="A49" s="80" t="s">
        <v>1</v>
      </c>
      <c r="C49" s="1"/>
    </row>
    <row r="50" spans="1:3" ht="20.100000000000001" customHeight="1" x14ac:dyDescent="0.2">
      <c r="A50" s="5" t="str">
        <f>HYPERLINK("#'Constants - Poultry'!A1", "Constants - Poultry")</f>
        <v>Constants - Poultry</v>
      </c>
    </row>
    <row r="51" spans="1:3" ht="20.100000000000001" customHeight="1" x14ac:dyDescent="0.2">
      <c r="A51" s="5" t="str">
        <f>HYPERLINK("#'Constants - Common livestock'!A1", "Constants - Common Livestock")</f>
        <v>Constants - Common Livestock</v>
      </c>
    </row>
    <row r="52" spans="1:3" ht="20.100000000000001" customHeight="1" x14ac:dyDescent="0.2">
      <c r="A52" s="5" t="str">
        <f>HYPERLINK("#'Constants - Electricity'!A1", "Constants - Electricity")</f>
        <v>Constants - Electricity</v>
      </c>
    </row>
    <row r="53" spans="1:3" ht="20.100000000000001" customHeight="1" x14ac:dyDescent="0.2">
      <c r="A53" s="5" t="str">
        <f>HYPERLINK("#'Constants - Fertiliser'!A1", "Constants - Fertiliser")</f>
        <v>Constants - Fertiliser</v>
      </c>
    </row>
    <row r="54" spans="1:3" ht="20.100000000000001" customHeight="1" x14ac:dyDescent="0.2">
      <c r="A54" s="5" t="str">
        <f>HYPERLINK("#'Constants - Fuel'!A1", "Constants - Fuel")</f>
        <v>Constants - Fuel</v>
      </c>
    </row>
    <row r="55" spans="1:3" ht="20.100000000000001" customHeight="1" x14ac:dyDescent="0.2">
      <c r="A55" s="5" t="str">
        <f>HYPERLINK("#'Constants - Scope 3'!A1", "Constants - Scope 3")</f>
        <v>Constants - Scope 3</v>
      </c>
    </row>
    <row r="56" spans="1:3" ht="20.100000000000001" customHeight="1" x14ac:dyDescent="0.2">
      <c r="A56" s="5" t="str">
        <f>HYPERLINK("#'Constants - Solid Waste'!A1", "Constants - Solid Waste")</f>
        <v>Constants - Solid Waste</v>
      </c>
    </row>
    <row r="57" spans="1:3" ht="20.100000000000001" customHeight="1" x14ac:dyDescent="0.2">
      <c r="A57" s="5" t="str">
        <f>HYPERLINK("#'Constants - Common'!A1", "Constants - Common")</f>
        <v>Constants - Common</v>
      </c>
    </row>
    <row r="58" spans="1:3" ht="20.100000000000001" customHeight="1" x14ac:dyDescent="0.2">
      <c r="A58"/>
    </row>
    <row r="59" spans="1:3" ht="20.100000000000001" customHeight="1" x14ac:dyDescent="0.2">
      <c r="A59"/>
    </row>
    <row r="60" spans="1:3" ht="20.100000000000001" customHeight="1" x14ac:dyDescent="0.2">
      <c r="A60"/>
    </row>
    <row r="61" spans="1:3" ht="20.100000000000001" customHeight="1" x14ac:dyDescent="0.2">
      <c r="A61"/>
    </row>
    <row r="62" spans="1:3" ht="20.100000000000001" customHeight="1" x14ac:dyDescent="0.2">
      <c r="A62"/>
    </row>
    <row r="63" spans="1:3" ht="20.100000000000001" customHeight="1" x14ac:dyDescent="0.2">
      <c r="A63"/>
    </row>
    <row r="64" spans="1:3" ht="20.100000000000001" customHeight="1" x14ac:dyDescent="0.2">
      <c r="A64"/>
    </row>
    <row r="65" spans="1:11" ht="20.100000000000001" customHeight="1" x14ac:dyDescent="0.2">
      <c r="A65"/>
    </row>
    <row r="66" spans="1:11" ht="20.100000000000001" customHeight="1" x14ac:dyDescent="0.2">
      <c r="A66"/>
    </row>
    <row r="67" spans="1:11" ht="20.100000000000001" customHeight="1" x14ac:dyDescent="0.2">
      <c r="A67"/>
    </row>
    <row r="68" spans="1:11" ht="20.100000000000001" customHeight="1" x14ac:dyDescent="0.2">
      <c r="A68"/>
    </row>
    <row r="69" spans="1:11" ht="20.100000000000001" customHeight="1" x14ac:dyDescent="0.2">
      <c r="A69"/>
    </row>
    <row r="70" spans="1:11" ht="20.100000000000001" customHeight="1" x14ac:dyDescent="0.2">
      <c r="A70"/>
    </row>
    <row r="71" spans="1:11" ht="20.100000000000001" customHeight="1" x14ac:dyDescent="0.2">
      <c r="A71"/>
    </row>
    <row r="72" spans="1:11" ht="20.100000000000001" customHeight="1" x14ac:dyDescent="0.2">
      <c r="A72"/>
    </row>
    <row r="73" spans="1:11" ht="20.100000000000001" customHeight="1" x14ac:dyDescent="0.2">
      <c r="A73"/>
    </row>
    <row r="74" spans="1:11" ht="20.100000000000001" customHeight="1" x14ac:dyDescent="0.2">
      <c r="A74"/>
      <c r="K74" s="239"/>
    </row>
    <row r="75" spans="1:11" ht="20.100000000000001" customHeight="1" x14ac:dyDescent="0.2">
      <c r="A75"/>
    </row>
    <row r="76" spans="1:11" ht="20.100000000000001" customHeight="1" x14ac:dyDescent="0.2">
      <c r="A76"/>
    </row>
    <row r="77" spans="1:11" ht="20.100000000000001" customHeight="1" x14ac:dyDescent="0.2">
      <c r="A77"/>
    </row>
    <row r="78" spans="1:11" ht="20.100000000000001" customHeight="1" x14ac:dyDescent="0.2">
      <c r="A78"/>
    </row>
    <row r="79" spans="1:11" ht="20.100000000000001" customHeight="1" x14ac:dyDescent="0.2">
      <c r="A79"/>
    </row>
    <row r="80" spans="1:11" ht="20.100000000000001" customHeight="1" x14ac:dyDescent="0.2">
      <c r="A80"/>
    </row>
    <row r="81" spans="1:10" ht="20.100000000000001" customHeight="1" x14ac:dyDescent="0.2">
      <c r="A81"/>
    </row>
    <row r="82" spans="1:10" ht="20.100000000000001" customHeight="1" x14ac:dyDescent="0.2">
      <c r="A82"/>
    </row>
    <row r="83" spans="1:10" ht="20.100000000000001" customHeight="1" x14ac:dyDescent="0.2">
      <c r="A83"/>
    </row>
    <row r="84" spans="1:10" ht="20.100000000000001" customHeight="1" x14ac:dyDescent="0.2">
      <c r="A84"/>
    </row>
    <row r="85" spans="1:10" ht="20.100000000000001" customHeight="1" x14ac:dyDescent="0.2">
      <c r="A85"/>
    </row>
    <row r="86" spans="1:10" ht="20.100000000000001" customHeight="1" x14ac:dyDescent="0.2">
      <c r="A86"/>
    </row>
    <row r="87" spans="1:10" ht="20.100000000000001" customHeight="1" x14ac:dyDescent="0.2">
      <c r="A87"/>
    </row>
    <row r="88" spans="1:10" ht="20.100000000000001" customHeight="1" x14ac:dyDescent="0.2">
      <c r="A88"/>
    </row>
    <row r="89" spans="1:10" ht="20.100000000000001" customHeight="1" x14ac:dyDescent="0.2">
      <c r="A89"/>
    </row>
    <row r="90" spans="1:10" ht="20.100000000000001" customHeight="1" x14ac:dyDescent="0.2">
      <c r="A90"/>
    </row>
    <row r="91" spans="1:10" ht="20.100000000000001" customHeight="1" x14ac:dyDescent="0.2">
      <c r="A91"/>
    </row>
    <row r="92" spans="1:10" ht="20.100000000000001" customHeight="1" x14ac:dyDescent="0.2">
      <c r="A92"/>
      <c r="J92" s="24"/>
    </row>
    <row r="93" spans="1:10" ht="20.100000000000001" customHeight="1" x14ac:dyDescent="0.2">
      <c r="A93"/>
      <c r="J93" s="24"/>
    </row>
    <row r="94" spans="1:10" ht="20.100000000000001" customHeight="1" x14ac:dyDescent="0.2">
      <c r="A94"/>
      <c r="J94" s="24"/>
    </row>
    <row r="95" spans="1:10" ht="20.100000000000001" customHeight="1" x14ac:dyDescent="0.2">
      <c r="A95"/>
      <c r="J95" s="24"/>
    </row>
    <row r="96" spans="1:10" ht="20.100000000000001" customHeight="1" x14ac:dyDescent="0.2">
      <c r="A96"/>
      <c r="J96" s="24"/>
    </row>
    <row r="97" spans="1:10" ht="20.100000000000001" customHeight="1" x14ac:dyDescent="0.2">
      <c r="A97"/>
      <c r="J97" s="2"/>
    </row>
    <row r="98" spans="1:10" ht="20.100000000000001" customHeight="1" x14ac:dyDescent="0.2">
      <c r="A98"/>
      <c r="J98" s="1"/>
    </row>
    <row r="99" spans="1:10" ht="20.100000000000001" customHeight="1" x14ac:dyDescent="0.2">
      <c r="A99"/>
      <c r="J99" s="1"/>
    </row>
    <row r="100" spans="1:10" ht="20.100000000000001" customHeight="1" x14ac:dyDescent="0.2">
      <c r="A100"/>
      <c r="J100" s="1"/>
    </row>
    <row r="101" spans="1:10" ht="20.100000000000001" customHeight="1" x14ac:dyDescent="0.2">
      <c r="A101"/>
      <c r="J101" s="1"/>
    </row>
    <row r="102" spans="1:10" ht="20.100000000000001" customHeight="1" x14ac:dyDescent="0.2">
      <c r="A102"/>
      <c r="J102" s="1"/>
    </row>
    <row r="103" spans="1:10" ht="20.100000000000001" customHeight="1" x14ac:dyDescent="0.2">
      <c r="A103"/>
    </row>
    <row r="104" spans="1:10" ht="20.100000000000001" customHeight="1" x14ac:dyDescent="0.2">
      <c r="A104"/>
    </row>
    <row r="105" spans="1:10" ht="20.100000000000001" customHeight="1" x14ac:dyDescent="0.2">
      <c r="A105"/>
    </row>
    <row r="106" spans="1:10" ht="20.100000000000001" customHeight="1" x14ac:dyDescent="0.2">
      <c r="A106"/>
    </row>
    <row r="107" spans="1:10" ht="20.100000000000001" customHeight="1" x14ac:dyDescent="0.2">
      <c r="A107"/>
      <c r="J107" s="1"/>
    </row>
    <row r="108" spans="1:10" ht="20.100000000000001" customHeight="1" x14ac:dyDescent="0.2">
      <c r="A108"/>
      <c r="J108" s="1"/>
    </row>
    <row r="109" spans="1:10" ht="20.100000000000001" customHeight="1" x14ac:dyDescent="0.2">
      <c r="A109"/>
      <c r="J109" s="1"/>
    </row>
    <row r="110" spans="1:10" ht="20.100000000000001" customHeight="1" x14ac:dyDescent="0.2">
      <c r="A110"/>
      <c r="J110" s="1"/>
    </row>
    <row r="111" spans="1:10" ht="20.100000000000001" customHeight="1" x14ac:dyDescent="0.2">
      <c r="A111"/>
      <c r="J111" s="1"/>
    </row>
    <row r="112" spans="1:10" ht="20.100000000000001" customHeight="1" x14ac:dyDescent="0.2">
      <c r="A112"/>
      <c r="J112" s="1"/>
    </row>
    <row r="113" spans="1:16" ht="20.100000000000001" customHeight="1" x14ac:dyDescent="0.2">
      <c r="A113"/>
      <c r="J113" s="1"/>
      <c r="L113" s="24"/>
      <c r="M113" s="24"/>
      <c r="N113" s="24"/>
      <c r="O113" s="24"/>
      <c r="P113" s="24"/>
    </row>
    <row r="114" spans="1:16" ht="20.100000000000001" customHeight="1" x14ac:dyDescent="0.2">
      <c r="A114"/>
      <c r="J114" s="1"/>
      <c r="L114" s="24"/>
      <c r="M114" s="24"/>
      <c r="N114" s="24"/>
      <c r="O114" s="24"/>
      <c r="P114" s="24"/>
    </row>
    <row r="115" spans="1:16" ht="20.100000000000001" customHeight="1" x14ac:dyDescent="0.2">
      <c r="A115"/>
      <c r="J115" s="1"/>
      <c r="L115" s="24"/>
      <c r="M115" s="24"/>
      <c r="N115" s="24"/>
      <c r="O115" s="24"/>
      <c r="P115" s="24"/>
    </row>
    <row r="116" spans="1:16" ht="20.100000000000001" customHeight="1" x14ac:dyDescent="0.2">
      <c r="A116"/>
      <c r="I116" s="24"/>
      <c r="J116" s="1"/>
      <c r="N116" s="24"/>
      <c r="O116" s="24"/>
      <c r="P116" s="24"/>
    </row>
    <row r="117" spans="1:16" ht="20.100000000000001" customHeight="1" x14ac:dyDescent="0.2">
      <c r="A117"/>
      <c r="I117" s="24"/>
      <c r="J117" s="1"/>
      <c r="N117" s="24"/>
      <c r="O117" s="24"/>
      <c r="P117" s="24"/>
    </row>
    <row r="118" spans="1:16" ht="20.100000000000001" customHeight="1" x14ac:dyDescent="0.2">
      <c r="A118"/>
      <c r="J118" s="24"/>
      <c r="N118" s="2"/>
      <c r="O118" s="2"/>
      <c r="P118" s="24"/>
    </row>
    <row r="119" spans="1:16" ht="20.100000000000001" customHeight="1" x14ac:dyDescent="0.2">
      <c r="A119"/>
      <c r="J119" s="24"/>
      <c r="P119" s="8"/>
    </row>
    <row r="120" spans="1:16" ht="20.100000000000001" customHeight="1" x14ac:dyDescent="0.2">
      <c r="A120"/>
      <c r="J120" s="24"/>
      <c r="P120" s="8"/>
    </row>
    <row r="121" spans="1:16" ht="20.100000000000001" customHeight="1" x14ac:dyDescent="0.2">
      <c r="A121"/>
      <c r="J121" s="2"/>
      <c r="P121" s="8"/>
    </row>
    <row r="122" spans="1:16" ht="20.100000000000001" customHeight="1" x14ac:dyDescent="0.2">
      <c r="A122"/>
      <c r="G122" s="24"/>
      <c r="H122" s="1"/>
      <c r="J122" s="1"/>
      <c r="P122" s="8"/>
    </row>
    <row r="123" spans="1:16" ht="20.100000000000001" customHeight="1" x14ac:dyDescent="0.2">
      <c r="A123"/>
      <c r="G123" s="24"/>
      <c r="H123" s="1"/>
      <c r="J123" s="1"/>
      <c r="P123" s="8"/>
    </row>
    <row r="124" spans="1:16" ht="20.100000000000001" customHeight="1" x14ac:dyDescent="0.2">
      <c r="A124"/>
      <c r="G124" s="24"/>
      <c r="H124" s="24"/>
      <c r="J124" s="1"/>
      <c r="N124" s="24"/>
      <c r="O124" s="24"/>
      <c r="P124" s="24"/>
    </row>
    <row r="125" spans="1:16" ht="20.100000000000001" customHeight="1" x14ac:dyDescent="0.2">
      <c r="A125"/>
      <c r="G125" s="24"/>
      <c r="H125" s="24"/>
      <c r="I125" s="24"/>
      <c r="J125" s="1"/>
      <c r="N125" s="24"/>
      <c r="O125" s="24"/>
      <c r="P125" s="24"/>
    </row>
    <row r="126" spans="1:16" ht="20.100000000000001" customHeight="1" x14ac:dyDescent="0.2">
      <c r="A126"/>
      <c r="G126" s="24"/>
      <c r="I126" s="24"/>
      <c r="J126" s="1"/>
    </row>
    <row r="127" spans="1:16" ht="20.100000000000001" customHeight="1" x14ac:dyDescent="0.2">
      <c r="A127"/>
      <c r="I127" s="24"/>
      <c r="J127" s="24"/>
    </row>
    <row r="128" spans="1:16" ht="20.100000000000001" customHeight="1" x14ac:dyDescent="0.2">
      <c r="A128"/>
      <c r="I128" s="24"/>
      <c r="J128" s="24"/>
    </row>
    <row r="129" spans="1:13" ht="20.100000000000001" customHeight="1" x14ac:dyDescent="0.2">
      <c r="A129"/>
      <c r="I129" s="24"/>
      <c r="L129" s="24"/>
      <c r="M129" s="24"/>
    </row>
    <row r="130" spans="1:13" ht="20.100000000000001" customHeight="1" x14ac:dyDescent="0.2">
      <c r="A130"/>
      <c r="I130" s="24"/>
      <c r="L130" s="24"/>
      <c r="M130" s="24"/>
    </row>
    <row r="131" spans="1:13" ht="20.100000000000001" customHeight="1" x14ac:dyDescent="0.2">
      <c r="A131"/>
      <c r="G131" s="1"/>
      <c r="I131" s="1"/>
      <c r="L131" s="2"/>
      <c r="M131" s="2"/>
    </row>
    <row r="132" spans="1:13" ht="20.100000000000001" customHeight="1" x14ac:dyDescent="0.2">
      <c r="A132"/>
      <c r="G132" s="24"/>
      <c r="I132" s="1"/>
    </row>
    <row r="133" spans="1:13" ht="20.100000000000001" customHeight="1" x14ac:dyDescent="0.2">
      <c r="A133"/>
      <c r="G133" s="24"/>
      <c r="I133" s="1"/>
    </row>
    <row r="134" spans="1:13" ht="20.100000000000001" customHeight="1" x14ac:dyDescent="0.2">
      <c r="A134"/>
      <c r="I134" s="1"/>
    </row>
    <row r="135" spans="1:13" ht="20.100000000000001" customHeight="1" x14ac:dyDescent="0.2">
      <c r="A135"/>
      <c r="I135" s="1"/>
    </row>
    <row r="136" spans="1:13" ht="20.100000000000001" customHeight="1" x14ac:dyDescent="0.2">
      <c r="A136"/>
      <c r="I136" s="24"/>
    </row>
    <row r="137" spans="1:13" ht="20.100000000000001" customHeight="1" x14ac:dyDescent="0.2">
      <c r="A137"/>
      <c r="I137" s="24"/>
      <c r="L137" s="24"/>
      <c r="M137" s="24"/>
    </row>
    <row r="138" spans="1:13" ht="20.100000000000001" customHeight="1" x14ac:dyDescent="0.2">
      <c r="A138"/>
      <c r="L138" s="24"/>
      <c r="M138" s="24"/>
    </row>
    <row r="139" spans="1:13" ht="20.100000000000001" customHeight="1" x14ac:dyDescent="0.2">
      <c r="A139"/>
    </row>
    <row r="140" spans="1:13" ht="20.100000000000001" customHeight="1" x14ac:dyDescent="0.2">
      <c r="A140"/>
    </row>
    <row r="141" spans="1:13" ht="20.100000000000001" customHeight="1" x14ac:dyDescent="0.2">
      <c r="A141"/>
    </row>
    <row r="142" spans="1:13" ht="20.100000000000001" customHeight="1" x14ac:dyDescent="0.2">
      <c r="A142"/>
    </row>
    <row r="143" spans="1:13" ht="20.100000000000001" customHeight="1" x14ac:dyDescent="0.2">
      <c r="A143"/>
    </row>
    <row r="144" spans="1:13" ht="20.100000000000001" customHeight="1" x14ac:dyDescent="0.2">
      <c r="A144"/>
    </row>
    <row r="145" spans="1:1" ht="20.100000000000001" customHeight="1" x14ac:dyDescent="0.2">
      <c r="A145"/>
    </row>
    <row r="146" spans="1:1" ht="20.100000000000001" customHeight="1" x14ac:dyDescent="0.2">
      <c r="A146"/>
    </row>
    <row r="147" spans="1:1" ht="20.100000000000001" customHeight="1" x14ac:dyDescent="0.2">
      <c r="A147"/>
    </row>
    <row r="148" spans="1:1" ht="20.100000000000001" customHeight="1" x14ac:dyDescent="0.2">
      <c r="A148"/>
    </row>
    <row r="149" spans="1:1" ht="20.100000000000001" customHeight="1" x14ac:dyDescent="0.2">
      <c r="A149"/>
    </row>
    <row r="150" spans="1:1" ht="20.100000000000001" customHeight="1" x14ac:dyDescent="0.2">
      <c r="A150"/>
    </row>
    <row r="151" spans="1:1" ht="20.100000000000001" customHeight="1" x14ac:dyDescent="0.2">
      <c r="A151"/>
    </row>
    <row r="152" spans="1:1" ht="20.100000000000001" customHeight="1" x14ac:dyDescent="0.2">
      <c r="A152"/>
    </row>
    <row r="153" spans="1:1" ht="20.100000000000001" customHeight="1" x14ac:dyDescent="0.2">
      <c r="A153"/>
    </row>
    <row r="154" spans="1:1" ht="20.100000000000001" customHeight="1" x14ac:dyDescent="0.2">
      <c r="A154"/>
    </row>
    <row r="155" spans="1:1" ht="20.100000000000001" customHeight="1" x14ac:dyDescent="0.2">
      <c r="A155"/>
    </row>
    <row r="156" spans="1:1" ht="20.100000000000001" customHeight="1" x14ac:dyDescent="0.2">
      <c r="A156"/>
    </row>
    <row r="157" spans="1:1" ht="20.100000000000001" customHeight="1" x14ac:dyDescent="0.2">
      <c r="A157"/>
    </row>
    <row r="158" spans="1:1" ht="20.100000000000001" customHeight="1" x14ac:dyDescent="0.2">
      <c r="A158"/>
    </row>
    <row r="159" spans="1:1" ht="20.100000000000001" customHeight="1" x14ac:dyDescent="0.2">
      <c r="A159"/>
    </row>
    <row r="160" spans="1:1" ht="20.100000000000001" customHeight="1" x14ac:dyDescent="0.2">
      <c r="A160"/>
    </row>
    <row r="161" spans="1:19" ht="20.100000000000001" customHeight="1" x14ac:dyDescent="0.2">
      <c r="A161"/>
    </row>
    <row r="162" spans="1:19" ht="20.100000000000001" customHeight="1" x14ac:dyDescent="0.2">
      <c r="A162"/>
    </row>
    <row r="163" spans="1:19" ht="20.100000000000001" customHeight="1" x14ac:dyDescent="0.2">
      <c r="A163"/>
    </row>
    <row r="164" spans="1:19" ht="20.100000000000001" customHeight="1" x14ac:dyDescent="0.2">
      <c r="A164"/>
    </row>
    <row r="165" spans="1:19" ht="20.100000000000001" customHeight="1" x14ac:dyDescent="0.2">
      <c r="A165"/>
      <c r="S165" s="241"/>
    </row>
    <row r="166" spans="1:19" ht="20.100000000000001" customHeight="1" x14ac:dyDescent="0.2">
      <c r="A166"/>
      <c r="S166" s="241"/>
    </row>
    <row r="167" spans="1:19" ht="20.100000000000001" customHeight="1" x14ac:dyDescent="0.2">
      <c r="A167"/>
      <c r="S167" s="241"/>
    </row>
    <row r="168" spans="1:19" ht="20.100000000000001" customHeight="1" x14ac:dyDescent="0.2">
      <c r="A168"/>
      <c r="S168" s="241"/>
    </row>
    <row r="169" spans="1:19" ht="20.100000000000001" customHeight="1" x14ac:dyDescent="0.2">
      <c r="A169"/>
      <c r="S169" s="241"/>
    </row>
    <row r="170" spans="1:19" ht="20.100000000000001" customHeight="1" x14ac:dyDescent="0.2">
      <c r="A170"/>
      <c r="S170" s="241"/>
    </row>
    <row r="171" spans="1:19" ht="20.100000000000001" customHeight="1" x14ac:dyDescent="0.2">
      <c r="A171"/>
      <c r="S171" s="241"/>
    </row>
    <row r="172" spans="1:19" ht="20.100000000000001" customHeight="1" x14ac:dyDescent="0.2">
      <c r="A172"/>
      <c r="S172" s="241"/>
    </row>
    <row r="173" spans="1:19" ht="20.100000000000001" customHeight="1" x14ac:dyDescent="0.2">
      <c r="A173"/>
      <c r="S173" s="241"/>
    </row>
    <row r="174" spans="1:19" ht="20.100000000000001" customHeight="1" x14ac:dyDescent="0.2">
      <c r="A174"/>
      <c r="S174" s="241"/>
    </row>
    <row r="175" spans="1:19" ht="20.100000000000001" customHeight="1" x14ac:dyDescent="0.2">
      <c r="A175"/>
      <c r="S175" s="241"/>
    </row>
    <row r="176" spans="1:19" ht="20.100000000000001" customHeight="1" x14ac:dyDescent="0.2">
      <c r="A176"/>
      <c r="K176" s="24"/>
    </row>
    <row r="177" spans="1:19" ht="20.100000000000001" customHeight="1" x14ac:dyDescent="0.2">
      <c r="A177"/>
      <c r="K177" s="24"/>
    </row>
    <row r="178" spans="1:19" ht="20.100000000000001" customHeight="1" x14ac:dyDescent="0.2">
      <c r="A178"/>
    </row>
    <row r="179" spans="1:19" ht="20.100000000000001" customHeight="1" x14ac:dyDescent="0.2">
      <c r="A179"/>
    </row>
    <row r="180" spans="1:19" ht="20.100000000000001" customHeight="1" x14ac:dyDescent="0.2">
      <c r="A180"/>
      <c r="S180" s="241"/>
    </row>
    <row r="181" spans="1:19" ht="20.100000000000001" customHeight="1" x14ac:dyDescent="0.2">
      <c r="A181"/>
      <c r="S181" s="241"/>
    </row>
    <row r="182" spans="1:19" ht="20.100000000000001" customHeight="1" x14ac:dyDescent="0.2">
      <c r="A182"/>
      <c r="S182" s="241"/>
    </row>
    <row r="183" spans="1:19" ht="20.100000000000001" customHeight="1" x14ac:dyDescent="0.2">
      <c r="A183"/>
      <c r="S183" s="241"/>
    </row>
    <row r="184" spans="1:19" ht="20.100000000000001" customHeight="1" x14ac:dyDescent="0.2">
      <c r="A184"/>
      <c r="S184" s="241"/>
    </row>
    <row r="185" spans="1:19" ht="20.100000000000001" customHeight="1" x14ac:dyDescent="0.2">
      <c r="A185"/>
      <c r="S185" s="241"/>
    </row>
    <row r="186" spans="1:19" ht="20.100000000000001" customHeight="1" x14ac:dyDescent="0.2">
      <c r="A186"/>
      <c r="S186" s="241"/>
    </row>
    <row r="187" spans="1:19" ht="20.100000000000001" customHeight="1" x14ac:dyDescent="0.2">
      <c r="A187"/>
      <c r="S187" s="241"/>
    </row>
    <row r="188" spans="1:19" ht="20.100000000000001" customHeight="1" x14ac:dyDescent="0.2">
      <c r="A188"/>
      <c r="S188" s="241"/>
    </row>
    <row r="189" spans="1:19" ht="20.100000000000001" customHeight="1" x14ac:dyDescent="0.2">
      <c r="A189"/>
      <c r="S189" s="241"/>
    </row>
    <row r="190" spans="1:19" ht="20.100000000000001" customHeight="1" x14ac:dyDescent="0.2">
      <c r="A190"/>
      <c r="S190" s="241"/>
    </row>
    <row r="191" spans="1:19" ht="20.100000000000001" customHeight="1" x14ac:dyDescent="0.2">
      <c r="A191"/>
    </row>
    <row r="192" spans="1:19" ht="20.100000000000001" customHeight="1" x14ac:dyDescent="0.2">
      <c r="A192"/>
    </row>
    <row r="193" spans="1:1" ht="20.100000000000001" customHeight="1" x14ac:dyDescent="0.2">
      <c r="A193"/>
    </row>
    <row r="194" spans="1:1" ht="20.100000000000001" customHeight="1" x14ac:dyDescent="0.2">
      <c r="A194"/>
    </row>
    <row r="195" spans="1:1" ht="20.100000000000001" customHeight="1" x14ac:dyDescent="0.2">
      <c r="A195"/>
    </row>
  </sheetData>
  <dataValidations count="3">
    <dataValidation type="list" allowBlank="1" showInputMessage="1" showErrorMessage="1" sqref="N122:N123 H122:H123 J125:J126 L135:L136" xr:uid="{0556A11A-085F-4FA8-B45D-EA966002612B}">
      <formula1>INDIRECT("Table_Scope3_AquacultureFeedBait[Feed / Bait ingredient]")</formula1>
    </dataValidation>
    <dataValidation type="list" allowBlank="1" showInputMessage="1" showErrorMessage="1" sqref="G23:G32" xr:uid="{D1AA03AB-C80B-4AB6-9839-5B40C670DDFE}">
      <formula1>"Hour, Hectare"</formula1>
    </dataValidation>
    <dataValidation type="list" allowBlank="1" showInputMessage="1" showErrorMessage="1" sqref="E8:E17" xr:uid="{60F189D3-7775-430D-BFCE-01355A608A89}">
      <formula1>INDIRECT("Table_SourceData_Scope3_ChemicalsCleaning[Product]")</formula1>
    </dataValidation>
  </dataValidations>
  <pageMargins left="0.7" right="0.7" top="0.75" bottom="0.75" header="0.3" footer="0.3"/>
  <pageSetup orientation="portrait" r:id="rId1"/>
  <tableParts count="3">
    <tablePart r:id="rId2"/>
    <tablePart r:id="rId3"/>
    <tablePart r:id="rId4"/>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67EF82-95F0-43D9-BB46-9D7A9A0AC4BE}">
  <sheetPr>
    <tabColor theme="5" tint="-0.249977111117893"/>
  </sheetPr>
  <dimension ref="A1:R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 min="18" max="18" width="4.5703125" style="1" customWidth="1"/>
  </cols>
  <sheetData>
    <row r="1" spans="1:18" s="10" customFormat="1" ht="30" customHeight="1" x14ac:dyDescent="0.35">
      <c r="C1" s="10" t="s">
        <v>974</v>
      </c>
    </row>
    <row r="2" spans="1:18" s="3" customFormat="1" ht="20.100000000000001" customHeight="1" x14ac:dyDescent="0.2">
      <c r="A2"/>
    </row>
    <row r="3" spans="1:18" ht="20.100000000000001" customHeight="1" x14ac:dyDescent="0.2">
      <c r="A3" s="5" t="str">
        <f>HYPERLINK("#'Home'!A1", "Home")</f>
        <v>Home</v>
      </c>
      <c r="C3" s="28"/>
      <c r="D3" s="28"/>
      <c r="E3" s="28"/>
      <c r="F3" s="28"/>
      <c r="G3" s="28"/>
      <c r="H3" s="28"/>
      <c r="I3" s="28"/>
      <c r="J3" s="28"/>
      <c r="K3" s="28"/>
      <c r="L3" s="28"/>
      <c r="M3" s="28"/>
      <c r="N3" s="28"/>
      <c r="O3" s="28"/>
      <c r="P3" s="28"/>
      <c r="Q3" s="28"/>
      <c r="R3" s="28"/>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
        <v>975</v>
      </c>
      <c r="E5" s="239"/>
      <c r="F5" s="239"/>
      <c r="G5" s="239"/>
      <c r="H5" s="239"/>
      <c r="I5" s="239"/>
      <c r="J5" s="239"/>
    </row>
    <row r="6" spans="1:18" ht="20.100000000000001" customHeight="1" x14ac:dyDescent="0.2">
      <c r="D6" s="244" t="s">
        <v>976</v>
      </c>
      <c r="E6" s="245"/>
      <c r="F6" s="246"/>
      <c r="G6" s="239"/>
      <c r="H6" s="239"/>
      <c r="I6" s="239"/>
      <c r="J6" s="239"/>
    </row>
    <row r="7" spans="1:18" ht="20.100000000000001" customHeight="1" x14ac:dyDescent="0.2">
      <c r="D7" s="1" t="str" cm="1">
        <f t="array" ref="D7:D9">Table_SourceData_Scope3_LickBlocks[Product]</f>
        <v>Lick block, dry season mix</v>
      </c>
      <c r="E7" s="74">
        <v>100</v>
      </c>
      <c r="F7" s="16" t="s">
        <v>758</v>
      </c>
      <c r="G7" s="239"/>
      <c r="H7" s="239"/>
      <c r="I7" s="239"/>
      <c r="J7" s="239"/>
    </row>
    <row r="8" spans="1:18" ht="20.100000000000001" customHeight="1" x14ac:dyDescent="0.2">
      <c r="A8" s="7" t="s">
        <v>0</v>
      </c>
      <c r="D8" s="1" t="str">
        <v>Lick block, mineral</v>
      </c>
      <c r="E8" s="74">
        <v>100</v>
      </c>
      <c r="F8" s="16" t="s">
        <v>758</v>
      </c>
      <c r="G8" s="239"/>
      <c r="H8" s="239"/>
      <c r="I8" s="239"/>
      <c r="J8" s="239"/>
    </row>
    <row r="9" spans="1:18" ht="20.100000000000001" customHeight="1" x14ac:dyDescent="0.2">
      <c r="A9" s="5" t="str">
        <f>HYPERLINK("#'Input - Enterprise'!A1", "Enterprise")</f>
        <v>Enterprise</v>
      </c>
      <c r="D9" s="1" t="str">
        <v>Lick block, weaner</v>
      </c>
      <c r="E9" s="74">
        <v>100</v>
      </c>
      <c r="F9" s="16" t="s">
        <v>758</v>
      </c>
      <c r="G9" s="239"/>
      <c r="H9" s="239"/>
      <c r="I9" s="239"/>
      <c r="J9" s="239"/>
    </row>
    <row r="10" spans="1:18" ht="20.100000000000001" customHeight="1" x14ac:dyDescent="0.2">
      <c r="A10" s="5" t="str">
        <f>HYPERLINK("#'Input - Site'!A1", "Site")</f>
        <v>Site</v>
      </c>
      <c r="G10" s="239"/>
      <c r="H10" s="239"/>
      <c r="I10" s="239"/>
      <c r="J10" s="239"/>
    </row>
    <row r="11" spans="1:18" ht="20.100000000000001" customHeight="1" x14ac:dyDescent="0.2">
      <c r="A11" s="5" t="str">
        <f>HYPERLINK("#'Input - Poultry'!A1", "Poultry")</f>
        <v>Poultry</v>
      </c>
      <c r="D11" s="244" t="s">
        <v>977</v>
      </c>
      <c r="E11" s="24"/>
      <c r="F11" s="24"/>
      <c r="G11" s="239"/>
      <c r="H11" s="239"/>
      <c r="I11" s="239"/>
      <c r="J11" s="239"/>
    </row>
    <row r="12" spans="1:18" ht="20.100000000000001" customHeight="1" x14ac:dyDescent="0.2">
      <c r="A12" s="5" t="str">
        <f>HYPERLINK("#'Input - Livestock sales'!A1", "Livestock sales")</f>
        <v>Livestock sales</v>
      </c>
      <c r="D12" s="1" t="str" cm="1">
        <f t="array" ref="D12:D15">Table_SourceData_Scope3_MixedRations[Product]</f>
        <v>Feed for chickens</v>
      </c>
      <c r="E12" s="74">
        <v>100</v>
      </c>
      <c r="F12" s="16" t="s">
        <v>758</v>
      </c>
      <c r="G12" s="239"/>
      <c r="H12" s="239"/>
      <c r="I12" s="239"/>
      <c r="J12" s="239"/>
    </row>
    <row r="13" spans="1:18" ht="20.100000000000001" customHeight="1" x14ac:dyDescent="0.2">
      <c r="A13" s="5" t="str">
        <f>HYPERLINK("#'Input - Poultry purchases'!A1", "Poultry purchases")</f>
        <v>Poultry purchases</v>
      </c>
      <c r="D13" s="1" t="str">
        <v>Feed for dairy calves</v>
      </c>
      <c r="E13" s="74">
        <v>100</v>
      </c>
      <c r="F13" s="16" t="s">
        <v>758</v>
      </c>
      <c r="G13" s="239"/>
      <c r="H13" s="239"/>
      <c r="I13" s="239"/>
      <c r="J13" s="239"/>
    </row>
    <row r="14" spans="1:18" ht="20.100000000000001" customHeight="1" x14ac:dyDescent="0.2">
      <c r="A14" s="5" t="str">
        <f>HYPERLINK("#'Input - Fuel'!A1", "Fuel")</f>
        <v>Fuel</v>
      </c>
      <c r="D14" s="1" t="str">
        <v>Feed for dairy cows</v>
      </c>
      <c r="E14" s="74">
        <v>100</v>
      </c>
      <c r="F14" s="16" t="s">
        <v>758</v>
      </c>
      <c r="G14" s="239"/>
      <c r="H14" s="239"/>
      <c r="I14" s="239"/>
      <c r="J14" s="239"/>
    </row>
    <row r="15" spans="1:18" ht="20.100000000000001" customHeight="1" x14ac:dyDescent="0.2">
      <c r="A15" s="5" t="str">
        <f>HYPERLINK("#'Input - Electricity'!A1", "Electricity")</f>
        <v>Electricity</v>
      </c>
      <c r="D15" s="1" t="str">
        <v>Feed for pigs</v>
      </c>
      <c r="E15" s="74">
        <v>100</v>
      </c>
      <c r="F15" s="16" t="s">
        <v>758</v>
      </c>
      <c r="G15" s="239"/>
      <c r="H15" s="239"/>
      <c r="I15" s="239"/>
      <c r="J15" s="239"/>
    </row>
    <row r="16" spans="1:18" ht="20.100000000000001" customHeight="1" x14ac:dyDescent="0.2">
      <c r="A16" s="5" t="str">
        <f>HYPERLINK("#'Input - Common farm inputs'!A1", "Common farm inputs")</f>
        <v>Common farm inputs</v>
      </c>
      <c r="D16" s="24"/>
      <c r="E16" s="24"/>
      <c r="F16" s="24"/>
      <c r="G16" s="239"/>
      <c r="H16" s="239"/>
      <c r="I16" s="239"/>
      <c r="J16" s="239"/>
    </row>
    <row r="17" spans="1:17" ht="20.100000000000001" customHeight="1" x14ac:dyDescent="0.2">
      <c r="A17" s="100" t="str">
        <f>HYPERLINK("#'Input - Livestock farm Inputs'!A1", "Livestock farm Inputs")</f>
        <v>Livestock farm Inputs</v>
      </c>
      <c r="D17" s="244" t="s">
        <v>978</v>
      </c>
      <c r="E17" s="24"/>
      <c r="F17" s="24"/>
      <c r="G17" s="239"/>
      <c r="H17" s="239"/>
      <c r="I17" s="239"/>
      <c r="J17" s="239"/>
    </row>
    <row r="18" spans="1:17" ht="20.100000000000001" customHeight="1" x14ac:dyDescent="0.2">
      <c r="A18" s="5" t="str">
        <f>HYPERLINK("#'Input - Freight'!A1", "Freight")</f>
        <v>Freight</v>
      </c>
      <c r="D18" s="78" t="s">
        <v>979</v>
      </c>
      <c r="E18" s="78" t="s">
        <v>980</v>
      </c>
      <c r="F18" s="78" t="s">
        <v>720</v>
      </c>
      <c r="G18" s="78" t="s">
        <v>981</v>
      </c>
      <c r="H18" s="78" t="s">
        <v>698</v>
      </c>
      <c r="I18" s="78" t="s">
        <v>982</v>
      </c>
      <c r="J18" s="78" t="s">
        <v>983</v>
      </c>
      <c r="K18" s="78" t="s">
        <v>700</v>
      </c>
      <c r="L18" s="78" t="s">
        <v>984</v>
      </c>
      <c r="M18" s="78" t="s">
        <v>985</v>
      </c>
      <c r="N18" s="78" t="s">
        <v>702</v>
      </c>
      <c r="O18" s="78" t="s">
        <v>986</v>
      </c>
      <c r="P18" s="78" t="s">
        <v>987</v>
      </c>
      <c r="Q18" s="149" t="s">
        <v>704</v>
      </c>
    </row>
    <row r="19" spans="1:17" ht="20.100000000000001" customHeight="1" x14ac:dyDescent="0.2">
      <c r="A19" s="5" t="str">
        <f>HYPERLINK("#'Input - Solid waste'!A1", "Solid waste")</f>
        <v>Solid waste</v>
      </c>
      <c r="D19" s="33"/>
      <c r="E19" s="247">
        <v>1200</v>
      </c>
      <c r="F19" s="13" t="s">
        <v>988</v>
      </c>
      <c r="G19" s="13" t="s">
        <v>527</v>
      </c>
      <c r="H19" s="150">
        <v>0.35</v>
      </c>
      <c r="I19" s="13" t="s">
        <v>989</v>
      </c>
      <c r="J19" s="13" t="s">
        <v>527</v>
      </c>
      <c r="K19" s="150">
        <v>0.22</v>
      </c>
      <c r="L19" s="13" t="s">
        <v>990</v>
      </c>
      <c r="M19" s="13" t="s">
        <v>991</v>
      </c>
      <c r="N19" s="150">
        <v>0.12</v>
      </c>
      <c r="O19" s="13" t="s">
        <v>992</v>
      </c>
      <c r="P19" s="13" t="s">
        <v>524</v>
      </c>
      <c r="Q19" s="150">
        <v>0.05</v>
      </c>
    </row>
    <row r="20" spans="1:17" ht="20.100000000000001" customHeight="1" x14ac:dyDescent="0.2">
      <c r="A20" s="5" t="str">
        <f>HYPERLINK("#'Input - Manure sent off-site'!A1", "Manure sent off-site")</f>
        <v>Manure sent off-site</v>
      </c>
      <c r="D20" s="33"/>
      <c r="E20" s="247">
        <v>3456</v>
      </c>
      <c r="F20" s="13" t="s">
        <v>993</v>
      </c>
      <c r="G20" s="13" t="s">
        <v>991</v>
      </c>
      <c r="H20" s="150">
        <v>0.2</v>
      </c>
      <c r="I20" s="13" t="s">
        <v>993</v>
      </c>
      <c r="J20" s="13" t="s">
        <v>522</v>
      </c>
      <c r="K20" s="150">
        <v>0.2</v>
      </c>
      <c r="L20" s="13"/>
      <c r="M20" s="13"/>
      <c r="N20" s="150"/>
      <c r="O20" s="13"/>
      <c r="P20" s="13"/>
      <c r="Q20" s="150"/>
    </row>
    <row r="21" spans="1:17" ht="20.100000000000001" customHeight="1" x14ac:dyDescent="0.2">
      <c r="A21" s="5" t="str">
        <f>HYPERLINK("#'Input - Data quality'!A1", "Data quality")</f>
        <v>Data quality</v>
      </c>
      <c r="D21" s="33" t="s">
        <v>994</v>
      </c>
      <c r="E21" s="247">
        <v>300</v>
      </c>
      <c r="F21" s="13" t="s">
        <v>995</v>
      </c>
      <c r="G21" s="13" t="s">
        <v>527</v>
      </c>
      <c r="H21" s="150">
        <v>0.8</v>
      </c>
      <c r="I21" s="13" t="s">
        <v>996</v>
      </c>
      <c r="J21" s="13" t="s">
        <v>997</v>
      </c>
      <c r="K21" s="150">
        <v>0.2</v>
      </c>
      <c r="L21" s="13"/>
      <c r="M21" s="13"/>
      <c r="N21" s="150"/>
      <c r="O21" s="13"/>
      <c r="P21" s="13"/>
      <c r="Q21" s="150"/>
    </row>
    <row r="22" spans="1:17" ht="20.100000000000001" customHeight="1" x14ac:dyDescent="0.2">
      <c r="A22" s="5" t="str">
        <f>HYPERLINK("#'Input - Fert Prod System'!A1", "Fert Prod System")</f>
        <v>Fert Prod System</v>
      </c>
      <c r="D22" s="33"/>
      <c r="E22" s="247">
        <v>500</v>
      </c>
      <c r="F22" s="13" t="s">
        <v>998</v>
      </c>
      <c r="G22" s="13" t="s">
        <v>526</v>
      </c>
      <c r="H22" s="150">
        <v>1</v>
      </c>
      <c r="I22" s="13"/>
      <c r="J22" s="13"/>
      <c r="K22" s="150"/>
      <c r="L22" s="13"/>
      <c r="M22" s="13"/>
      <c r="N22" s="150"/>
      <c r="O22" s="13"/>
      <c r="P22" s="13"/>
      <c r="Q22" s="150"/>
    </row>
    <row r="23" spans="1:17" ht="20.100000000000001" customHeight="1" x14ac:dyDescent="0.2">
      <c r="A23" s="5" t="str">
        <f>HYPERLINK("#'Input - Fertiliser'!A1", "Fertiliser")</f>
        <v>Fertiliser</v>
      </c>
      <c r="D23" s="33"/>
      <c r="E23" s="247"/>
      <c r="F23" s="13"/>
      <c r="G23" s="13"/>
      <c r="H23" s="150"/>
      <c r="I23" s="13"/>
      <c r="J23" s="13"/>
      <c r="K23" s="150"/>
      <c r="L23" s="13"/>
      <c r="M23" s="13"/>
      <c r="N23" s="150"/>
      <c r="O23" s="13"/>
      <c r="P23" s="13"/>
      <c r="Q23" s="150"/>
    </row>
    <row r="24" spans="1:17" ht="20.100000000000001" customHeight="1" x14ac:dyDescent="0.2">
      <c r="D24" s="33"/>
      <c r="E24" s="247"/>
      <c r="F24" s="13"/>
      <c r="G24" s="13"/>
      <c r="H24" s="150"/>
      <c r="I24" s="13"/>
      <c r="J24" s="13"/>
      <c r="K24" s="150"/>
      <c r="L24" s="13"/>
      <c r="M24" s="13"/>
      <c r="N24" s="150"/>
      <c r="O24" s="13"/>
      <c r="P24" s="13"/>
      <c r="Q24" s="150"/>
    </row>
    <row r="25" spans="1:17" ht="20.100000000000001" customHeight="1" x14ac:dyDescent="0.2">
      <c r="D25" s="33"/>
      <c r="E25" s="247"/>
      <c r="F25" s="13"/>
      <c r="G25" s="13"/>
      <c r="H25" s="150"/>
      <c r="I25" s="13"/>
      <c r="J25" s="13"/>
      <c r="K25" s="150"/>
      <c r="L25" s="13"/>
      <c r="M25" s="13"/>
      <c r="N25" s="150"/>
      <c r="O25" s="13"/>
      <c r="P25" s="13"/>
      <c r="Q25" s="150"/>
    </row>
    <row r="26" spans="1:17" ht="20.100000000000001" customHeight="1" x14ac:dyDescent="0.2">
      <c r="A26" s="6" t="s">
        <v>2</v>
      </c>
      <c r="D26" s="33"/>
      <c r="E26" s="247"/>
      <c r="F26" s="13"/>
      <c r="G26" s="13"/>
      <c r="H26" s="150"/>
      <c r="I26" s="13"/>
      <c r="J26" s="13"/>
      <c r="K26" s="150"/>
      <c r="L26" s="13"/>
      <c r="M26" s="13"/>
      <c r="N26" s="150"/>
      <c r="O26" s="13"/>
      <c r="P26" s="13"/>
      <c r="Q26" s="150"/>
    </row>
    <row r="27" spans="1:17" ht="20.100000000000001" customHeight="1" x14ac:dyDescent="0.2">
      <c r="A27" s="5" t="str">
        <f>HYPERLINK("#'4.6.1.1-2 Methane'!A1", "4.6.1.1-2 Manure Methane")</f>
        <v>4.6.1.1-2 Manure Methane</v>
      </c>
      <c r="D27" s="33"/>
      <c r="E27" s="247"/>
      <c r="F27" s="13"/>
      <c r="G27" s="13"/>
      <c r="H27" s="150"/>
      <c r="I27" s="13"/>
      <c r="J27" s="13"/>
      <c r="K27" s="150"/>
      <c r="L27" s="13"/>
      <c r="M27" s="13"/>
      <c r="N27" s="150"/>
      <c r="O27" s="13"/>
      <c r="P27" s="13"/>
      <c r="Q27" s="150"/>
    </row>
    <row r="28" spans="1:17" ht="20.100000000000001" customHeight="1" x14ac:dyDescent="0.2">
      <c r="A28" s="5" t="str">
        <f>HYPERLINK("#'4.6.1.3-4 Direct N20'!A1", "4.6.1.3-4 Manure Direct N2O")</f>
        <v>4.6.1.3-4 Manure Direct N2O</v>
      </c>
      <c r="D28" s="33"/>
      <c r="E28" s="247"/>
      <c r="F28" s="13"/>
      <c r="G28" s="13"/>
      <c r="H28" s="150"/>
      <c r="I28" s="13"/>
      <c r="J28" s="13"/>
      <c r="K28" s="150"/>
      <c r="L28" s="13"/>
      <c r="M28" s="13"/>
      <c r="N28" s="150"/>
      <c r="O28" s="13"/>
      <c r="P28" s="13"/>
      <c r="Q28" s="150"/>
    </row>
    <row r="29" spans="1:17" ht="20.100000000000001" customHeight="1" x14ac:dyDescent="0.2">
      <c r="A29" s="5" t="str">
        <f>HYPERLINK("#'4.6.1.5-6 Atmos Dep'!A1", "4.6.1.5-6 Manure Atmos Dep")</f>
        <v>4.6.1.5-6 Manure Atmos Dep</v>
      </c>
    </row>
    <row r="30" spans="1:17" ht="20.100000000000001" customHeight="1" x14ac:dyDescent="0.2">
      <c r="A30" s="5" t="str">
        <f>HYPERLINK("#'4.6.1.7-8 Leaching and runoff'!A1", "4.6.1.7-8 Manure Leaching and runoff")</f>
        <v>4.6.1.7-8 Manure Leaching and runoff</v>
      </c>
    </row>
    <row r="31" spans="1:17" ht="20.100000000000001" customHeight="1" x14ac:dyDescent="0.2">
      <c r="A31" s="5" t="str">
        <f>HYPERLINK("#'4.6.1.9 Manure applied to soils'!A1", "4.6.1.9 Manure applied to soils")</f>
        <v>4.6.1.9 Manure applied to soils</v>
      </c>
      <c r="D31" s="244" t="s">
        <v>999</v>
      </c>
    </row>
    <row r="32" spans="1:17" ht="20.100000000000001" customHeight="1" x14ac:dyDescent="0.2">
      <c r="A32" s="5" t="str">
        <f>HYPERLINK("#'4.6.1.10-11 Soil direct N2O'!A1", "4.6.1.10-11 Soil direct N2O")</f>
        <v>4.6.1.10-11 Soil direct N2O</v>
      </c>
      <c r="D32" s="78" t="s">
        <v>952</v>
      </c>
      <c r="E32" s="78" t="s">
        <v>953</v>
      </c>
      <c r="F32" s="78" t="s">
        <v>1000</v>
      </c>
    </row>
    <row r="33" spans="1:6" ht="20.100000000000001" customHeight="1" x14ac:dyDescent="0.2">
      <c r="A33" s="5" t="str">
        <f>HYPERLINK("#'4.6.1.12-13 Soil atmos dep'!A1", "4.6.1.12-13 Soil atmos dep")</f>
        <v>4.6.1.12-13 Soil atmos dep</v>
      </c>
      <c r="D33" s="33" t="s">
        <v>1001</v>
      </c>
      <c r="E33" s="198" t="s">
        <v>1002</v>
      </c>
      <c r="F33" s="74">
        <v>100</v>
      </c>
    </row>
    <row r="34" spans="1:6" ht="20.100000000000001" customHeight="1" x14ac:dyDescent="0.2">
      <c r="A34" s="5" t="str">
        <f>HYPERLINK("#'4.6.1.14-15 Soil leach runoff'!A1", "4.6.1.14-15 Soil leach runoff")</f>
        <v>4.6.1.14-15 Soil leach runoff</v>
      </c>
      <c r="D34" s="33" t="s">
        <v>1003</v>
      </c>
      <c r="E34" s="248" t="s">
        <v>1004</v>
      </c>
      <c r="F34" s="242">
        <v>100</v>
      </c>
    </row>
    <row r="35" spans="1:6" ht="20.100000000000001" customHeight="1" x14ac:dyDescent="0.2">
      <c r="A35" s="5" t="str">
        <f>HYPERLINK("#'8.1.1.1-2 Transport fuel'!A1", "8.1.1.1-2 Transport fuel")</f>
        <v>8.1.1.1-2 Transport fuel</v>
      </c>
      <c r="D35" s="33" t="s">
        <v>1005</v>
      </c>
      <c r="E35" s="248" t="s">
        <v>1006</v>
      </c>
      <c r="F35" s="242">
        <v>100</v>
      </c>
    </row>
    <row r="36" spans="1:6" ht="20.100000000000001" customHeight="1" x14ac:dyDescent="0.2">
      <c r="A36" s="5" t="str">
        <f>HYPERLINK("#'8.2.1.1-2 Stationary fuel'!A1", "8.2.1.1-2 Stationary fuel")</f>
        <v>8.2.1.1-2 Stationary fuel</v>
      </c>
      <c r="D36" s="33" t="s">
        <v>1007</v>
      </c>
      <c r="E36" s="248" t="s">
        <v>1008</v>
      </c>
      <c r="F36" s="242">
        <v>100</v>
      </c>
    </row>
    <row r="37" spans="1:6" ht="20.100000000000001" customHeight="1" x14ac:dyDescent="0.2">
      <c r="A37" s="5" t="str">
        <f>HYPERLINK("#'10.1.1-2 Solid waste treatment'!A1", "10.1.1.1-2 Solid waste")</f>
        <v>10.1.1.1-2 Solid waste</v>
      </c>
      <c r="D37" s="33" t="s">
        <v>1001</v>
      </c>
      <c r="E37" s="248" t="s">
        <v>1002</v>
      </c>
      <c r="F37" s="242">
        <v>100</v>
      </c>
    </row>
    <row r="38" spans="1:6" ht="20.100000000000001" customHeight="1" x14ac:dyDescent="0.2">
      <c r="A38" s="5" t="str">
        <f>HYPERLINK("#'14.1.1-2 Purchased electricity'!A1", "14.1.1-2 Purchased electricity")</f>
        <v>14.1.1-2 Purchased electricity</v>
      </c>
      <c r="D38" s="33" t="s">
        <v>1003</v>
      </c>
      <c r="E38" s="248" t="s">
        <v>1004</v>
      </c>
      <c r="F38" s="242">
        <v>100</v>
      </c>
    </row>
    <row r="39" spans="1:6" ht="20.100000000000001" customHeight="1" x14ac:dyDescent="0.2">
      <c r="A39" s="5" t="str">
        <f>HYPERLINK("#'15 Scope 3'!A1", "15 Scope 3")</f>
        <v>15 Scope 3</v>
      </c>
      <c r="D39" s="33"/>
      <c r="E39" s="198"/>
      <c r="F39" s="74"/>
    </row>
    <row r="40" spans="1:6" ht="20.100000000000001" customHeight="1" x14ac:dyDescent="0.2">
      <c r="A40" s="5" t="str">
        <f>HYPERLINK("#'Calcs - Manure sent off-site'!A1", "Calcs - Manure sent off-site")</f>
        <v>Calcs - Manure sent off-site</v>
      </c>
      <c r="D40" s="33"/>
      <c r="E40" s="198"/>
      <c r="F40" s="74"/>
    </row>
    <row r="41" spans="1:6" ht="20.100000000000001" customHeight="1" x14ac:dyDescent="0.2">
      <c r="A41" s="5" t="str">
        <f>HYPERLINK("#'5.1.1.1-2 Inorganic fert N2O'!A1", "5.1.1.1-2 Inorganic fert N2O")</f>
        <v>5.1.1.1-2 Inorganic fert N2O</v>
      </c>
      <c r="D41" s="33"/>
      <c r="E41" s="198"/>
      <c r="F41" s="74"/>
    </row>
    <row r="42" spans="1:6" ht="20.100000000000001" customHeight="1" x14ac:dyDescent="0.2">
      <c r="A42" s="5" t="str">
        <f>HYPERLINK("#'5.1.1.3-4 Inorganic fert CO2'!A1", "5.1.1.3-4 Inorganic fert CO2")</f>
        <v>5.1.1.3-4 Inorganic fert CO2</v>
      </c>
      <c r="D42" s="33"/>
      <c r="E42" s="198"/>
      <c r="F42" s="74"/>
    </row>
    <row r="43" spans="1:6" ht="20.100000000000001" customHeight="1" x14ac:dyDescent="0.2">
      <c r="A43" s="5" t="str">
        <f>HYPERLINK("#'5.2.1.1-2 Organic Fert N2O'!A1", "5.2.1.1-2 Organic Fert N2O")</f>
        <v>5.2.1.1-2 Organic Fert N2O</v>
      </c>
    </row>
    <row r="44" spans="1:6" ht="20.100000000000001" customHeight="1" x14ac:dyDescent="0.2">
      <c r="A44" s="5" t="str">
        <f>HYPERLINK("#'5.3.1.1-2 Lime CO2'!A1", "5.3.1.1-2 Lime CO2")</f>
        <v>5.3.1.1-2 Lime CO2</v>
      </c>
    </row>
    <row r="45" spans="1:6" ht="20.100000000000001" customHeight="1" x14ac:dyDescent="0.2">
      <c r="A45" s="5" t="str">
        <f>HYPERLINK("#'5.4.1.1-4 Atmos deposition'!A1", "5.4.1.1-4 Atmos deposition")</f>
        <v>5.4.1.1-4 Atmos deposition</v>
      </c>
    </row>
    <row r="46" spans="1:6" ht="20.100000000000001" customHeight="1" x14ac:dyDescent="0.2">
      <c r="A46" s="5" t="str">
        <f>HYPERLINK("#'5.5.1.1-2 Leaching and runoff'!A1", "5.5.1.1-2 Leaching and runoff")</f>
        <v>5.5.1.1-2 Leaching and runoff</v>
      </c>
      <c r="D46" s="2" t="s">
        <v>1009</v>
      </c>
      <c r="E46" s="239"/>
      <c r="F46" s="239"/>
    </row>
    <row r="47" spans="1:6" ht="20.100000000000001" customHeight="1" x14ac:dyDescent="0.2">
      <c r="D47" s="1" t="str">
        <f>'Constants - Scope 3'!E202</f>
        <v>Animal ear tags (large)</v>
      </c>
      <c r="E47" s="74">
        <v>100</v>
      </c>
      <c r="F47" s="16" t="s">
        <v>1010</v>
      </c>
    </row>
    <row r="48" spans="1:6" ht="20.100000000000001" customHeight="1" x14ac:dyDescent="0.2">
      <c r="D48" s="1" t="str">
        <f>'Constants - Scope 3'!E203</f>
        <v>Animal ear tags (small)</v>
      </c>
      <c r="E48" s="74">
        <v>200</v>
      </c>
      <c r="F48" s="16" t="s">
        <v>1010</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3">
    <dataValidation type="list" allowBlank="1" showInputMessage="1" showErrorMessage="1" sqref="E33:E42" xr:uid="{29CEB145-5155-42E5-8811-53E5166A43A4}">
      <formula1>INDIRECT("Table_SourceData_Scope3_ChemicalsPharmacy[Product]")</formula1>
    </dataValidation>
    <dataValidation type="list" allowBlank="1" showInputMessage="1" showErrorMessage="1" sqref="M19:M28 P19:P28 J19:J28 G19:G28" xr:uid="{4E430547-A927-4A55-84FF-53C678689991}">
      <formula1>INDIRECT("Table_ProductRegions_" &amp; SUBSTITUTE(SUBSTITUTE(SUBSTITUTE(SUBSTITUTE(F19, " ", ""), ",", ""), "(", ""), ")", "") &amp; "[Region]")</formula1>
    </dataValidation>
    <dataValidation type="list" allowBlank="1" showInputMessage="1" showErrorMessage="1" sqref="F19:F28 I19:I28 L19:L28 O19:O28" xr:uid="{3907FA40-5501-4E62-B496-9A9DAFD78509}">
      <formula1>INDIRECT(_xlfn.UNIQUE("Table_SourceData_Scope3_Feed[Product]"))</formula1>
    </dataValidation>
  </dataValidations>
  <pageMargins left="0.7" right="0.7" top="0.75" bottom="0.75" header="0.3" footer="0.3"/>
  <tableParts count="2">
    <tablePart r:id="rId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C002DF-5225-4057-9CCE-7325213EDCCD}">
  <sheetPr>
    <tabColor theme="5" tint="-0.249977111117893"/>
  </sheetPr>
  <dimension ref="A1:J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 width="40.7109375" style="1" customWidth="1"/>
    <col min="5" max="9" width="30.5703125" style="1" customWidth="1"/>
    <col min="10" max="10" width="4.5703125" style="1" customWidth="1"/>
  </cols>
  <sheetData>
    <row r="1" spans="1:10" s="10" customFormat="1" ht="30" customHeight="1" x14ac:dyDescent="0.35">
      <c r="C1" s="10" t="s">
        <v>1011</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row>
    <row r="6" spans="1:10" ht="20.100000000000001" customHeight="1" x14ac:dyDescent="0.2">
      <c r="D6" s="2" t="s">
        <v>1012</v>
      </c>
    </row>
    <row r="8" spans="1:10" ht="20.100000000000001" customHeight="1" x14ac:dyDescent="0.2">
      <c r="A8" s="7" t="s">
        <v>0</v>
      </c>
      <c r="D8" s="19" t="s">
        <v>1013</v>
      </c>
      <c r="E8" s="19" t="s">
        <v>1014</v>
      </c>
      <c r="F8" s="19" t="s">
        <v>1015</v>
      </c>
      <c r="G8" s="19" t="s">
        <v>1016</v>
      </c>
      <c r="H8" s="19" t="s">
        <v>1017</v>
      </c>
    </row>
    <row r="9" spans="1:10" ht="20.100000000000001" customHeight="1" x14ac:dyDescent="0.2">
      <c r="A9" s="5" t="str">
        <f>HYPERLINK("#'Input - Enterprise'!A1", "Enterprise")</f>
        <v>Enterprise</v>
      </c>
      <c r="D9" s="33" t="s">
        <v>1018</v>
      </c>
      <c r="E9" s="13" t="s">
        <v>1019</v>
      </c>
      <c r="F9" s="19">
        <v>986</v>
      </c>
      <c r="G9" s="19">
        <v>10</v>
      </c>
      <c r="H9" s="19">
        <v>52</v>
      </c>
    </row>
    <row r="10" spans="1:10" ht="20.100000000000001" customHeight="1" x14ac:dyDescent="0.2">
      <c r="A10" s="5" t="str">
        <f>HYPERLINK("#'Input - Site'!A1", "Site")</f>
        <v>Site</v>
      </c>
      <c r="D10" s="33" t="s">
        <v>1020</v>
      </c>
      <c r="E10" s="13" t="s">
        <v>1021</v>
      </c>
      <c r="F10" s="19">
        <v>65</v>
      </c>
      <c r="G10" s="19">
        <v>10</v>
      </c>
      <c r="H10" s="19">
        <v>6</v>
      </c>
    </row>
    <row r="11" spans="1:10" ht="20.100000000000001" customHeight="1" x14ac:dyDescent="0.2">
      <c r="A11" s="5" t="str">
        <f>HYPERLINK("#'Input - Poultry'!A1", "Poultry")</f>
        <v>Poultry</v>
      </c>
      <c r="D11" s="33"/>
      <c r="E11" s="13"/>
      <c r="F11" s="19"/>
      <c r="G11" s="19"/>
      <c r="H11" s="19"/>
    </row>
    <row r="12" spans="1:10" ht="20.100000000000001" customHeight="1" x14ac:dyDescent="0.2">
      <c r="A12" s="5" t="str">
        <f>HYPERLINK("#'Input - Livestock sales'!A1", "Livestock sales")</f>
        <v>Livestock sales</v>
      </c>
      <c r="D12" s="33"/>
      <c r="E12" s="13"/>
      <c r="F12" s="19"/>
      <c r="G12" s="19"/>
      <c r="H12" s="19"/>
    </row>
    <row r="13" spans="1:10" ht="20.100000000000001" customHeight="1" x14ac:dyDescent="0.2">
      <c r="A13" s="5" t="str">
        <f>HYPERLINK("#'Input - Poultry purchases'!A1", "Poultry purchases")</f>
        <v>Poultry purchases</v>
      </c>
      <c r="D13" s="33"/>
      <c r="E13" s="13"/>
      <c r="F13" s="19"/>
      <c r="G13" s="19"/>
      <c r="H13" s="19"/>
    </row>
    <row r="14" spans="1:10" ht="20.100000000000001" customHeight="1" x14ac:dyDescent="0.2">
      <c r="A14" s="5" t="str">
        <f>HYPERLINK("#'Input - Fuel'!A1", "Fuel")</f>
        <v>Fuel</v>
      </c>
      <c r="D14" s="33"/>
      <c r="E14" s="13"/>
      <c r="F14" s="19"/>
      <c r="G14" s="19"/>
      <c r="H14" s="19"/>
    </row>
    <row r="15" spans="1:10" ht="20.100000000000001" customHeight="1" x14ac:dyDescent="0.2">
      <c r="A15" s="5" t="str">
        <f>HYPERLINK("#'Input - Electricity'!A1", "Electricity")</f>
        <v>Electricity</v>
      </c>
      <c r="D15" s="33"/>
      <c r="E15" s="13"/>
      <c r="F15" s="19"/>
      <c r="G15" s="19"/>
      <c r="H15" s="19"/>
    </row>
    <row r="16" spans="1:10" ht="20.100000000000001" customHeight="1" x14ac:dyDescent="0.2">
      <c r="A16" s="5" t="str">
        <f>HYPERLINK("#'Input - Common farm inputs'!A1", "Common farm inputs")</f>
        <v>Common farm inputs</v>
      </c>
      <c r="D16" s="33"/>
      <c r="E16" s="13"/>
      <c r="F16" s="19"/>
      <c r="G16" s="19"/>
      <c r="H16" s="19"/>
    </row>
    <row r="17" spans="1:8" ht="20.100000000000001" customHeight="1" x14ac:dyDescent="0.2">
      <c r="A17" s="5" t="str">
        <f>HYPERLINK("#'Input - Livestock farm Inputs'!A1", "Livestock farm Inputs")</f>
        <v>Livestock farm Inputs</v>
      </c>
      <c r="D17" s="33"/>
      <c r="E17" s="13"/>
      <c r="F17" s="19"/>
      <c r="G17" s="19"/>
      <c r="H17" s="19"/>
    </row>
    <row r="18" spans="1:8" ht="20.100000000000001" customHeight="1" x14ac:dyDescent="0.2">
      <c r="A18" s="100" t="str">
        <f>HYPERLINK("#'Input - Freight'!A1", "Freight")</f>
        <v>Freight</v>
      </c>
      <c r="D18" s="33"/>
      <c r="E18" s="13"/>
      <c r="F18" s="19"/>
      <c r="G18" s="19"/>
      <c r="H18" s="19"/>
    </row>
    <row r="19" spans="1:8" ht="20.100000000000001" customHeight="1" x14ac:dyDescent="0.2">
      <c r="A19" s="5" t="str">
        <f>HYPERLINK("#'Input - Solid waste'!A1", "Solid waste")</f>
        <v>Solid waste</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row>
    <row r="22" spans="1:8" ht="20.100000000000001" customHeight="1" x14ac:dyDescent="0.2">
      <c r="A22" s="5" t="str">
        <f>HYPERLINK("#'Input - Fert Prod System'!A1", "Fert Prod System")</f>
        <v>Fert Prod System</v>
      </c>
      <c r="D22" s="2" t="s">
        <v>1022</v>
      </c>
    </row>
    <row r="23" spans="1:8" ht="20.100000000000001" customHeight="1" x14ac:dyDescent="0.2">
      <c r="A23" s="5" t="str">
        <f>HYPERLINK("#'Input - Fertiliser'!A1", "Fertiliser")</f>
        <v>Fertiliser</v>
      </c>
    </row>
    <row r="24" spans="1:8" ht="20.100000000000001" customHeight="1" x14ac:dyDescent="0.2">
      <c r="D24" s="19" t="s">
        <v>1013</v>
      </c>
      <c r="E24" s="19" t="s">
        <v>1014</v>
      </c>
      <c r="F24" s="19" t="s">
        <v>1015</v>
      </c>
      <c r="G24" s="19" t="s">
        <v>1016</v>
      </c>
      <c r="H24" s="19" t="s">
        <v>1017</v>
      </c>
    </row>
    <row r="25" spans="1:8" ht="20.100000000000001" customHeight="1" x14ac:dyDescent="0.2">
      <c r="D25" s="33" t="s">
        <v>1023</v>
      </c>
      <c r="E25" s="13" t="s">
        <v>1019</v>
      </c>
      <c r="F25" s="19">
        <v>65</v>
      </c>
      <c r="G25" s="19">
        <v>20</v>
      </c>
      <c r="H25" s="19">
        <v>52</v>
      </c>
    </row>
    <row r="26" spans="1:8" ht="20.100000000000001" customHeight="1" x14ac:dyDescent="0.2">
      <c r="A26" s="6" t="s">
        <v>2</v>
      </c>
      <c r="D26" s="33"/>
      <c r="E26" s="13"/>
      <c r="F26" s="19"/>
      <c r="G26" s="19"/>
      <c r="H26" s="19"/>
    </row>
    <row r="27" spans="1:8" ht="20.100000000000001" customHeight="1" x14ac:dyDescent="0.2">
      <c r="A27" s="5" t="str">
        <f>HYPERLINK("#'4.6.1.1-2 Methane'!A1", "4.6.1.1-2 Manure Methane")</f>
        <v>4.6.1.1-2 Manure Methane</v>
      </c>
      <c r="D27" s="33"/>
      <c r="E27" s="13"/>
      <c r="F27" s="19"/>
      <c r="G27" s="19"/>
      <c r="H27" s="19"/>
    </row>
    <row r="28" spans="1:8" ht="20.100000000000001" customHeight="1" x14ac:dyDescent="0.2">
      <c r="A28" s="5" t="str">
        <f>HYPERLINK("#'4.6.1.3-4 Direct N20'!A1", "4.6.1.3-4 Manure Direct N2O")</f>
        <v>4.6.1.3-4 Manure Direct N2O</v>
      </c>
      <c r="D28" s="33"/>
      <c r="E28" s="13"/>
      <c r="F28" s="19"/>
      <c r="G28" s="19"/>
      <c r="H28" s="19"/>
    </row>
    <row r="29" spans="1:8" ht="20.100000000000001" customHeight="1" x14ac:dyDescent="0.2">
      <c r="A29" s="5" t="str">
        <f>HYPERLINK("#'4.6.1.5-6 Atmos Dep'!A1", "4.6.1.5-6 Manure Atmos Dep")</f>
        <v>4.6.1.5-6 Manure Atmos Dep</v>
      </c>
      <c r="D29" s="33"/>
      <c r="E29" s="13"/>
      <c r="F29" s="19"/>
      <c r="G29" s="19"/>
      <c r="H29" s="19"/>
    </row>
    <row r="30" spans="1:8" ht="20.100000000000001" customHeight="1" x14ac:dyDescent="0.2">
      <c r="A30" s="5" t="str">
        <f>HYPERLINK("#'4.6.1.7-8 Leaching and runoff'!A1", "4.6.1.7-8 Manure Leaching and runoff")</f>
        <v>4.6.1.7-8 Manure Leaching and runoff</v>
      </c>
      <c r="D30" s="33"/>
      <c r="E30" s="13"/>
      <c r="F30" s="19"/>
      <c r="G30" s="19"/>
      <c r="H30" s="19"/>
    </row>
    <row r="31" spans="1:8" ht="20.100000000000001" customHeight="1" x14ac:dyDescent="0.2">
      <c r="A31" s="5" t="str">
        <f>HYPERLINK("#'4.6.1.9 Manure applied to soils'!A1", "4.6.1.9 Manure applied to soils")</f>
        <v>4.6.1.9 Manure applied to soils</v>
      </c>
      <c r="D31" s="33"/>
      <c r="E31" s="13"/>
      <c r="F31" s="19"/>
      <c r="G31" s="19"/>
      <c r="H31" s="19"/>
    </row>
    <row r="32" spans="1:8" ht="20.100000000000001" customHeight="1" x14ac:dyDescent="0.2">
      <c r="A32" s="5" t="str">
        <f>HYPERLINK("#'4.6.1.10-11 Soil direct N2O'!A1", "4.6.1.10-11 Soil direct N2O")</f>
        <v>4.6.1.10-11 Soil direct N2O</v>
      </c>
      <c r="D32" s="33"/>
      <c r="E32" s="13"/>
      <c r="F32" s="19"/>
      <c r="G32" s="19"/>
      <c r="H32" s="19"/>
    </row>
    <row r="33" spans="1:8" ht="20.100000000000001" customHeight="1" x14ac:dyDescent="0.2">
      <c r="A33" s="5" t="str">
        <f>HYPERLINK("#'4.6.1.12-13 Soil atmos dep'!A1", "4.6.1.12-13 Soil atmos dep")</f>
        <v>4.6.1.12-13 Soil atmos dep</v>
      </c>
      <c r="D33" s="33"/>
      <c r="E33" s="13"/>
      <c r="F33" s="19"/>
      <c r="G33" s="19"/>
      <c r="H33" s="19"/>
    </row>
    <row r="34" spans="1:8" ht="20.100000000000001" customHeight="1" x14ac:dyDescent="0.2">
      <c r="A34" s="5" t="str">
        <f>HYPERLINK("#'4.6.1.14-15 Soil leach runoff'!A1", "4.6.1.14-15 Soil leach runoff")</f>
        <v>4.6.1.14-15 Soil leach runoff</v>
      </c>
      <c r="D34" s="33"/>
      <c r="E34" s="13"/>
      <c r="F34" s="19"/>
      <c r="G34" s="19"/>
      <c r="H34" s="19"/>
    </row>
    <row r="35" spans="1:8" ht="20.100000000000001" customHeight="1" x14ac:dyDescent="0.2">
      <c r="A35" s="5" t="str">
        <f>HYPERLINK("#'8.1.1.1-2 Transport fuel'!A1", "8.1.1.1-2 Transport fuel")</f>
        <v>8.1.1.1-2 Transport fuel</v>
      </c>
    </row>
    <row r="36" spans="1:8" ht="20.100000000000001" customHeight="1" x14ac:dyDescent="0.2">
      <c r="A36" s="5" t="str">
        <f>HYPERLINK("#'8.2.1.1-2 Stationary fuel'!A1", "8.2.1.1-2 Stationary fuel")</f>
        <v>8.2.1.1-2 Stationary fuel</v>
      </c>
    </row>
    <row r="37" spans="1:8" ht="20.100000000000001" customHeight="1" x14ac:dyDescent="0.2">
      <c r="A37" s="5" t="str">
        <f>HYPERLINK("#'10.1.1-2 Solid waste treatment'!A1", "10.1.1.1-2 Solid waste")</f>
        <v>10.1.1.1-2 Solid waste</v>
      </c>
    </row>
    <row r="38" spans="1:8" ht="20.100000000000001" customHeight="1" x14ac:dyDescent="0.2">
      <c r="A38" s="5" t="str">
        <f>HYPERLINK("#'14.1.1-2 Purchased electricity'!A1", "14.1.1-2 Purchased electricity")</f>
        <v>14.1.1-2 Purchased electricity</v>
      </c>
    </row>
    <row r="39" spans="1:8" ht="20.100000000000001" customHeight="1" x14ac:dyDescent="0.2">
      <c r="A39" s="5" t="str">
        <f>HYPERLINK("#'15 Scope 3'!A1", "15 Scope 3")</f>
        <v>15 Scope 3</v>
      </c>
    </row>
    <row r="40" spans="1:8" ht="20.100000000000001" customHeight="1" x14ac:dyDescent="0.2">
      <c r="A40" s="5" t="str">
        <f>HYPERLINK("#'Calcs - Manure sent off-site'!A1", "Calcs - Manure sent off-site")</f>
        <v>Calcs - Manure sent off-site</v>
      </c>
    </row>
    <row r="41" spans="1:8" ht="20.100000000000001" customHeight="1" x14ac:dyDescent="0.2">
      <c r="A41" s="5" t="str">
        <f>HYPERLINK("#'5.1.1.1-2 Inorganic fert N2O'!A1", "5.1.1.1-2 Inorganic fert N2O")</f>
        <v>5.1.1.1-2 Inorganic fert N2O</v>
      </c>
    </row>
    <row r="42" spans="1:8" ht="20.100000000000001" customHeight="1" x14ac:dyDescent="0.2">
      <c r="A42" s="5" t="str">
        <f>HYPERLINK("#'5.1.1.3-4 Inorganic fert CO2'!A1", "5.1.1.3-4 Inorganic fert CO2")</f>
        <v>5.1.1.3-4 Inorganic fert CO2</v>
      </c>
    </row>
    <row r="43" spans="1:8" ht="20.100000000000001" customHeight="1" x14ac:dyDescent="0.2">
      <c r="A43" s="5" t="str">
        <f>HYPERLINK("#'5.2.1.1-2 Organic Fert N2O'!A1", "5.2.1.1-2 Organic Fert N2O")</f>
        <v>5.2.1.1-2 Organic Fert N2O</v>
      </c>
    </row>
    <row r="44" spans="1:8" ht="20.100000000000001" customHeight="1" x14ac:dyDescent="0.2">
      <c r="A44" s="5" t="str">
        <f>HYPERLINK("#'5.3.1.1-2 Lime CO2'!A1", "5.3.1.1-2 Lime CO2")</f>
        <v>5.3.1.1-2 Lime CO2</v>
      </c>
    </row>
    <row r="45" spans="1:8" ht="20.100000000000001" customHeight="1" x14ac:dyDescent="0.2">
      <c r="A45" s="5" t="str">
        <f>HYPERLINK("#'5.4.1.1-4 Atmos deposition'!A1", "5.4.1.1-4 Atmos deposition")</f>
        <v>5.4.1.1-4 Atmos deposition</v>
      </c>
    </row>
    <row r="46" spans="1:8"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1">
    <dataValidation type="list" allowBlank="1" showInputMessage="1" showErrorMessage="1" sqref="E9:E18 E25:E34" xr:uid="{4019C685-1F14-456C-B29F-68B6050C495E}">
      <formula1>"Transport in truck, Rail, Long haul flight, medium haul flight, Small container ship, Large container ship"</formula1>
    </dataValidation>
  </dataValidations>
  <pageMargins left="0.7" right="0.7" top="0.75" bottom="0.75" header="0.3" footer="0.3"/>
  <tableParts count="2">
    <tablePart r:id="rId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1B3DEE-0B05-4B5F-A717-8CC9EA13734B}">
  <sheetPr>
    <tabColor theme="5" tint="-0.249977111117893"/>
  </sheetPr>
  <dimension ref="A1:L385"/>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10" customFormat="1" ht="30" customHeight="1" x14ac:dyDescent="0.35">
      <c r="A1" s="10" t="e" vm="1">
        <v>#VALUE!</v>
      </c>
      <c r="C1" s="10" t="s">
        <v>874</v>
      </c>
    </row>
    <row r="2" spans="1:10" s="3" customFormat="1" ht="20.100000000000001" customHeight="1" x14ac:dyDescent="0.2">
      <c r="A2"/>
    </row>
    <row r="3" spans="1:10" ht="20.100000000000001" customHeight="1" x14ac:dyDescent="0.2">
      <c r="A3" s="5" t="str">
        <f>HYPERLINK("#'Home'!A1", "Home")</f>
        <v>Home</v>
      </c>
      <c r="C3" s="28"/>
      <c r="D3" s="28"/>
      <c r="E3" s="28"/>
      <c r="F3" s="28"/>
      <c r="G3" s="28"/>
      <c r="H3" s="28"/>
      <c r="I3" s="28"/>
      <c r="J3" s="28"/>
    </row>
    <row r="4" spans="1:10" ht="20.100000000000001" customHeight="1" x14ac:dyDescent="0.2">
      <c r="A4" s="5" t="str">
        <f>HYPERLINK("#'Results - Activity period'!A1", "Results - Activity period")</f>
        <v>Results - Activity period</v>
      </c>
    </row>
    <row r="5" spans="1:10" ht="20.100000000000001" customHeight="1" x14ac:dyDescent="0.2">
      <c r="A5" s="5" t="str">
        <f>HYPERLINK("#'Results - Product EI'!A1", "Results - Product Emissions Intensity")</f>
        <v>Results - Product Emissions Intensity</v>
      </c>
      <c r="D5" s="2" t="s">
        <v>875</v>
      </c>
    </row>
    <row r="7" spans="1:10" ht="20.100000000000001" customHeight="1" x14ac:dyDescent="0.2">
      <c r="D7" s="35" t="s">
        <v>557</v>
      </c>
      <c r="E7" s="38"/>
    </row>
    <row r="8" spans="1:10" ht="20.100000000000001" customHeight="1" x14ac:dyDescent="0.2">
      <c r="A8" s="7" t="s">
        <v>0</v>
      </c>
    </row>
    <row r="9" spans="1:10" ht="20.100000000000001" customHeight="1" x14ac:dyDescent="0.2">
      <c r="A9" s="5" t="str">
        <f>HYPERLINK("#'Input - Enterprise'!A1", "Enterprise")</f>
        <v>Enterprise</v>
      </c>
      <c r="D9" s="78" t="s">
        <v>156</v>
      </c>
      <c r="E9" s="78" t="s">
        <v>876</v>
      </c>
      <c r="F9" s="78" t="s">
        <v>877</v>
      </c>
      <c r="G9" s="78" t="s">
        <v>878</v>
      </c>
      <c r="H9" s="78" t="s">
        <v>879</v>
      </c>
      <c r="I9" s="78" t="s">
        <v>880</v>
      </c>
    </row>
    <row r="10" spans="1:10" ht="20.100000000000001" customHeight="1" x14ac:dyDescent="0.2">
      <c r="A10" s="5" t="str">
        <f>HYPERLINK("#'Input - Site'!A1", "Site")</f>
        <v>Site</v>
      </c>
      <c r="D10" s="33" t="s">
        <v>881</v>
      </c>
      <c r="E10" s="13" t="s">
        <v>882</v>
      </c>
      <c r="F10" s="13" t="s">
        <v>883</v>
      </c>
      <c r="G10" s="13" t="s">
        <v>884</v>
      </c>
      <c r="H10" s="74">
        <v>50</v>
      </c>
      <c r="I10" s="13" t="s">
        <v>19</v>
      </c>
    </row>
    <row r="11" spans="1:10" ht="20.100000000000001" customHeight="1" x14ac:dyDescent="0.2">
      <c r="A11" s="5" t="str">
        <f>HYPERLINK("#'Input - Poultry'!A1", "Poultry")</f>
        <v>Poultry</v>
      </c>
      <c r="D11" s="33" t="s">
        <v>885</v>
      </c>
      <c r="E11" s="13" t="s">
        <v>882</v>
      </c>
      <c r="F11" s="13" t="s">
        <v>883</v>
      </c>
      <c r="G11" s="13" t="s">
        <v>886</v>
      </c>
      <c r="H11" s="74">
        <v>50</v>
      </c>
      <c r="I11" s="13" t="s">
        <v>887</v>
      </c>
    </row>
    <row r="12" spans="1:10" ht="20.100000000000001" customHeight="1" x14ac:dyDescent="0.2">
      <c r="A12" s="5" t="str">
        <f>HYPERLINK("#'Input - Livestock sales'!A1", "Livestock sales")</f>
        <v>Livestock sales</v>
      </c>
      <c r="D12" s="33" t="s">
        <v>888</v>
      </c>
      <c r="E12" s="13" t="s">
        <v>882</v>
      </c>
      <c r="F12" s="13" t="s">
        <v>889</v>
      </c>
      <c r="G12" s="13" t="s">
        <v>884</v>
      </c>
      <c r="H12" s="74">
        <v>50</v>
      </c>
      <c r="I12" s="13" t="s">
        <v>19</v>
      </c>
    </row>
    <row r="13" spans="1:10" ht="20.100000000000001" customHeight="1" x14ac:dyDescent="0.2">
      <c r="A13" s="5" t="str">
        <f>HYPERLINK("#'Input - Poultry purchases'!A1", "Poultry purchases")</f>
        <v>Poultry purchases</v>
      </c>
      <c r="D13" s="33" t="s">
        <v>890</v>
      </c>
      <c r="E13" s="13" t="s">
        <v>882</v>
      </c>
      <c r="F13" s="13" t="s">
        <v>889</v>
      </c>
      <c r="G13" s="13" t="s">
        <v>886</v>
      </c>
      <c r="H13" s="74">
        <v>50</v>
      </c>
      <c r="I13" s="13" t="s">
        <v>887</v>
      </c>
    </row>
    <row r="14" spans="1:10" ht="20.100000000000001" customHeight="1" x14ac:dyDescent="0.2">
      <c r="A14" s="5" t="str">
        <f>HYPERLINK("#'Input - Fuel'!A1", "Fuel")</f>
        <v>Fuel</v>
      </c>
      <c r="D14" s="33" t="s">
        <v>891</v>
      </c>
      <c r="E14" s="13" t="s">
        <v>892</v>
      </c>
      <c r="F14" s="13" t="s">
        <v>889</v>
      </c>
      <c r="G14" s="13" t="s">
        <v>884</v>
      </c>
      <c r="H14" s="74">
        <v>50</v>
      </c>
      <c r="I14" s="13" t="s">
        <v>19</v>
      </c>
    </row>
    <row r="15" spans="1:10" ht="20.100000000000001" customHeight="1" x14ac:dyDescent="0.2">
      <c r="A15" s="5" t="str">
        <f>HYPERLINK("#'Input - Electricity'!A1", "Electricity")</f>
        <v>Electricity</v>
      </c>
      <c r="D15" s="33" t="s">
        <v>893</v>
      </c>
      <c r="E15" s="13" t="s">
        <v>892</v>
      </c>
      <c r="F15" s="13" t="s">
        <v>889</v>
      </c>
      <c r="G15" s="13" t="s">
        <v>884</v>
      </c>
      <c r="H15" s="74">
        <v>50</v>
      </c>
      <c r="I15" s="13" t="s">
        <v>887</v>
      </c>
    </row>
    <row r="16" spans="1:10" ht="20.100000000000001" customHeight="1" x14ac:dyDescent="0.2">
      <c r="A16" s="5" t="str">
        <f>HYPERLINK("#'Input - Common farm inputs'!A1", "Common farm inputs")</f>
        <v>Common farm inputs</v>
      </c>
      <c r="D16" s="33" t="s">
        <v>894</v>
      </c>
      <c r="E16" s="13" t="s">
        <v>892</v>
      </c>
      <c r="F16" s="13" t="s">
        <v>889</v>
      </c>
      <c r="G16" s="13" t="s">
        <v>886</v>
      </c>
      <c r="H16" s="74">
        <v>50</v>
      </c>
      <c r="I16" s="13" t="s">
        <v>19</v>
      </c>
    </row>
    <row r="17" spans="1:11" ht="20.100000000000001" customHeight="1" x14ac:dyDescent="0.2">
      <c r="A17" s="5" t="str">
        <f>HYPERLINK("#'Input - Livestock farm Inputs'!A1", "Livestock farm Inputs")</f>
        <v>Livestock farm Inputs</v>
      </c>
      <c r="D17" s="33" t="s">
        <v>895</v>
      </c>
      <c r="E17" s="13" t="s">
        <v>892</v>
      </c>
      <c r="F17" s="13" t="s">
        <v>889</v>
      </c>
      <c r="G17" s="13" t="s">
        <v>886</v>
      </c>
      <c r="H17" s="74">
        <v>50</v>
      </c>
      <c r="I17" s="13" t="s">
        <v>887</v>
      </c>
    </row>
    <row r="18" spans="1:11" ht="20.100000000000001" customHeight="1" x14ac:dyDescent="0.2">
      <c r="A18" s="5" t="str">
        <f>HYPERLINK("#'Input - Freight'!A1", "Freight")</f>
        <v>Freight</v>
      </c>
      <c r="D18" s="33" t="s">
        <v>896</v>
      </c>
      <c r="E18" s="13" t="s">
        <v>892</v>
      </c>
      <c r="F18" s="13" t="s">
        <v>883</v>
      </c>
      <c r="G18" s="13" t="s">
        <v>884</v>
      </c>
      <c r="H18" s="74">
        <v>50</v>
      </c>
      <c r="I18" s="13" t="s">
        <v>19</v>
      </c>
    </row>
    <row r="19" spans="1:11" ht="20.100000000000001" customHeight="1" x14ac:dyDescent="0.2">
      <c r="A19" s="100" t="str">
        <f>HYPERLINK("#'Input - Solid waste'!A1", "Solid waste")</f>
        <v>Solid waste</v>
      </c>
      <c r="D19" s="33" t="s">
        <v>897</v>
      </c>
      <c r="E19" s="13" t="s">
        <v>892</v>
      </c>
      <c r="F19" s="13" t="s">
        <v>883</v>
      </c>
      <c r="G19" s="13" t="s">
        <v>884</v>
      </c>
      <c r="H19" s="74">
        <v>50</v>
      </c>
      <c r="I19" s="13" t="s">
        <v>887</v>
      </c>
    </row>
    <row r="20" spans="1:11" ht="20.100000000000001" customHeight="1" x14ac:dyDescent="0.2">
      <c r="A20" s="5" t="str">
        <f>HYPERLINK("#'Input - Manure sent off-site'!A1", "Manure sent off-site")</f>
        <v>Manure sent off-site</v>
      </c>
      <c r="D20" s="33" t="s">
        <v>898</v>
      </c>
      <c r="E20" s="13" t="s">
        <v>892</v>
      </c>
      <c r="F20" s="13" t="s">
        <v>883</v>
      </c>
      <c r="G20" s="13" t="s">
        <v>886</v>
      </c>
      <c r="H20" s="74">
        <v>50</v>
      </c>
      <c r="I20" s="13" t="s">
        <v>19</v>
      </c>
    </row>
    <row r="21" spans="1:11" ht="20.100000000000001" customHeight="1" x14ac:dyDescent="0.2">
      <c r="A21" s="5" t="str">
        <f>HYPERLINK("#'Input - Data quality'!A1", "Data quality")</f>
        <v>Data quality</v>
      </c>
      <c r="D21" s="33" t="s">
        <v>899</v>
      </c>
      <c r="E21" s="13" t="s">
        <v>892</v>
      </c>
      <c r="F21" s="13" t="s">
        <v>883</v>
      </c>
      <c r="G21" s="13" t="s">
        <v>886</v>
      </c>
      <c r="H21" s="74">
        <v>50</v>
      </c>
      <c r="I21" s="13" t="s">
        <v>887</v>
      </c>
    </row>
    <row r="22" spans="1:11" ht="20.100000000000001" customHeight="1" x14ac:dyDescent="0.2">
      <c r="A22" s="5" t="str">
        <f>HYPERLINK("#'Input - Fert Prod System'!A1", "Fert Prod System")</f>
        <v>Fert Prod System</v>
      </c>
      <c r="D22" s="33" t="s">
        <v>900</v>
      </c>
      <c r="E22" s="13" t="s">
        <v>892</v>
      </c>
      <c r="F22" s="13" t="s">
        <v>901</v>
      </c>
      <c r="G22" s="13" t="s">
        <v>884</v>
      </c>
      <c r="H22" s="74">
        <v>50</v>
      </c>
      <c r="I22" s="13" t="s">
        <v>19</v>
      </c>
    </row>
    <row r="23" spans="1:11" ht="20.100000000000001" customHeight="1" x14ac:dyDescent="0.2">
      <c r="A23" s="5" t="str">
        <f>HYPERLINK("#'Input - Fertiliser'!A1", "Fertiliser")</f>
        <v>Fertiliser</v>
      </c>
      <c r="D23" s="33" t="s">
        <v>902</v>
      </c>
      <c r="E23" s="13" t="s">
        <v>892</v>
      </c>
      <c r="F23" s="13" t="s">
        <v>901</v>
      </c>
      <c r="G23" s="13" t="s">
        <v>884</v>
      </c>
      <c r="H23" s="74">
        <v>50</v>
      </c>
      <c r="I23" s="13" t="s">
        <v>887</v>
      </c>
    </row>
    <row r="24" spans="1:11" ht="20.100000000000001" customHeight="1" x14ac:dyDescent="0.2">
      <c r="D24" s="33" t="s">
        <v>903</v>
      </c>
      <c r="E24" s="13" t="s">
        <v>892</v>
      </c>
      <c r="F24" s="13" t="s">
        <v>901</v>
      </c>
      <c r="G24" s="13" t="s">
        <v>886</v>
      </c>
      <c r="H24" s="74">
        <v>50</v>
      </c>
      <c r="I24" s="13" t="s">
        <v>19</v>
      </c>
    </row>
    <row r="25" spans="1:11" ht="20.100000000000001" customHeight="1" x14ac:dyDescent="0.2">
      <c r="D25" s="33" t="s">
        <v>904</v>
      </c>
      <c r="E25" s="13" t="s">
        <v>892</v>
      </c>
      <c r="F25" s="13" t="s">
        <v>901</v>
      </c>
      <c r="G25" s="13" t="s">
        <v>886</v>
      </c>
      <c r="H25" s="74">
        <v>50</v>
      </c>
      <c r="I25" s="13" t="s">
        <v>887</v>
      </c>
    </row>
    <row r="26" spans="1:11" ht="20.100000000000001" customHeight="1" x14ac:dyDescent="0.2">
      <c r="A26" s="6" t="s">
        <v>2</v>
      </c>
      <c r="D26" s="33" t="s">
        <v>905</v>
      </c>
      <c r="E26" s="13" t="s">
        <v>906</v>
      </c>
      <c r="F26" s="13" t="s">
        <v>883</v>
      </c>
      <c r="G26" s="13" t="s">
        <v>886</v>
      </c>
      <c r="H26" s="74">
        <v>50</v>
      </c>
      <c r="I26" s="13" t="s">
        <v>19</v>
      </c>
    </row>
    <row r="27" spans="1:11" ht="20.100000000000001" customHeight="1" x14ac:dyDescent="0.2">
      <c r="A27" s="5" t="str">
        <f>HYPERLINK("#'4.6.1.1-2 Methane'!A1", "4.6.1.1-2 Manure Methane")</f>
        <v>4.6.1.1-2 Manure Methane</v>
      </c>
      <c r="D27" s="33" t="s">
        <v>907</v>
      </c>
      <c r="E27" s="13" t="s">
        <v>906</v>
      </c>
      <c r="F27" s="13" t="s">
        <v>883</v>
      </c>
      <c r="G27" s="13" t="s">
        <v>886</v>
      </c>
      <c r="H27" s="74">
        <v>50</v>
      </c>
      <c r="I27" s="13" t="s">
        <v>887</v>
      </c>
    </row>
    <row r="28" spans="1:11" ht="20.100000000000001" customHeight="1" x14ac:dyDescent="0.2">
      <c r="A28" s="5" t="str">
        <f>HYPERLINK("#'4.6.1.3-4 Direct N20'!A1", "4.6.1.3-4 Manure Direct N2O")</f>
        <v>4.6.1.3-4 Manure Direct N2O</v>
      </c>
      <c r="D28" s="33" t="s">
        <v>908</v>
      </c>
      <c r="E28" s="13" t="s">
        <v>906</v>
      </c>
      <c r="F28" s="13" t="s">
        <v>901</v>
      </c>
      <c r="G28" s="13" t="s">
        <v>886</v>
      </c>
      <c r="H28" s="74">
        <v>50</v>
      </c>
      <c r="I28" s="13" t="s">
        <v>19</v>
      </c>
    </row>
    <row r="29" spans="1:11" ht="20.100000000000001" customHeight="1" x14ac:dyDescent="0.2">
      <c r="A29" s="5" t="str">
        <f>HYPERLINK("#'4.6.1.5-6 Atmos Dep'!A1", "4.6.1.5-6 Manure Atmos Dep")</f>
        <v>4.6.1.5-6 Manure Atmos Dep</v>
      </c>
      <c r="D29" s="33" t="s">
        <v>909</v>
      </c>
      <c r="E29" s="13" t="s">
        <v>906</v>
      </c>
      <c r="F29" s="13" t="s">
        <v>901</v>
      </c>
      <c r="G29" s="13" t="s">
        <v>886</v>
      </c>
      <c r="H29" s="74">
        <v>50</v>
      </c>
      <c r="I29" s="13" t="s">
        <v>887</v>
      </c>
      <c r="K29" s="140"/>
    </row>
    <row r="30" spans="1:11" ht="20.100000000000001" customHeight="1" x14ac:dyDescent="0.2">
      <c r="A30" s="5" t="str">
        <f>HYPERLINK("#'4.6.1.7-8 Leaching and runoff'!A1", "4.6.1.7-8 Manure Leaching and runoff")</f>
        <v>4.6.1.7-8 Manure Leaching and runoff</v>
      </c>
      <c r="D30" s="33" t="s">
        <v>910</v>
      </c>
      <c r="E30" s="13" t="s">
        <v>906</v>
      </c>
      <c r="F30" s="13" t="s">
        <v>901</v>
      </c>
      <c r="G30" s="13" t="s">
        <v>884</v>
      </c>
      <c r="H30" s="74">
        <v>50</v>
      </c>
      <c r="I30" s="13" t="s">
        <v>19</v>
      </c>
      <c r="K30" s="140"/>
    </row>
    <row r="31" spans="1:11" ht="20.100000000000001" customHeight="1" x14ac:dyDescent="0.2">
      <c r="A31" s="5" t="str">
        <f>HYPERLINK("#'4.6.1.9 Manure applied to soils'!A1", "4.6.1.9 Manure applied to soils")</f>
        <v>4.6.1.9 Manure applied to soils</v>
      </c>
      <c r="D31" s="33" t="s">
        <v>911</v>
      </c>
      <c r="E31" s="13" t="s">
        <v>906</v>
      </c>
      <c r="F31" s="13" t="s">
        <v>901</v>
      </c>
      <c r="G31" s="13" t="s">
        <v>884</v>
      </c>
      <c r="H31" s="74">
        <v>50</v>
      </c>
      <c r="I31" s="13" t="s">
        <v>887</v>
      </c>
      <c r="K31" s="140"/>
    </row>
    <row r="32" spans="1:11" ht="20.100000000000001" customHeight="1" x14ac:dyDescent="0.2">
      <c r="A32" s="5" t="str">
        <f>HYPERLINK("#'4.6.1.10-11 Soil direct N2O'!A1", "4.6.1.10-11 Soil direct N2O")</f>
        <v>4.6.1.10-11 Soil direct N2O</v>
      </c>
      <c r="D32" s="33" t="s">
        <v>909</v>
      </c>
      <c r="E32" s="13" t="s">
        <v>906</v>
      </c>
      <c r="F32" s="13" t="s">
        <v>901</v>
      </c>
      <c r="G32" s="13" t="s">
        <v>886</v>
      </c>
      <c r="H32" s="74">
        <v>50</v>
      </c>
      <c r="I32" s="13" t="s">
        <v>887</v>
      </c>
      <c r="K32" s="140"/>
    </row>
    <row r="33" spans="1:12" ht="20.100000000000001" customHeight="1" x14ac:dyDescent="0.2">
      <c r="A33" s="5" t="str">
        <f>HYPERLINK("#'4.6.1.12-13 Soil atmos dep'!A1", "4.6.1.12-13 Soil atmos dep")</f>
        <v>4.6.1.12-13 Soil atmos dep</v>
      </c>
      <c r="K33" s="140"/>
    </row>
    <row r="34" spans="1:12" ht="20.100000000000001" customHeight="1" x14ac:dyDescent="0.2">
      <c r="A34" s="5" t="str">
        <f>HYPERLINK("#'4.6.1.14-15 Soil leach runoff'!A1", "4.6.1.14-15 Soil leach runoff")</f>
        <v>4.6.1.14-15 Soil leach runoff</v>
      </c>
      <c r="K34" s="140"/>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c r="L36" s="140"/>
    </row>
    <row r="37" spans="1:12" ht="20.100000000000001" customHeight="1" x14ac:dyDescent="0.2">
      <c r="A37" s="5" t="str">
        <f>HYPERLINK("#'10.1.1-2 Solid waste treatment'!A1", "10.1.1.1-2 Solid waste")</f>
        <v>10.1.1.1-2 Solid waste</v>
      </c>
      <c r="L37" s="140"/>
    </row>
    <row r="38" spans="1:12" ht="20.100000000000001" customHeight="1" x14ac:dyDescent="0.2">
      <c r="A38" s="5" t="str">
        <f>HYPERLINK("#'14.1.1-2 Purchased electricity'!A1", "14.1.1-2 Purchased electricity")</f>
        <v>14.1.1-2 Purchased electricity</v>
      </c>
      <c r="C38" s="142"/>
    </row>
    <row r="39" spans="1:12" ht="20.100000000000001" customHeight="1" x14ac:dyDescent="0.2">
      <c r="A39" s="5" t="str">
        <f>HYPERLINK("#'15 Scope 3'!A1", "15 Scope 3")</f>
        <v>15 Scope 3</v>
      </c>
      <c r="C39" s="142"/>
      <c r="J39" s="142"/>
    </row>
    <row r="40" spans="1:12" s="140" customFormat="1" ht="20.100000000000001" customHeight="1" x14ac:dyDescent="0.2">
      <c r="A40" s="5" t="str">
        <f>HYPERLINK("#'Calcs - Manure sent off-site'!A1", "Calcs - Manure sent off-site")</f>
        <v>Calcs - Manure sent off-site</v>
      </c>
      <c r="C40" s="1"/>
      <c r="D40" s="1"/>
      <c r="E40" s="1"/>
      <c r="F40" s="1"/>
      <c r="G40" s="1"/>
      <c r="H40" s="1"/>
      <c r="I40" s="1"/>
      <c r="J40" s="1"/>
    </row>
    <row r="41" spans="1:12" s="140" customFormat="1" ht="20.100000000000001" customHeight="1" x14ac:dyDescent="0.2">
      <c r="A41" s="5" t="str">
        <f>HYPERLINK("#'5.1.1.1-2 Inorganic fert N2O'!A1", "5.1.1.1-2 Inorganic fert N2O")</f>
        <v>5.1.1.1-2 Inorganic fert N2O</v>
      </c>
      <c r="C41" s="1"/>
      <c r="D41" s="1"/>
      <c r="E41" s="1"/>
      <c r="F41" s="1"/>
      <c r="G41" s="1"/>
      <c r="H41" s="1"/>
      <c r="I41" s="1"/>
      <c r="J41" s="1"/>
      <c r="L41" s="140" t="s">
        <v>313</v>
      </c>
    </row>
    <row r="42" spans="1:12" ht="20.100000000000001" customHeight="1" x14ac:dyDescent="0.2">
      <c r="A42" s="5" t="str">
        <f>HYPERLINK("#'5.1.1.3-4 Inorganic fert CO2'!A1", "5.1.1.3-4 Inorganic fert CO2")</f>
        <v>5.1.1.3-4 Inorganic fert CO2</v>
      </c>
    </row>
    <row r="43" spans="1:12" ht="20.100000000000001" customHeight="1" x14ac:dyDescent="0.2">
      <c r="A43" s="5" t="str">
        <f>HYPERLINK("#'5.2.1.1-2 Organic Fert N2O'!A1", "5.2.1.1-2 Organic Fert N2O")</f>
        <v>5.2.1.1-2 Organic Fert N2O</v>
      </c>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73" spans="4:4" ht="20.100000000000001" customHeight="1" x14ac:dyDescent="0.2">
      <c r="D73" s="145"/>
    </row>
    <row r="75" spans="4:4" ht="20.100000000000001" customHeight="1" x14ac:dyDescent="0.2">
      <c r="D75" s="145"/>
    </row>
    <row r="76" spans="4:4" ht="20.100000000000001" customHeight="1" x14ac:dyDescent="0.2">
      <c r="D76" s="145"/>
    </row>
    <row r="385" spans="4:4" ht="20.100000000000001" customHeight="1" x14ac:dyDescent="0.2">
      <c r="D385" s="87"/>
    </row>
  </sheetData>
  <conditionalFormatting sqref="F162:F163">
    <cfRule type="cellIs" dxfId="43" priority="7" operator="lessThan">
      <formula>0</formula>
    </cfRule>
  </conditionalFormatting>
  <conditionalFormatting sqref="F174:F175">
    <cfRule type="cellIs" dxfId="42" priority="6" operator="lessThan">
      <formula>0</formula>
    </cfRule>
  </conditionalFormatting>
  <conditionalFormatting sqref="F186:F187">
    <cfRule type="cellIs" dxfId="41" priority="5" operator="lessThan">
      <formula>0</formula>
    </cfRule>
  </conditionalFormatting>
  <conditionalFormatting sqref="F274:F275">
    <cfRule type="cellIs" dxfId="40" priority="17" operator="lessThan">
      <formula>0</formula>
    </cfRule>
  </conditionalFormatting>
  <conditionalFormatting sqref="F279:F280">
    <cfRule type="cellIs" dxfId="39" priority="16" operator="lessThan">
      <formula>0</formula>
    </cfRule>
  </conditionalFormatting>
  <conditionalFormatting sqref="F284:F285">
    <cfRule type="cellIs" dxfId="38" priority="15" operator="lessThan">
      <formula>0</formula>
    </cfRule>
  </conditionalFormatting>
  <conditionalFormatting sqref="F308:F309">
    <cfRule type="cellIs" dxfId="37" priority="14" operator="lessThan">
      <formula>0</formula>
    </cfRule>
  </conditionalFormatting>
  <conditionalFormatting sqref="F313:F314">
    <cfRule type="cellIs" dxfId="36" priority="13" operator="lessThan">
      <formula>0</formula>
    </cfRule>
  </conditionalFormatting>
  <conditionalFormatting sqref="F318:F319">
    <cfRule type="cellIs" dxfId="35" priority="12" operator="lessThan">
      <formula>0</formula>
    </cfRule>
  </conditionalFormatting>
  <conditionalFormatting sqref="I33 F71">
    <cfRule type="cellIs" dxfId="34" priority="9" operator="lessThan">
      <formula>0</formula>
    </cfRule>
  </conditionalFormatting>
  <conditionalFormatting sqref="I79:I83">
    <cfRule type="cellIs" dxfId="33" priority="4" operator="lessThan">
      <formula>0</formula>
    </cfRule>
  </conditionalFormatting>
  <conditionalFormatting sqref="I87 I146">
    <cfRule type="cellIs" dxfId="32" priority="10" operator="lessThan">
      <formula>0</formula>
    </cfRule>
  </conditionalFormatting>
  <conditionalFormatting sqref="I98:I100">
    <cfRule type="cellIs" dxfId="31" priority="3" operator="lessThan">
      <formula>0</formula>
    </cfRule>
  </conditionalFormatting>
  <conditionalFormatting sqref="I104:I107">
    <cfRule type="cellIs" dxfId="30" priority="2" operator="lessThan">
      <formula>0</formula>
    </cfRule>
  </conditionalFormatting>
  <conditionalFormatting sqref="I111:I115">
    <cfRule type="cellIs" dxfId="29" priority="1" operator="lessThan">
      <formula>0</formula>
    </cfRule>
  </conditionalFormatting>
  <conditionalFormatting sqref="J8 I65:I66 H67:H69 I68 I70:I72 I74:I75 I226 I232 E234:G234">
    <cfRule type="cellIs" dxfId="28" priority="11" operator="lessThan">
      <formula>0</formula>
    </cfRule>
  </conditionalFormatting>
  <conditionalFormatting sqref="J37 I59 F150:F151">
    <cfRule type="cellIs" dxfId="27" priority="8" operator="lessThan">
      <formula>0</formula>
    </cfRule>
  </conditionalFormatting>
  <dataValidations count="9">
    <dataValidation type="list" allowBlank="1" showInputMessage="1" showErrorMessage="1" sqref="F10:F32" xr:uid="{9DF9D10B-6628-4ECB-813C-297EBDE0A181}">
      <formula1>INDIRECT("Table_WasteTypes_" &amp; SUBSTITUTE(E10, " ", "") &amp; "[Waste type w]")</formula1>
    </dataValidation>
    <dataValidation type="list" allowBlank="1" showInputMessage="1" showErrorMessage="1" sqref="I10:I32" xr:uid="{70FBD6EE-FA1D-461C-88AE-598B1292B3B6}">
      <formula1>"tonnes, cubic metres m3"</formula1>
    </dataValidation>
    <dataValidation type="list" allowBlank="1" showInputMessage="1" showErrorMessage="1" sqref="G10:G32" xr:uid="{ED53205C-4087-4009-8DDA-0E754067FC3D}">
      <formula1>"Treated on-site, Removed and treated off-site"</formula1>
    </dataValidation>
    <dataValidation type="list" allowBlank="1" showInputMessage="1" showErrorMessage="1" sqref="E10:E32" xr:uid="{981922ED-5346-47AC-898C-84F236B7359B}">
      <formula1>INDIRECT(_xlfn.UNIQUE("Table_SourceData_WasteSolid_WasteTreatmentEFs[Treatment type t]"))</formula1>
    </dataValidation>
    <dataValidation type="list" allowBlank="1" showInputMessage="1" showErrorMessage="1" sqref="E35" xr:uid="{B6EE4F0E-43BD-48A6-B986-4BF94B5B3DB9}">
      <formula1>INDIRECT("Table_SourceData_ElectricityEFs[State, Territory or grid description]")</formula1>
    </dataValidation>
    <dataValidation type="list" allowBlank="1" showInputMessage="1" showErrorMessage="1" sqref="E89" xr:uid="{73007D6C-0CC8-473B-B2C6-CE0179D0977C}">
      <formula1>INDIRECT("Table_SourceData_Swine_IrrigationMethods[Irrigation method]")</formula1>
    </dataValidation>
    <dataValidation type="list" allowBlank="1" showInputMessage="1" showErrorMessage="1" sqref="E273 E278 E283 E317 E312 E307 E185 E173 E149 E161" xr:uid="{9190F9FF-FA9A-4230-912C-F773843DF69D}">
      <formula1>"Yes, No"</formula1>
    </dataValidation>
    <dataValidation type="list" allowBlank="1" showInputMessage="1" showErrorMessage="1" sqref="E249" xr:uid="{47FC60D2-BD93-42D5-8F11-336254461D85}">
      <formula1>INDIRECT("Table_SourceData_Dairy_ProductionSystemTemplates[Area]")</formula1>
    </dataValidation>
    <dataValidation type="list" allowBlank="1" showInputMessage="1" showErrorMessage="1" sqref="D301" xr:uid="{6C563287-894A-4D26-9F8D-66DEFF98B079}">
      <formula1>INDIRECT("Table_SourceData_PoultryMMSStage1[MMS]")</formula1>
    </dataValidation>
  </dataValidations>
  <pageMargins left="0.7" right="0.7" top="0.75" bottom="0.75" header="0.3" footer="0.3"/>
  <pageSetup paperSize="9" orientation="portrait"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1BF6F8-D6CA-427E-A274-5F863F9CD570}">
  <sheetPr>
    <tabColor theme="5" tint="-0.249977111117893"/>
  </sheetPr>
  <dimension ref="A1:K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s>
  <sheetData>
    <row r="1" spans="1:11" ht="30" customHeight="1" x14ac:dyDescent="0.35">
      <c r="A1" s="10" t="e" vm="1">
        <v>#VALUE!</v>
      </c>
      <c r="C1" s="10" t="s">
        <v>1024</v>
      </c>
      <c r="D1" s="10"/>
      <c r="E1" s="10"/>
      <c r="F1" s="10"/>
      <c r="G1" s="10"/>
      <c r="H1" s="10"/>
      <c r="I1" s="10"/>
      <c r="J1" s="10"/>
      <c r="K1" s="10"/>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
        <v>1025</v>
      </c>
    </row>
    <row r="7" spans="1:11" ht="20.100000000000001" customHeight="1" x14ac:dyDescent="0.2">
      <c r="D7" s="1" t="s">
        <v>1026</v>
      </c>
    </row>
    <row r="8" spans="1:11" ht="20.100000000000001" customHeight="1" x14ac:dyDescent="0.2">
      <c r="A8" s="7" t="s">
        <v>0</v>
      </c>
      <c r="D8" s="1" t="s">
        <v>1027</v>
      </c>
    </row>
    <row r="9" spans="1:11" ht="20.100000000000001" customHeight="1" x14ac:dyDescent="0.2">
      <c r="A9" s="5" t="str">
        <f>HYPERLINK("#'Input - Enterprise'!A1", "Enterprise")</f>
        <v>Enterprise</v>
      </c>
    </row>
    <row r="10" spans="1:11" ht="20.100000000000001" customHeight="1" x14ac:dyDescent="0.2">
      <c r="A10" s="5" t="str">
        <f>HYPERLINK("#'Input - Site'!A1", "Site")</f>
        <v>Site</v>
      </c>
      <c r="D10" s="1" t="s">
        <v>1028</v>
      </c>
      <c r="F10" s="74">
        <v>1000</v>
      </c>
      <c r="G10" s="16" t="s">
        <v>483</v>
      </c>
    </row>
    <row r="11" spans="1:11" ht="20.100000000000001" customHeight="1" x14ac:dyDescent="0.2">
      <c r="A11" s="5" t="str">
        <f>HYPERLINK("#'Input - Poultry'!A1", "Poultry")</f>
        <v>Poultry</v>
      </c>
      <c r="D11" s="1" t="s">
        <v>1029</v>
      </c>
      <c r="F11" s="74">
        <v>2000</v>
      </c>
      <c r="G11" s="16" t="s">
        <v>483</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c r="D13" s="1" t="s">
        <v>1030</v>
      </c>
      <c r="F13" s="13" t="s">
        <v>325</v>
      </c>
      <c r="G13" s="16" t="s">
        <v>100</v>
      </c>
    </row>
    <row r="14" spans="1:11" ht="20.100000000000001" customHeight="1" x14ac:dyDescent="0.2">
      <c r="A14" s="5" t="str">
        <f>HYPERLINK("#'Input - Fuel'!A1", "Fuel")</f>
        <v>Fuel</v>
      </c>
      <c r="D14" s="1" t="s">
        <v>1031</v>
      </c>
      <c r="F14" s="13" t="s">
        <v>326</v>
      </c>
      <c r="G14" s="16" t="s">
        <v>100</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100"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5"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2">
    <dataValidation type="list" allowBlank="1" showInputMessage="1" showErrorMessage="1" sqref="F14" xr:uid="{6F23D51E-5157-4DDF-9008-DC9A4C40C960}">
      <formula1>INDIRECT("Table_SourceData_Fertiliser_IrrigationMethods[Irrigation method]")</formula1>
    </dataValidation>
    <dataValidation type="list" allowBlank="1" showInputMessage="1" showErrorMessage="1" sqref="F13" xr:uid="{B31960BE-3109-44F5-89A4-0F41676FDBED}">
      <formula1>INDIRECT("Table_SourceData_Fertiliser_CropProdSystems[Production system]")</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A6CAE-AEA5-40D0-AB61-E3C60BCDF82A}">
  <sheetPr>
    <tabColor rgb="FFCC6600"/>
  </sheetPr>
  <dimension ref="A1:M6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9" style="1" customWidth="1"/>
    <col min="5" max="7" width="30.7109375" style="1" customWidth="1"/>
    <col min="8" max="8" width="101.28515625" style="1" customWidth="1"/>
    <col min="9" max="9" width="74.5703125" style="1" customWidth="1"/>
    <col min="10" max="13" width="30.7109375" style="1" customWidth="1"/>
    <col min="14" max="14" width="30.7109375" customWidth="1"/>
  </cols>
  <sheetData>
    <row r="1" spans="1:13" s="10" customFormat="1" ht="30" customHeight="1" x14ac:dyDescent="0.35">
      <c r="C1" s="10" t="s">
        <v>147</v>
      </c>
    </row>
    <row r="2" spans="1:13" s="3" customFormat="1" ht="20.100000000000001" customHeight="1" x14ac:dyDescent="0.2">
      <c r="A2"/>
    </row>
    <row r="3" spans="1:13" ht="20.100000000000001" customHeight="1" x14ac:dyDescent="0.2">
      <c r="A3" s="5" t="str">
        <f>HYPERLINK("#'Home'!A1", "Home")</f>
        <v>Home</v>
      </c>
      <c r="C3" s="28"/>
      <c r="D3" s="28"/>
      <c r="E3" s="28"/>
      <c r="F3" s="28"/>
      <c r="G3" s="28"/>
      <c r="H3" s="28"/>
      <c r="I3" s="28"/>
      <c r="J3" s="28"/>
      <c r="K3" s="28"/>
      <c r="L3" s="28"/>
      <c r="M3" s="28"/>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c r="D5" s="2" t="s">
        <v>219</v>
      </c>
    </row>
    <row r="7" spans="1:13" ht="20.100000000000001" customHeight="1" x14ac:dyDescent="0.2">
      <c r="D7" s="78" t="s">
        <v>220</v>
      </c>
      <c r="E7" s="78" t="s">
        <v>221</v>
      </c>
      <c r="F7" s="78" t="s">
        <v>222</v>
      </c>
      <c r="G7" s="78" t="s">
        <v>223</v>
      </c>
      <c r="H7" s="78" t="s">
        <v>148</v>
      </c>
      <c r="I7" s="78" t="s">
        <v>149</v>
      </c>
      <c r="J7" s="78" t="s">
        <v>150</v>
      </c>
    </row>
    <row r="8" spans="1:13" ht="20.100000000000001" customHeight="1" x14ac:dyDescent="0.2">
      <c r="A8" s="7" t="s">
        <v>0</v>
      </c>
      <c r="D8" s="1" t="str">
        <f>"Birds sold"</f>
        <v>Birds sold</v>
      </c>
      <c r="E8" s="13" t="s">
        <v>199</v>
      </c>
      <c r="F8" s="13" t="s">
        <v>204</v>
      </c>
      <c r="G8" s="13" t="s">
        <v>209</v>
      </c>
      <c r="H8" s="82"/>
      <c r="I8" s="82"/>
      <c r="J8"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15</v>
      </c>
    </row>
    <row r="9" spans="1:13" ht="20.100000000000001" customHeight="1" x14ac:dyDescent="0.2">
      <c r="A9" s="5" t="str">
        <f>HYPERLINK("#'Input - Enterprise'!A1", "Enterprise")</f>
        <v>Enterprise</v>
      </c>
      <c r="D9" s="1" t="str">
        <f>"Eggs sold"</f>
        <v>Eggs sold</v>
      </c>
      <c r="E9" s="13"/>
      <c r="F9" s="13"/>
      <c r="G9" s="13"/>
      <c r="H9" s="82"/>
      <c r="I9" s="82"/>
      <c r="J9"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0" spans="1:13" ht="20.100000000000001" customHeight="1" x14ac:dyDescent="0.2">
      <c r="A10" s="5" t="str">
        <f>HYPERLINK("#'Input - Site'!A1", "Site")</f>
        <v>Site</v>
      </c>
      <c r="D10" s="1" t="str">
        <f>"Manure produced"</f>
        <v>Manure produced</v>
      </c>
      <c r="E10" s="13" t="s">
        <v>200</v>
      </c>
      <c r="F10" s="13" t="s">
        <v>205</v>
      </c>
      <c r="G10" s="13" t="s">
        <v>210</v>
      </c>
      <c r="H10" s="82"/>
      <c r="I10" s="82"/>
      <c r="J10"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12</v>
      </c>
    </row>
    <row r="11" spans="1:13" ht="20.100000000000001" customHeight="1" x14ac:dyDescent="0.2">
      <c r="A11" s="5" t="str">
        <f>HYPERLINK("#'Input - Poultry'!A1", "Poultry")</f>
        <v>Poultry</v>
      </c>
      <c r="D11" s="1" t="str">
        <f>"Manure sold"</f>
        <v>Manure sold</v>
      </c>
      <c r="E11" s="13" t="s">
        <v>201</v>
      </c>
      <c r="F11" s="13" t="s">
        <v>206</v>
      </c>
      <c r="G11" s="13" t="s">
        <v>210</v>
      </c>
      <c r="H11" s="82"/>
      <c r="I11" s="82"/>
      <c r="J11"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10</v>
      </c>
    </row>
    <row r="12" spans="1:13" ht="20.100000000000001" customHeight="1" x14ac:dyDescent="0.2">
      <c r="A12" s="5" t="str">
        <f>HYPERLINK("#'Input - Livestock sales'!A1", "Livestock sales")</f>
        <v>Livestock sales</v>
      </c>
      <c r="D12" s="1" t="str">
        <f>"Percent income from birds sold"</f>
        <v>Percent income from birds sold</v>
      </c>
      <c r="E12" s="13" t="s">
        <v>203</v>
      </c>
      <c r="F12" s="13" t="s">
        <v>208</v>
      </c>
      <c r="G12" s="13" t="s">
        <v>213</v>
      </c>
      <c r="H12" s="82"/>
      <c r="I12" s="82"/>
      <c r="J12"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3</v>
      </c>
    </row>
    <row r="13" spans="1:13" ht="20.100000000000001" customHeight="1" x14ac:dyDescent="0.2">
      <c r="A13" s="5" t="str">
        <f>HYPERLINK("#'Input - Poultry purchases'!A1", "Poultry purchases")</f>
        <v>Poultry purchases</v>
      </c>
      <c r="D13" s="1" t="str">
        <f>"Percent income from eggs sold"</f>
        <v>Percent income from eggs sold</v>
      </c>
      <c r="E13" s="13"/>
      <c r="F13" s="13"/>
      <c r="G13" s="13"/>
      <c r="H13" s="82"/>
      <c r="I13" s="82"/>
      <c r="J13"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0</v>
      </c>
    </row>
    <row r="14" spans="1:13" ht="20.100000000000001" customHeight="1" x14ac:dyDescent="0.2">
      <c r="A14" s="5" t="str">
        <f>HYPERLINK("#'Input - Fuel'!A1", "Fuel")</f>
        <v>Fuel</v>
      </c>
      <c r="D14" s="1" t="str">
        <f>"Percent income from manure sold"</f>
        <v>Percent income from manure sold</v>
      </c>
      <c r="E14" s="13" t="s">
        <v>199</v>
      </c>
      <c r="F14" s="13" t="s">
        <v>205</v>
      </c>
      <c r="G14" s="13" t="s">
        <v>209</v>
      </c>
      <c r="H14" s="82"/>
      <c r="I14" s="82"/>
      <c r="J14" s="15">
        <f>IFERROR(_xlfn.XLOOKUP(Table_Input_DataQuality_Enterprise[[#This Row],[When was the data sourced?]],Table_SourceData_DataQuality_TemporalRepresentativeness[User friendly description],Table_SourceData_DataQuality_TemporalRepresentativeness[Score])+_xlfn.XLOOKUP(Table_Input_DataQuality_Enterprise[[#This Row],[Where is the data sourced from?]],Table_SourceData_DataQuality_SpatialRepresentativeness[User friendly description],Table_SourceData_DataQuality_SpatialRepresentativeness[Score])+_xlfn.XLOOKUP(Table_Input_DataQuality_Enterprise[[#This Row],[How much of the data was from direct samples?]],Table_SourceData_DataQuality_SampleSize[User friendly description],Table_SourceData_DataQuality_SampleSize[Score]), 0)</f>
        <v>14</v>
      </c>
    </row>
    <row r="15" spans="1:13" ht="20.100000000000001" customHeight="1" x14ac:dyDescent="0.2">
      <c r="A15" s="5" t="str">
        <f>HYPERLINK("#'Input - Electricity'!A1", "Electricity")</f>
        <v>Electricity</v>
      </c>
    </row>
    <row r="16" spans="1:13" ht="20.100000000000001" customHeight="1" x14ac:dyDescent="0.2">
      <c r="A16" s="5" t="str">
        <f>HYPERLINK("#'Input - Common farm inputs'!A1", "Common farm inputs")</f>
        <v>Common farm inputs</v>
      </c>
      <c r="J16" s="83">
        <f>SUM(Table_Input_DataQuality_Enterprise[Score])</f>
        <v>54</v>
      </c>
    </row>
    <row r="17" spans="1:10" ht="20.100000000000001" customHeight="1" x14ac:dyDescent="0.2">
      <c r="A17" s="5" t="str">
        <f>HYPERLINK("#'Input - Livestock farm Inputs'!A1", "Livestock farm Inputs")</f>
        <v>Livestock farm Inputs</v>
      </c>
      <c r="D17" s="2" t="s">
        <v>224</v>
      </c>
    </row>
    <row r="18" spans="1:10" ht="20.100000000000001" customHeight="1" x14ac:dyDescent="0.2">
      <c r="A18" s="5" t="str">
        <f>HYPERLINK("#'Input - Freight'!A1", "Freight")</f>
        <v>Freight</v>
      </c>
    </row>
    <row r="19" spans="1:10" ht="20.100000000000001" customHeight="1" x14ac:dyDescent="0.2">
      <c r="A19" s="5" t="str">
        <f>HYPERLINK("#'Input - Solid waste'!A1", "Solid waste")</f>
        <v>Solid waste</v>
      </c>
      <c r="D19" s="78" t="s">
        <v>220</v>
      </c>
      <c r="E19" s="78" t="s">
        <v>221</v>
      </c>
      <c r="F19" s="78" t="s">
        <v>222</v>
      </c>
      <c r="G19" s="78" t="s">
        <v>223</v>
      </c>
      <c r="H19" s="78" t="s">
        <v>148</v>
      </c>
      <c r="I19" s="78" t="s">
        <v>149</v>
      </c>
      <c r="J19" s="78" t="s">
        <v>150</v>
      </c>
    </row>
    <row r="20" spans="1:10" ht="20.100000000000001" customHeight="1" x14ac:dyDescent="0.2">
      <c r="A20" s="5" t="str">
        <f>HYPERLINK("#'Input - Manure sent off-site'!A1", "Manure sent off-site")</f>
        <v>Manure sent off-site</v>
      </c>
      <c r="D20" s="1" t="str">
        <f>"Leaching zone"</f>
        <v>Leaching zone</v>
      </c>
      <c r="E20" s="13" t="s">
        <v>200</v>
      </c>
      <c r="F20" s="13" t="s">
        <v>206</v>
      </c>
      <c r="G20" s="13" t="s">
        <v>209</v>
      </c>
      <c r="H20" s="82"/>
      <c r="I20" s="82"/>
      <c r="J20"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1" spans="1:10" ht="20.100000000000001" customHeight="1" x14ac:dyDescent="0.2">
      <c r="A21" s="100" t="str">
        <f>HYPERLINK("#'Input - Data quality'!A1", "Data quality")</f>
        <v>Data quality</v>
      </c>
      <c r="D21" s="1" t="str">
        <f>"Elevation"</f>
        <v>Elevation</v>
      </c>
      <c r="E21" s="13" t="s">
        <v>200</v>
      </c>
      <c r="F21" s="13" t="s">
        <v>206</v>
      </c>
      <c r="G21" s="13" t="s">
        <v>209</v>
      </c>
      <c r="H21" s="82"/>
      <c r="I21" s="82"/>
      <c r="J21"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2" spans="1:10" ht="20.100000000000001" customHeight="1" x14ac:dyDescent="0.2">
      <c r="A22" s="5" t="str">
        <f>HYPERLINK("#'Input - Fert Prod System'!A1", "Fert Prod System")</f>
        <v>Fert Prod System</v>
      </c>
      <c r="D22" s="1" t="str">
        <f>"Average temperature for reporting period"</f>
        <v>Average temperature for reporting period</v>
      </c>
      <c r="E22" s="13" t="s">
        <v>200</v>
      </c>
      <c r="F22" s="13" t="s">
        <v>206</v>
      </c>
      <c r="G22" s="13" t="s">
        <v>209</v>
      </c>
      <c r="H22" s="82"/>
      <c r="I22" s="82"/>
      <c r="J22"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3" spans="1:10" ht="20.100000000000001" customHeight="1" x14ac:dyDescent="0.2">
      <c r="A23" s="5" t="str">
        <f>HYPERLINK("#'Input - Fertiliser'!A1", "Fertiliser")</f>
        <v>Fertiliser</v>
      </c>
      <c r="D23" s="1" t="str">
        <f>"Total rainfall for reporting period"</f>
        <v>Total rainfall for reporting period</v>
      </c>
      <c r="E23" s="13" t="s">
        <v>199</v>
      </c>
      <c r="F23" s="13" t="s">
        <v>205</v>
      </c>
      <c r="G23" s="13" t="s">
        <v>209</v>
      </c>
      <c r="H23" s="82"/>
      <c r="I23" s="82"/>
      <c r="J23"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14</v>
      </c>
    </row>
    <row r="24" spans="1:10" ht="20.100000000000001" customHeight="1" x14ac:dyDescent="0.2">
      <c r="D24" s="1" t="str">
        <f>"Potential evapotranspiration for reporting period"</f>
        <v>Potential evapotranspiration for reporting period</v>
      </c>
      <c r="E24" s="13" t="s">
        <v>200</v>
      </c>
      <c r="F24" s="13" t="s">
        <v>206</v>
      </c>
      <c r="G24" s="13" t="s">
        <v>209</v>
      </c>
      <c r="H24" s="82"/>
      <c r="I24" s="82"/>
      <c r="J24"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12</v>
      </c>
    </row>
    <row r="25" spans="1:10" ht="20.100000000000001" customHeight="1" x14ac:dyDescent="0.2">
      <c r="D25" s="1" t="str">
        <f>"Number of frost days for reporting period"</f>
        <v>Number of frost days for reporting period</v>
      </c>
      <c r="E25" s="84" t="s">
        <v>201</v>
      </c>
      <c r="F25" s="84" t="s">
        <v>206</v>
      </c>
      <c r="G25" s="84" t="s">
        <v>209</v>
      </c>
      <c r="H25" s="82"/>
      <c r="I25" s="82"/>
      <c r="J25" s="15">
        <f>IFERROR(_xlfn.XLOOKUP(Table_Input_DataQuality_Site[[#This Row],[When was the data sourced?]],Table_SourceData_DataQuality_TemporalRepresentativeness[User friendly description],Table_SourceData_DataQuality_TemporalRepresentativeness[Score])+_xlfn.XLOOKUP(Table_Input_DataQuality_Site[[#This Row],[Where is the data sourced from?]],Table_SourceData_DataQuality_SpatialRepresentativeness[User friendly description],Table_SourceData_DataQuality_SpatialRepresentativeness[Score])+_xlfn.XLOOKUP(Table_Input_DataQuality_Site[[#This Row],[How much of the data was from direct samples?]],Table_SourceData_DataQuality_SampleSize[User friendly description],Table_SourceData_DataQuality_SampleSize[Score]), 0)</f>
        <v>11</v>
      </c>
    </row>
    <row r="26" spans="1:10" ht="20.100000000000001" customHeight="1" x14ac:dyDescent="0.2">
      <c r="A26" s="6" t="s">
        <v>2</v>
      </c>
    </row>
    <row r="27" spans="1:10" ht="20.100000000000001" customHeight="1" x14ac:dyDescent="0.2">
      <c r="A27" s="5" t="str">
        <f>HYPERLINK("#'4.6.1.1-2 Methane'!A1", "4.6.1.1-2 Manure Methane")</f>
        <v>4.6.1.1-2 Manure Methane</v>
      </c>
      <c r="J27" s="83">
        <f>SUM(Table_Input_DataQuality_Site[Score])</f>
        <v>73</v>
      </c>
    </row>
    <row r="28" spans="1:10" ht="20.100000000000001" customHeight="1" x14ac:dyDescent="0.2">
      <c r="A28" s="5" t="str">
        <f>HYPERLINK("#'4.6.1.3-4 Direct N20'!A1", "4.6.1.3-4 Manure Direct N2O")</f>
        <v>4.6.1.3-4 Manure Direct N2O</v>
      </c>
      <c r="D28" s="2" t="s">
        <v>278</v>
      </c>
    </row>
    <row r="29" spans="1:10" ht="20.100000000000001" customHeight="1" x14ac:dyDescent="0.2">
      <c r="A29" s="5" t="str">
        <f>HYPERLINK("#'4.6.1.5-6 Atmos Dep'!A1", "4.6.1.5-6 Manure Atmos Dep")</f>
        <v>4.6.1.5-6 Manure Atmos Dep</v>
      </c>
    </row>
    <row r="30" spans="1:10" ht="20.100000000000001" customHeight="1" x14ac:dyDescent="0.2">
      <c r="A30" s="5" t="str">
        <f>HYPERLINK("#'4.6.1.7-8 Leaching and runoff'!A1", "4.6.1.7-8 Manure Leaching and runoff")</f>
        <v>4.6.1.7-8 Manure Leaching and runoff</v>
      </c>
      <c r="D30" s="78" t="s">
        <v>220</v>
      </c>
      <c r="E30" s="78" t="s">
        <v>221</v>
      </c>
      <c r="F30" s="78" t="s">
        <v>222</v>
      </c>
      <c r="G30" s="78" t="s">
        <v>223</v>
      </c>
      <c r="H30" s="78" t="s">
        <v>148</v>
      </c>
      <c r="I30" s="78" t="s">
        <v>149</v>
      </c>
      <c r="J30" s="78" t="s">
        <v>150</v>
      </c>
    </row>
    <row r="31" spans="1:10" ht="20.100000000000001" customHeight="1" x14ac:dyDescent="0.2">
      <c r="A31" s="5" t="str">
        <f>HYPERLINK("#'4.6.1.9 Manure applied to soils'!A1", "4.6.1.9 Manure applied to soils")</f>
        <v>4.6.1.9 Manure applied to soils</v>
      </c>
      <c r="D31" s="1" t="str">
        <f>"Head count"</f>
        <v>Head count</v>
      </c>
      <c r="E31" s="13" t="s">
        <v>199</v>
      </c>
      <c r="F31" s="13" t="s">
        <v>205</v>
      </c>
      <c r="G31" s="13" t="s">
        <v>209</v>
      </c>
      <c r="H31" s="82"/>
      <c r="I31" s="82"/>
      <c r="J31"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2" spans="1:10" ht="20.100000000000001" customHeight="1" x14ac:dyDescent="0.2">
      <c r="A32" s="5" t="str">
        <f>HYPERLINK("#'4.6.1.10-11 Soil direct N2O'!A1", "4.6.1.10-11 Soil direct N2O")</f>
        <v>4.6.1.10-11 Soil direct N2O</v>
      </c>
      <c r="D32" s="1" t="str">
        <f>"Duration of stay"</f>
        <v>Duration of stay</v>
      </c>
      <c r="E32" s="13"/>
      <c r="F32" s="13"/>
      <c r="G32" s="13"/>
      <c r="H32" s="82"/>
      <c r="I32" s="82"/>
      <c r="J32"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3" spans="1:10" ht="20.100000000000001" customHeight="1" x14ac:dyDescent="0.2">
      <c r="A33" s="5" t="str">
        <f>HYPERLINK("#'4.6.1.12-13 Soil atmos dep'!A1", "4.6.1.12-13 Soil atmos dep")</f>
        <v>4.6.1.12-13 Soil atmos dep</v>
      </c>
      <c r="D33" s="1" t="str">
        <f>"Diet - Dry matter intake"</f>
        <v>Diet - Dry matter intake</v>
      </c>
      <c r="E33" s="13" t="s">
        <v>199</v>
      </c>
      <c r="F33" s="13" t="s">
        <v>205</v>
      </c>
      <c r="G33" s="13" t="s">
        <v>209</v>
      </c>
      <c r="H33" s="82"/>
      <c r="I33" s="82"/>
      <c r="J33"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4" spans="1:10" ht="20.100000000000001" customHeight="1" x14ac:dyDescent="0.2">
      <c r="A34" s="5" t="str">
        <f>HYPERLINK("#'4.6.1.14-15 Soil leach runoff'!A1", "4.6.1.14-15 Soil leach runoff")</f>
        <v>4.6.1.14-15 Soil leach runoff</v>
      </c>
      <c r="D34" s="1" t="str">
        <f>"Diet - Dry matter digestibility"</f>
        <v>Diet - Dry matter digestibility</v>
      </c>
      <c r="E34" s="13" t="s">
        <v>199</v>
      </c>
      <c r="F34" s="13" t="s">
        <v>205</v>
      </c>
      <c r="G34" s="13" t="s">
        <v>209</v>
      </c>
      <c r="H34" s="82"/>
      <c r="I34" s="82"/>
      <c r="J34"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5" spans="1:10" ht="20.100000000000001" customHeight="1" x14ac:dyDescent="0.2">
      <c r="A35" s="5" t="str">
        <f>HYPERLINK("#'8.1.1.1-2 Transport fuel'!A1", "8.1.1.1-2 Transport fuel")</f>
        <v>8.1.1.1-2 Transport fuel</v>
      </c>
      <c r="D35" s="1" t="str">
        <f>"Diet - Crude protein"</f>
        <v>Diet - Crude protein</v>
      </c>
      <c r="E35" s="13"/>
      <c r="F35" s="13"/>
      <c r="G35" s="13"/>
      <c r="H35" s="82"/>
      <c r="I35" s="82"/>
      <c r="J35"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6" spans="1:10" ht="20.100000000000001" customHeight="1" x14ac:dyDescent="0.2">
      <c r="A36" s="5" t="str">
        <f>HYPERLINK("#'8.2.1.1-2 Stationary fuel'!A1", "8.2.1.1-2 Stationary fuel")</f>
        <v>8.2.1.1-2 Stationary fuel</v>
      </c>
      <c r="D36" s="1" t="str">
        <f>"Production and manure management systems"</f>
        <v>Production and manure management systems</v>
      </c>
      <c r="E36" s="13" t="s">
        <v>199</v>
      </c>
      <c r="F36" s="13" t="s">
        <v>205</v>
      </c>
      <c r="G36" s="13" t="s">
        <v>209</v>
      </c>
      <c r="H36" s="82"/>
      <c r="I36" s="82"/>
      <c r="J36"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14</v>
      </c>
    </row>
    <row r="37" spans="1:10" ht="20.100000000000001" customHeight="1" x14ac:dyDescent="0.2">
      <c r="A37" s="5" t="str">
        <f>HYPERLINK("#'10.1.1-2 Solid waste treatment'!A1", "10.1.1.1-2 Solid waste")</f>
        <v>10.1.1.1-2 Solid waste</v>
      </c>
      <c r="D37" s="1" t="str">
        <f>"Bird sales"</f>
        <v>Bird sales</v>
      </c>
      <c r="E37" s="13"/>
      <c r="F37" s="13"/>
      <c r="G37" s="13"/>
      <c r="H37" s="82"/>
      <c r="I37" s="82"/>
      <c r="J37"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8" spans="1:10" ht="20.100000000000001" customHeight="1" x14ac:dyDescent="0.2">
      <c r="A38" s="5" t="str">
        <f>HYPERLINK("#'14.1.1-2 Purchased electricity'!A1", "14.1.1-2 Purchased electricity")</f>
        <v>14.1.1-2 Purchased electricity</v>
      </c>
      <c r="D38" s="1" t="str">
        <f>"Bird purchases"</f>
        <v>Bird purchases</v>
      </c>
      <c r="E38" s="13"/>
      <c r="F38" s="13"/>
      <c r="G38" s="13"/>
      <c r="H38" s="82"/>
      <c r="I38" s="82"/>
      <c r="J38" s="15">
        <f>IFERROR(_xlfn.XLOOKUP(Table_Input_DataQuality_PastureManagement[[#This Row],[When was the data sourced?]],Table_SourceData_DataQuality_TemporalRepresentativeness[User friendly description],Table_SourceData_DataQuality_TemporalRepresentativeness[Score])+_xlfn.XLOOKUP(Table_Input_DataQuality_PastureManagement[[#This Row],[Where is the data sourced from?]],Table_SourceData_DataQuality_SpatialRepresentativeness[User friendly description],Table_SourceData_DataQuality_SpatialRepresentativeness[Score])+_xlfn.XLOOKUP(Table_Input_DataQuality_PastureManagement[[#This Row],[How much of the data was from direct samples?]],Table_SourceData_DataQuality_SampleSize[User friendly description],Table_SourceData_DataQuality_SampleSize[Score]), 0)</f>
        <v>0</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J40" s="83">
        <f>SUM(Table_Input_DataQuality_PastureManagement[Score])</f>
        <v>56</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c r="D42" s="2" t="s">
        <v>225</v>
      </c>
    </row>
    <row r="43" spans="1:10" ht="20.100000000000001" customHeight="1" x14ac:dyDescent="0.2">
      <c r="A43" s="5" t="str">
        <f>HYPERLINK("#'5.2.1.1-2 Organic Fert N2O'!A1", "5.2.1.1-2 Organic Fert N2O")</f>
        <v>5.2.1.1-2 Organic Fert N2O</v>
      </c>
    </row>
    <row r="44" spans="1:10" ht="20.100000000000001" customHeight="1" x14ac:dyDescent="0.2">
      <c r="A44" s="5" t="str">
        <f>HYPERLINK("#'5.3.1.1-2 Lime CO2'!A1", "5.3.1.1-2 Lime CO2")</f>
        <v>5.3.1.1-2 Lime CO2</v>
      </c>
      <c r="D44" s="78" t="s">
        <v>220</v>
      </c>
      <c r="E44" s="78" t="s">
        <v>221</v>
      </c>
      <c r="F44" s="78" t="s">
        <v>222</v>
      </c>
      <c r="G44" s="78" t="s">
        <v>223</v>
      </c>
      <c r="H44" s="78" t="s">
        <v>148</v>
      </c>
      <c r="I44" s="78" t="s">
        <v>149</v>
      </c>
      <c r="J44" s="78" t="s">
        <v>150</v>
      </c>
    </row>
    <row r="45" spans="1:10" ht="20.100000000000001" customHeight="1" x14ac:dyDescent="0.2">
      <c r="A45" s="5" t="str">
        <f>HYPERLINK("#'5.4.1.1-4 Atmos deposition'!A1", "5.4.1.1-4 Atmos deposition")</f>
        <v>5.4.1.1-4 Atmos deposition</v>
      </c>
      <c r="D45" s="1" t="str">
        <f>"Fuel purchases"</f>
        <v>Fuel purchases</v>
      </c>
      <c r="E45" s="13" t="s">
        <v>199</v>
      </c>
      <c r="F45" s="13" t="s">
        <v>205</v>
      </c>
      <c r="G45" s="13" t="s">
        <v>210</v>
      </c>
      <c r="H45" s="82"/>
      <c r="I45" s="82"/>
      <c r="J45"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13</v>
      </c>
    </row>
    <row r="46" spans="1:10" ht="20.100000000000001" customHeight="1" x14ac:dyDescent="0.2">
      <c r="A46" s="5" t="str">
        <f>HYPERLINK("#'5.5.1.1-2 Leaching and runoff'!A1", "5.5.1.1-2 Leaching and runoff")</f>
        <v>5.5.1.1-2 Leaching and runoff</v>
      </c>
      <c r="D46" s="1" t="str">
        <f>"Fuel consumption"</f>
        <v>Fuel consumption</v>
      </c>
      <c r="E46" s="13" t="s">
        <v>199</v>
      </c>
      <c r="F46" s="13" t="s">
        <v>205</v>
      </c>
      <c r="G46" s="13" t="s">
        <v>209</v>
      </c>
      <c r="H46" s="82"/>
      <c r="I46" s="82"/>
      <c r="J46"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7" spans="1:10" ht="20.100000000000001" customHeight="1" x14ac:dyDescent="0.2">
      <c r="D47" s="1" t="str">
        <f>"Electricity consumption"</f>
        <v>Electricity consumption</v>
      </c>
      <c r="E47" s="13" t="s">
        <v>199</v>
      </c>
      <c r="F47" s="13" t="s">
        <v>205</v>
      </c>
      <c r="G47" s="13" t="s">
        <v>209</v>
      </c>
      <c r="H47" s="82"/>
      <c r="I47" s="82"/>
      <c r="J47"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8" spans="1:10" ht="20.100000000000001" customHeight="1" x14ac:dyDescent="0.2">
      <c r="D48" s="1" t="str">
        <f>"Electricity generation"</f>
        <v>Electricity generation</v>
      </c>
      <c r="E48" s="13" t="s">
        <v>199</v>
      </c>
      <c r="F48" s="13" t="s">
        <v>205</v>
      </c>
      <c r="G48" s="13" t="s">
        <v>209</v>
      </c>
      <c r="H48" s="82"/>
      <c r="I48" s="82"/>
      <c r="J48" s="15">
        <f>IFERROR(_xlfn.XLOOKUP(Table_Input_DataQuality_FuelElectricity[[#This Row],[When was the data sourced?]],Table_SourceData_DataQuality_TemporalRepresentativeness[User friendly description],Table_SourceData_DataQuality_TemporalRepresentativeness[Score])+_xlfn.XLOOKUP(Table_Input_DataQuality_FuelElectricity[[#This Row],[Where is the data sourced from?]],Table_SourceData_DataQuality_SpatialRepresentativeness[User friendly description],Table_SourceData_DataQuality_SpatialRepresentativeness[Score])+_xlfn.XLOOKUP(Table_Input_DataQuality_FuelElectricity[[#This Row],[How much of the data was from direct samples?]],Table_SourceData_DataQuality_SampleSize[User friendly description],Table_SourceData_DataQuality_SampleSize[Score]), 0)</f>
        <v>14</v>
      </c>
    </row>
    <row r="49" spans="1:10" ht="20.100000000000001" customHeight="1" x14ac:dyDescent="0.2">
      <c r="A49" s="80" t="s">
        <v>1</v>
      </c>
    </row>
    <row r="50" spans="1:10" ht="20.100000000000001" customHeight="1" x14ac:dyDescent="0.2">
      <c r="A50" s="5" t="str">
        <f>HYPERLINK("#'Constants - Poultry'!A1", "Constants - Poultry")</f>
        <v>Constants - Poultry</v>
      </c>
      <c r="J50" s="83">
        <f>SUM(Table_Input_DataQuality_FuelElectricity[Score])</f>
        <v>55</v>
      </c>
    </row>
    <row r="51" spans="1:10" ht="20.100000000000001" customHeight="1" x14ac:dyDescent="0.2">
      <c r="A51" s="5" t="str">
        <f>HYPERLINK("#'Constants - Common livestock'!A1", "Constants - Common Livestock")</f>
        <v>Constants - Common Livestock</v>
      </c>
    </row>
    <row r="52" spans="1:10" ht="20.100000000000001" customHeight="1" x14ac:dyDescent="0.2">
      <c r="A52" s="5" t="str">
        <f>HYPERLINK("#'Constants - Electricity'!A1", "Constants - Electricity")</f>
        <v>Constants - Electricity</v>
      </c>
      <c r="D52" s="2" t="s">
        <v>226</v>
      </c>
    </row>
    <row r="53" spans="1:10" ht="20.100000000000001" customHeight="1" x14ac:dyDescent="0.2">
      <c r="A53" s="5" t="str">
        <f>HYPERLINK("#'Constants - Fertiliser'!A1", "Constants - Fertiliser")</f>
        <v>Constants - Fertiliser</v>
      </c>
    </row>
    <row r="54" spans="1:10" ht="20.100000000000001" customHeight="1" x14ac:dyDescent="0.2">
      <c r="A54" s="5" t="str">
        <f>HYPERLINK("#'Constants - Fuel'!A1", "Constants - Fuel")</f>
        <v>Constants - Fuel</v>
      </c>
      <c r="D54" s="78" t="s">
        <v>220</v>
      </c>
      <c r="E54" s="78" t="s">
        <v>221</v>
      </c>
      <c r="F54" s="78" t="s">
        <v>222</v>
      </c>
      <c r="G54" s="78" t="s">
        <v>223</v>
      </c>
      <c r="H54" s="78" t="s">
        <v>148</v>
      </c>
      <c r="I54" s="78" t="s">
        <v>149</v>
      </c>
      <c r="J54" s="78" t="s">
        <v>150</v>
      </c>
    </row>
    <row r="55" spans="1:10" ht="20.100000000000001" customHeight="1" x14ac:dyDescent="0.2">
      <c r="A55" s="5" t="str">
        <f>HYPERLINK("#'Constants - Scope 3'!A1", "Constants - Scope 3")</f>
        <v>Constants - Scope 3</v>
      </c>
      <c r="D55" s="1" t="str">
        <f>"Farm input purchases"</f>
        <v>Farm input purchases</v>
      </c>
      <c r="E55" s="13" t="s">
        <v>199</v>
      </c>
      <c r="F55" s="13" t="s">
        <v>205</v>
      </c>
      <c r="G55" s="13" t="s">
        <v>210</v>
      </c>
      <c r="H55" s="82"/>
      <c r="I55" s="82"/>
      <c r="J55"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13</v>
      </c>
    </row>
    <row r="56" spans="1:10" ht="20.100000000000001" customHeight="1" x14ac:dyDescent="0.2">
      <c r="A56" s="5" t="str">
        <f>HYPERLINK("#'Constants - Solid Waste'!A1", "Constants - Solid Waste")</f>
        <v>Constants - Solid Waste</v>
      </c>
      <c r="D56" s="1" t="str">
        <f>"Inbound freight use"</f>
        <v>Inbound freight use</v>
      </c>
      <c r="E56" s="13" t="s">
        <v>199</v>
      </c>
      <c r="F56" s="13" t="s">
        <v>205</v>
      </c>
      <c r="G56" s="13" t="s">
        <v>209</v>
      </c>
      <c r="H56" s="82"/>
      <c r="I56" s="82"/>
      <c r="J56"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7" spans="1:10" ht="20.100000000000001" customHeight="1" x14ac:dyDescent="0.2">
      <c r="A57" s="5" t="str">
        <f>HYPERLINK("#'Constants - Common'!A1", "Constants - Common")</f>
        <v>Constants - Common</v>
      </c>
      <c r="D57" s="1" t="str">
        <f>"Outbound freight use"</f>
        <v>Outbound freight use</v>
      </c>
      <c r="E57" s="13" t="s">
        <v>199</v>
      </c>
      <c r="F57" s="13" t="s">
        <v>205</v>
      </c>
      <c r="G57" s="13" t="s">
        <v>209</v>
      </c>
      <c r="H57" s="82"/>
      <c r="I57" s="82"/>
      <c r="J57"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58" spans="1:10" ht="20.100000000000001" customHeight="1" x14ac:dyDescent="0.2">
      <c r="D58" s="1" t="str">
        <f>"Use of contractors and service providers"</f>
        <v>Use of contractors and service providers</v>
      </c>
      <c r="E58" s="13"/>
      <c r="F58" s="13"/>
      <c r="G58" s="13"/>
      <c r="H58" s="82"/>
      <c r="I58" s="82"/>
      <c r="J58"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0</v>
      </c>
    </row>
    <row r="59" spans="1:10" ht="20.100000000000001" customHeight="1" x14ac:dyDescent="0.2">
      <c r="D59" s="1" t="str">
        <f>"Solid waste generation and treatment"</f>
        <v>Solid waste generation and treatment</v>
      </c>
      <c r="E59" s="13" t="s">
        <v>199</v>
      </c>
      <c r="F59" s="13" t="s">
        <v>205</v>
      </c>
      <c r="G59" s="13" t="s">
        <v>209</v>
      </c>
      <c r="H59" s="82"/>
      <c r="I59" s="82"/>
      <c r="J59" s="15">
        <f>IFERROR(_xlfn.XLOOKUP(Table_Input_DataQuality_FarmInputsFreightWaste[[#This Row],[When was the data sourced?]],Table_SourceData_DataQuality_TemporalRepresentativeness[User friendly description],Table_SourceData_DataQuality_TemporalRepresentativeness[Score])+_xlfn.XLOOKUP(Table_Input_DataQuality_FarmInputsFreightWaste[[#This Row],[Where is the data sourced from?]],Table_SourceData_DataQuality_SpatialRepresentativeness[User friendly description],Table_SourceData_DataQuality_SpatialRepresentativeness[Score])+_xlfn.XLOOKUP(Table_Input_DataQuality_FarmInputsFreightWaste[[#This Row],[How much of the data was from direct samples?]],Table_SourceData_DataQuality_SampleSize[User friendly description],Table_SourceData_DataQuality_SampleSize[Score]), 0)</f>
        <v>14</v>
      </c>
    </row>
    <row r="61" spans="1:10" ht="20.100000000000001" customHeight="1" x14ac:dyDescent="0.2">
      <c r="J61" s="83">
        <f>SUM(Table_Input_DataQuality_FarmInputsFreightWaste[Score])</f>
        <v>55</v>
      </c>
    </row>
    <row r="62" spans="1:10" ht="20.100000000000001" customHeight="1" x14ac:dyDescent="0.2">
      <c r="D62" s="85" t="s">
        <v>227</v>
      </c>
      <c r="E62" s="86" t="str">
        <f>(J16+J27+J40+J50+J61)&amp;" out of "&amp;((COUNT(Table_Input_DataQuality_Enterprise[Score])*15)+(COUNT(Table_Input_DataQuality_Site[Score])*15)+(COUNT(Table_Input_DataQuality_PastureManagement[Score])*15)+(COUNT(Table_Input_DataQuality_FuelElectricity[Score])*15)+(COUNT(Table_Input_DataQuality_FarmInputsFreightWaste[Score])*15))</f>
        <v>293 out of 450</v>
      </c>
    </row>
  </sheetData>
  <dataValidations count="3">
    <dataValidation type="list" allowBlank="1" showInputMessage="1" showErrorMessage="1" sqref="G20:G25 G45:G48 G55:G59 G31:G38 G8:G14" xr:uid="{97D978E2-EFFF-4D26-AA9B-97907606C063}">
      <formula1>INDIRECT("Table_SourceData_DataQuality_SampleSize[User friendly description]")</formula1>
    </dataValidation>
    <dataValidation type="list" allowBlank="1" showInputMessage="1" showErrorMessage="1" sqref="E20:E25 E45:E48 E55:E59 E31:E38 E8:E14" xr:uid="{6365A925-6C5F-4576-82C6-82C3A3309F18}">
      <formula1>INDIRECT("Table_SourceData_DataQuality_TemporalRepresentativeness[User friendly description]")</formula1>
    </dataValidation>
    <dataValidation type="list" allowBlank="1" showInputMessage="1" showErrorMessage="1" sqref="F20:F25 F45:F48 F55:F59 F31:F38 F8:F14" xr:uid="{2FC31694-CF14-4E83-AB3B-0D117C874273}">
      <formula1>INDIRECT("Table_SourceData_DataQuality_SpatialRepresentativeness[User friendly description]")</formula1>
    </dataValidation>
  </dataValidations>
  <pageMargins left="0.7" right="0.7" top="0.75" bottom="0.75" header="0.3" footer="0.3"/>
  <tableParts count="5">
    <tablePart r:id="rId1"/>
    <tablePart r:id="rId2"/>
    <tablePart r:id="rId3"/>
    <tablePart r:id="rId4"/>
    <tablePart r:id="rId5"/>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E6E49C-DD8A-45F1-8464-740F821554CF}">
  <sheetPr>
    <tabColor rgb="FF008000"/>
  </sheetPr>
  <dimension ref="A1:U34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327</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MMS_Poultry_Methane_Equations.VEERG_4_6_1_1__5_VolatileSolidProduction_Title()</f>
        <v>Volatile solid production poultry classes</v>
      </c>
    </row>
    <row r="6" spans="1:21" ht="20.100000000000001" customHeight="1" x14ac:dyDescent="0.2">
      <c r="D6" s="17" t="str" cm="1">
        <f t="array" ref="D6">MMS_Poultry_Methane_Equations.VEERG_4_6_1_1__5_VolatileSolidProduction_Source()</f>
        <v>VEERG 2026: 4.4.1.1, Equation (5)</v>
      </c>
    </row>
    <row r="7" spans="1:21" ht="20.100000000000001" customHeight="1" x14ac:dyDescent="0.2">
      <c r="D7" s="112" t="s">
        <v>328</v>
      </c>
      <c r="E7" s="112" t="str" cm="1">
        <f t="array" aca="1" ref="E7" ca="1">Common_InputFunctions.Utility_DisplayFunctionName(D35)</f>
        <v>=MMS_Poultry_Methane_Equations.VEERG_4_6_1_1__5_VolatileSolidProduction</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MMS_Poultry_Methane_Equations.VEERG_4_6_1_1__5_VolatileSolidProduction_Variable()</f>
        <v>VS_jk</v>
      </c>
    </row>
    <row r="11" spans="1:21" ht="20.100000000000001" customHeight="1" x14ac:dyDescent="0.2">
      <c r="A11" s="5" t="str">
        <f>HYPERLINK("#'Input - Poultry'!A1", "Poultry")</f>
        <v>Poultry</v>
      </c>
      <c r="D11" s="75" t="s">
        <v>118</v>
      </c>
      <c r="E11" s="9" t="str" cm="1">
        <f t="array" ref="E11">MMS_Poultry_Methane_Equations.VEERG_4_6_1_1__5_VolatileSolidProduction_Unit()</f>
        <v>kg VS/bird/day</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5">_xlfn.CHOOSECOLS(MMS_Poultry_Methane_Equations.VEERG_4_6_1_1__5_VolatileSolidProduction_Arguments(),1,2)</f>
        <v>I_jk</v>
      </c>
      <c r="E13" s="113" t="str">
        <v>dry matter intake for each class and subclass</v>
      </c>
      <c r="F13" s="113"/>
      <c r="G13" s="113" t="str" cm="1">
        <f t="array" ref="G13:H15">_xlfn.CHOOSECOLS(MMS_Poultry_Methane_Equations.VEERG_4_6_1_1__5_VolatileSolidProduction_Arguments(),3,4)</f>
        <v>kg DM/bird/day</v>
      </c>
      <c r="H13" s="114" t="str">
        <v>Input</v>
      </c>
      <c r="I13" s="116" t="str" cm="1">
        <f t="array" aca="1" ref="I13" ca="1">HYPERLINK(Common_InputFunctions.Utility_SourceHyperlink($D$17), $D$17)</f>
        <v>M1_Table_I_j_k</v>
      </c>
    </row>
    <row r="14" spans="1:21" ht="20.100000000000001" customHeight="1" x14ac:dyDescent="0.2">
      <c r="A14" s="5" t="str">
        <f>HYPERLINK("#'Input - Fuel'!A1", "Fuel")</f>
        <v>Fuel</v>
      </c>
      <c r="D14" s="113" t="str">
        <v>DMD_jk</v>
      </c>
      <c r="E14" s="113" t="str">
        <v>dry matter digestibility for each class and subclass</v>
      </c>
      <c r="F14" s="113"/>
      <c r="G14" s="113" t="str">
        <v>fraction</v>
      </c>
      <c r="H14" s="114" t="str">
        <v>Input</v>
      </c>
      <c r="I14" s="116" t="str" cm="1">
        <f t="array" aca="1" ref="I14" ca="1">HYPERLINK(Common_InputFunctions.Utility_SourceHyperlink($D$22), $D$22)</f>
        <v>M1_Table_DMD_j_k</v>
      </c>
    </row>
    <row r="15" spans="1:21" ht="20.100000000000001" customHeight="1" x14ac:dyDescent="0.2">
      <c r="A15" s="5" t="str">
        <f>HYPERLINK("#'Input - Electricity'!A1", "Electricity")</f>
        <v>Electricity</v>
      </c>
      <c r="D15" s="113" t="str">
        <v>A_j</v>
      </c>
      <c r="E15" s="113" t="str">
        <v>ash content of manure for each class and subclass</v>
      </c>
      <c r="F15" s="113"/>
      <c r="G15" s="113" t="str">
        <v>fraction</v>
      </c>
      <c r="H15" s="115" t="str">
        <v>Constant</v>
      </c>
      <c r="I15" s="116" t="str" cm="1">
        <f t="array" aca="1" ref="I15" ca="1">HYPERLINK(Common_InputFunctions.Utility_SourceHyperlink($D$32), $D$32)</f>
        <v>M1_Table_VS_j_k</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8" t="s">
        <v>330</v>
      </c>
      <c r="N17" s="118" t="s">
        <v>331</v>
      </c>
    </row>
    <row r="18" spans="1:18" ht="20.100000000000001" customHeight="1" x14ac:dyDescent="0.2">
      <c r="A18" s="5" t="str">
        <f>HYPERLINK("#'Input - Freight'!A1", "Freight")</f>
        <v>Freight</v>
      </c>
      <c r="D18" s="119" t="s">
        <v>332</v>
      </c>
      <c r="N18" s="119" t="s">
        <v>333</v>
      </c>
    </row>
    <row r="19" spans="1:18" ht="20.100000000000001" customHeight="1" x14ac:dyDescent="0.2">
      <c r="A19" s="5" t="str">
        <f>HYPERLINK("#'Input - Solid waste'!A1", "Solid waste")</f>
        <v>Solid waste</v>
      </c>
      <c r="D19" s="78" t="s">
        <v>297</v>
      </c>
      <c r="E19" s="78" t="s">
        <v>298</v>
      </c>
      <c r="F19" s="78" t="s">
        <v>299</v>
      </c>
      <c r="G19" s="78" t="s">
        <v>300</v>
      </c>
      <c r="N19" s="78" t="s">
        <v>297</v>
      </c>
      <c r="O19" s="78" t="s">
        <v>298</v>
      </c>
      <c r="P19" s="78" t="s">
        <v>299</v>
      </c>
      <c r="Q19" s="78" t="s">
        <v>300</v>
      </c>
    </row>
    <row r="20" spans="1:18" ht="20.100000000000001" customHeight="1" x14ac:dyDescent="0.2">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8" t="s">
        <v>334</v>
      </c>
      <c r="N22" s="118" t="s">
        <v>335</v>
      </c>
    </row>
    <row r="23" spans="1:18" ht="20.100000000000001" customHeight="1" x14ac:dyDescent="0.2">
      <c r="A23" s="5" t="str">
        <f>HYPERLINK("#'Input - Fertiliser'!A1", "Fertiliser")</f>
        <v>Fertiliser</v>
      </c>
      <c r="D23" s="119" t="s">
        <v>336</v>
      </c>
      <c r="N23" s="119" t="s">
        <v>337</v>
      </c>
    </row>
    <row r="24" spans="1:18" ht="20.100000000000001" customHeight="1" x14ac:dyDescent="0.2">
      <c r="D24" s="78" t="s">
        <v>297</v>
      </c>
      <c r="E24" s="78" t="s">
        <v>298</v>
      </c>
      <c r="F24" s="78" t="s">
        <v>299</v>
      </c>
      <c r="G24" s="78" t="s">
        <v>300</v>
      </c>
      <c r="N24" s="78" t="s">
        <v>297</v>
      </c>
      <c r="O24" s="78" t="s">
        <v>298</v>
      </c>
      <c r="P24" s="78" t="s">
        <v>299</v>
      </c>
      <c r="Q24" s="78" t="s">
        <v>300</v>
      </c>
    </row>
    <row r="25" spans="1:18" ht="20.100000000000001" customHeight="1" x14ac:dyDescent="0.2">
      <c r="D25" s="15">
        <f>INDEX(X_Table_Poultry_Diet_Method1,3,2)</f>
        <v>0.8</v>
      </c>
      <c r="E25" s="15">
        <f>INDEX(X_Table_Poultry_Diet_Method1,3,3)</f>
        <v>0.8</v>
      </c>
      <c r="F25" s="15">
        <f>INDEX(X_Table_Poultry_Diet_Method1,3,4)</f>
        <v>0.8</v>
      </c>
      <c r="G25" s="15">
        <f>INDEX(X_Table_Poultry_Diet_Method1,3,5)</f>
        <v>0.8</v>
      </c>
      <c r="H25" s="16" t="str">
        <f>$G$14</f>
        <v>fraction</v>
      </c>
      <c r="N25" s="15">
        <f>INDEX(X_Table_Poultry_Diet_Method2,3,2)</f>
        <v>0.8</v>
      </c>
      <c r="O25" s="15">
        <f>INDEX(X_Table_Poultry_Diet_Method2,3,3)</f>
        <v>0.8</v>
      </c>
      <c r="P25" s="15">
        <f>INDEX(X_Table_Poultry_Diet_Method2,3,4)</f>
        <v>0.8</v>
      </c>
      <c r="Q25" s="15">
        <f>INDEX(X_Table_Poultry_Diet_Method2,3,5)</f>
        <v>0.8</v>
      </c>
      <c r="R25" s="16" t="str">
        <f>$G$14</f>
        <v>fraction</v>
      </c>
    </row>
    <row r="26" spans="1:18" ht="20.100000000000001" customHeight="1" x14ac:dyDescent="0.2">
      <c r="A26" s="6" t="s">
        <v>2</v>
      </c>
    </row>
    <row r="27" spans="1:18" ht="20.100000000000001" customHeight="1" x14ac:dyDescent="0.2">
      <c r="A27" s="117" t="str">
        <f>HYPERLINK("#'4.6.1.1-2 Methane'!A1", "4.6.1.1-2 Manure Methane")</f>
        <v>4.6.1.1-2 Manure Methane</v>
      </c>
      <c r="D27" s="118" t="s">
        <v>338</v>
      </c>
    </row>
    <row r="28" spans="1:18" ht="20.100000000000001" customHeight="1" x14ac:dyDescent="0.2">
      <c r="A28" s="5" t="str">
        <f>HYPERLINK("#'4.6.1.3-4 Direct N20'!A1", "4.6.1.3-4 Manure Direct N2O")</f>
        <v>4.6.1.3-4 Manure Direct N2O</v>
      </c>
      <c r="D28" s="119" t="s">
        <v>339</v>
      </c>
    </row>
    <row r="29" spans="1:18" ht="20.100000000000001" customHeight="1" x14ac:dyDescent="0.2">
      <c r="A29" s="5" t="str">
        <f>HYPERLINK("#'4.6.1.5-6 Atmos Dep'!A1", "4.6.1.5-6 Manure Atmos Dep")</f>
        <v>4.6.1.5-6 Manure Atmos Dep</v>
      </c>
      <c r="D29" s="120" t="s">
        <v>297</v>
      </c>
      <c r="E29" s="120" t="s">
        <v>298</v>
      </c>
      <c r="F29" s="120" t="s">
        <v>299</v>
      </c>
      <c r="G29" s="120" t="s">
        <v>300</v>
      </c>
    </row>
    <row r="30" spans="1:18" ht="20.100000000000001" customHeight="1" x14ac:dyDescent="0.2">
      <c r="A30" s="5" t="str">
        <f>HYPERLINK("#'4.6.1.7-8 Leaching and runoff'!A1", "4.6.1.7-8 Manure Leaching and runoff")</f>
        <v>4.6.1.7-8 Manure Leaching and runoff</v>
      </c>
      <c r="D30" s="15">
        <f>'Constants - Poultry'!E13</f>
        <v>0.18</v>
      </c>
      <c r="E30" s="15">
        <f>'Constants - Poultry'!F13</f>
        <v>0.15</v>
      </c>
      <c r="F30" s="15">
        <f>'Constants - Poultry'!G13</f>
        <v>0.18</v>
      </c>
      <c r="G30" s="15">
        <f>'Constants - Poultry'!H13</f>
        <v>0.15</v>
      </c>
      <c r="H30" s="16" t="str">
        <f>$G$15</f>
        <v>fraction</v>
      </c>
    </row>
    <row r="31" spans="1:18" ht="20.100000000000001" customHeight="1" x14ac:dyDescent="0.2">
      <c r="A31" s="5" t="str">
        <f>HYPERLINK("#'4.6.1.9 Manure applied to soils'!A1", "4.6.1.9 Manure applied to soils")</f>
        <v>4.6.1.9 Manure applied to soils</v>
      </c>
    </row>
    <row r="32" spans="1:18" ht="20.100000000000001" customHeight="1" x14ac:dyDescent="0.2">
      <c r="A32" s="5" t="str">
        <f>HYPERLINK("#'4.6.1.10-11 Soil direct N2O'!A1", "4.6.1.10-11 Soil direct N2O")</f>
        <v>4.6.1.10-11 Soil direct N2O</v>
      </c>
      <c r="D32" s="118" t="s">
        <v>340</v>
      </c>
      <c r="N32" s="118" t="s">
        <v>341</v>
      </c>
    </row>
    <row r="33" spans="1:21" ht="20.100000000000001" customHeight="1" x14ac:dyDescent="0.2">
      <c r="A33" s="5" t="str">
        <f>HYPERLINK("#'4.6.1.12-13 Soil atmos dep'!A1", "4.6.1.12-13 Soil atmos dep")</f>
        <v>4.6.1.12-13 Soil atmos dep</v>
      </c>
      <c r="D33" s="119" t="s">
        <v>342</v>
      </c>
      <c r="N33" s="119" t="s">
        <v>343</v>
      </c>
    </row>
    <row r="34" spans="1:21" ht="20.100000000000001" customHeight="1" x14ac:dyDescent="0.2">
      <c r="A34" s="5" t="str">
        <f>HYPERLINK("#'4.6.1.14-15 Soil leach runoff'!A1", "4.6.1.14-15 Soil leach runoff")</f>
        <v>4.6.1.14-15 Soil leach runoff</v>
      </c>
      <c r="D34" s="120" t="s">
        <v>297</v>
      </c>
      <c r="E34" s="120" t="s">
        <v>298</v>
      </c>
      <c r="F34" s="120" t="s">
        <v>299</v>
      </c>
      <c r="G34" s="120" t="s">
        <v>300</v>
      </c>
      <c r="N34" s="120" t="s">
        <v>297</v>
      </c>
      <c r="O34" s="120" t="s">
        <v>298</v>
      </c>
      <c r="P34" s="120" t="s">
        <v>299</v>
      </c>
      <c r="Q34" s="120" t="s">
        <v>300</v>
      </c>
    </row>
    <row r="35" spans="1:21" ht="20.100000000000001" customHeight="1" x14ac:dyDescent="0.2">
      <c r="A35" s="5" t="str">
        <f>HYPERLINK("#'8.1.1.1-2 Transport fuel'!A1", "8.1.1.1-2 Transport fuel")</f>
        <v>8.1.1.1-2 Transport fuel</v>
      </c>
      <c r="D35" s="15" cm="1">
        <f t="array" ref="D35">MMS_Poultry_Methane_Equations.VEERG_4_6_1_1__5_VolatileSolidProduction(D20,D25,D30)</f>
        <v>1.4103999999999995E-2</v>
      </c>
      <c r="E35" s="15" cm="1">
        <f t="array" ref="E35">MMS_Poultry_Methane_Equations.VEERG_4_6_1_1__5_VolatileSolidProduction(E20,E25,E30)</f>
        <v>1.5809999999999994E-2</v>
      </c>
      <c r="F35" s="15" cm="1">
        <f t="array" ref="F35">MMS_Poultry_Methane_Equations.VEERG_4_6_1_1__5_VolatileSolidProduction(F20,F25,F30)</f>
        <v>1.6891999999999997E-2</v>
      </c>
      <c r="G35" s="15" cm="1">
        <f t="array" ref="G35">MMS_Poultry_Methane_Equations.VEERG_4_6_1_1__5_VolatileSolidProduction(G20,G25,G30)</f>
        <v>1.5809999999999994E-2</v>
      </c>
      <c r="H35" s="16" t="str">
        <f>$E$11</f>
        <v>kg VS/bird/day</v>
      </c>
      <c r="N35" s="15" cm="1">
        <f t="array" ref="N35">MMS_Poultry_Methane_Equations.VEERG_4_6_1_1__5_VolatileSolidProduction(N20,N25,D30)</f>
        <v>1.4103999999999995E-2</v>
      </c>
      <c r="O35" s="15" cm="1">
        <f t="array" ref="O35">MMS_Poultry_Methane_Equations.VEERG_4_6_1_1__5_VolatileSolidProduction(O20,O25,E30)</f>
        <v>1.5809999999999994E-2</v>
      </c>
      <c r="P35" s="15" cm="1">
        <f t="array" ref="P35">MMS_Poultry_Methane_Equations.VEERG_4_6_1_1__5_VolatileSolidProduction(P20,P25,F30)</f>
        <v>1.6891999999999997E-2</v>
      </c>
      <c r="Q35" s="15" cm="1">
        <f t="array" ref="Q35">MMS_Poultry_Methane_Equations.VEERG_4_6_1_1__5_VolatileSolidProduction(Q20,Q25,G30)</f>
        <v>1.5809999999999994E-2</v>
      </c>
      <c r="R35" s="16" t="str">
        <f>$E$11</f>
        <v>kg VS/bird/day</v>
      </c>
    </row>
    <row r="36" spans="1:21" ht="20.100000000000001" customHeight="1" x14ac:dyDescent="0.2">
      <c r="A36" s="5" t="str">
        <f>HYPERLINK("#'8.2.1.1-2 Stationary fuel'!A1", "8.2.1.1-2 Stationary fuel")</f>
        <v>8.2.1.1-2 Stationary fuel</v>
      </c>
    </row>
    <row r="37" spans="1:21" ht="20.100000000000001" customHeight="1" x14ac:dyDescent="0.2">
      <c r="A37" s="5" t="str">
        <f>HYPERLINK("#'10.1.1-2 Solid waste treatment'!A1", "10.1.1.1-2 Solid waste")</f>
        <v>10.1.1.1-2 Solid waste</v>
      </c>
      <c r="C37" s="121"/>
      <c r="D37" s="121"/>
      <c r="E37" s="121"/>
      <c r="F37" s="121"/>
      <c r="G37" s="121"/>
      <c r="H37" s="121"/>
      <c r="I37" s="121"/>
      <c r="J37" s="121"/>
      <c r="K37" s="121"/>
      <c r="M37" s="121"/>
      <c r="N37" s="121"/>
      <c r="O37" s="121"/>
      <c r="P37" s="121"/>
      <c r="Q37" s="121"/>
      <c r="R37" s="121"/>
      <c r="S37" s="121"/>
      <c r="T37" s="121"/>
      <c r="U37" s="121"/>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D39" s="2" t="str" cm="1">
        <f t="array" ref="D39">MMS_Poultry_Methane_Equations.VEERG_4_6_1_1__2_Stage1MethaneProduction_Title()</f>
        <v>Production of methane in treatment stage 1 MMS</v>
      </c>
    </row>
    <row r="40" spans="1:21" ht="20.100000000000001" customHeight="1" x14ac:dyDescent="0.2">
      <c r="A40" s="5" t="str">
        <f>HYPERLINK("#'Calcs - Manure sent off-site'!A1", "Calcs - Manure sent off-site")</f>
        <v>Calcs - Manure sent off-site</v>
      </c>
      <c r="D40" s="17" t="str" cm="1">
        <f t="array" ref="D40">MMS_Poultry_Methane_Equations.VEERG_4_6_1_1__2_Stage1MethaneProduction_Source()</f>
        <v>VEERG 2026: 4.4.1.1, Equation (2)</v>
      </c>
    </row>
    <row r="41" spans="1:21" ht="20.100000000000001" customHeight="1" x14ac:dyDescent="0.2">
      <c r="A41" s="5" t="str">
        <f>HYPERLINK("#'5.1.1.1-2 Inorganic fert N2O'!A1", "5.1.1.1-2 Inorganic fert N2O")</f>
        <v>5.1.1.1-2 Inorganic fert N2O</v>
      </c>
      <c r="D41" s="25" t="str" cm="1">
        <f t="array" ref="D41:D43">MMS_Poultry_Methane_Equations.VEERG_4_6_1_1__2_Stage1MethaneProduction_Variation()</f>
        <v>VARIATION ON SOURCE:</v>
      </c>
    </row>
    <row r="42" spans="1:21" ht="20.100000000000001" customHeight="1" x14ac:dyDescent="0.2">
      <c r="A42" s="5" t="str">
        <f>HYPERLINK("#'5.1.1.3-4 Inorganic fert CO2'!A1", "5.1.1.3-4 Inorganic fert CO2")</f>
        <v>5.1.1.3-4 Inorganic fert CO2</v>
      </c>
      <c r="D42" s="25" t="str">
        <v>Used mean annual temperature instead of temperature zone to determine MCF as MCF values are specific to temperature</v>
      </c>
    </row>
    <row r="43" spans="1:21" ht="20.100000000000001" customHeight="1" x14ac:dyDescent="0.2">
      <c r="A43" s="5" t="str">
        <f>HYPERLINK("#'5.2.1.1-2 Organic Fert N2O'!A1", "5.2.1.1-2 Organic Fert N2O")</f>
        <v>5.2.1.1-2 Organic Fert N2O</v>
      </c>
      <c r="D43" s="25" t="str">
        <v>Method 2: Used state based MCF values for 'Belt manure removal' and 'Manure stored in house' MMS as no temperature values exist in Table A.1.8.1</v>
      </c>
    </row>
    <row r="44" spans="1:21" ht="20.100000000000001" customHeight="1" x14ac:dyDescent="0.2">
      <c r="A44" s="5" t="str">
        <f>HYPERLINK("#'5.3.1.1-2 Lime CO2'!A1", "5.3.1.1-2 Lime CO2")</f>
        <v>5.3.1.1-2 Lime CO2</v>
      </c>
      <c r="D44" s="112" t="s">
        <v>328</v>
      </c>
      <c r="E44" s="112" t="str" cm="1">
        <f t="array" aca="1" ref="E44" ca="1">Common_InputFunctions.Utility_DisplayFunctionName(E86)</f>
        <v>=MMS_Poultry_Methane_Equations.VEERG_4_6_1_1__2_Stage1MethaneProduction</v>
      </c>
    </row>
    <row r="45" spans="1:21" ht="20.100000000000001" customHeight="1" x14ac:dyDescent="0.2">
      <c r="A45" s="5" t="str">
        <f>HYPERLINK("#'5.4.1.1-4 Atmos deposition'!A1", "5.4.1.1-4 Atmos deposition")</f>
        <v>5.4.1.1-4 Atmos deposition</v>
      </c>
    </row>
    <row r="46" spans="1:21" ht="20.100000000000001" customHeight="1" x14ac:dyDescent="0.2">
      <c r="A46" s="5" t="str">
        <f>HYPERLINK("#'5.5.1.1-2 Leaching and runoff'!A1", "5.5.1.1-2 Leaching and runoff")</f>
        <v>5.5.1.1-2 Leaching and runoff</v>
      </c>
    </row>
    <row r="47" spans="1:21" ht="20.100000000000001" customHeight="1" x14ac:dyDescent="0.2">
      <c r="D47" s="75" t="s">
        <v>329</v>
      </c>
      <c r="E47" s="1" t="str" cm="1">
        <f t="array" ref="E47">MMS_Poultry_Methane_Equations.VEERG_4_6_1_1__2_Stage1MethaneProduction_Variable()</f>
        <v>M_jkmT1</v>
      </c>
    </row>
    <row r="48" spans="1:21" ht="20.100000000000001" customHeight="1" x14ac:dyDescent="0.2">
      <c r="D48" s="75" t="s">
        <v>118</v>
      </c>
      <c r="E48" s="9" t="str" cm="1">
        <f t="array" ref="E48">MMS_Poultry_Methane_Equations.VEERG_4_6_1_1__2_Stage1MethaneProduction_Unit()</f>
        <v>kg CH4/bird/day</v>
      </c>
    </row>
    <row r="49" spans="1:19" ht="20.100000000000001" customHeight="1" x14ac:dyDescent="0.2">
      <c r="A49" s="80" t="s">
        <v>1</v>
      </c>
    </row>
    <row r="50" spans="1:19" ht="20.100000000000001" customHeight="1" x14ac:dyDescent="0.2">
      <c r="A50" s="5" t="str">
        <f>HYPERLINK("#'Constants - Poultry'!A1", "Constants - Poultry")</f>
        <v>Constants - Poultry</v>
      </c>
      <c r="D50" s="113" t="str" cm="1">
        <f t="array" ref="D50:E55">_xlfn.CHOOSECOLS(MMS_Poultry_Methane_Equations.VEERG_4_6_1_1__2_Stage1MethaneProduction_Arguments(),1,2)</f>
        <v>VS_jk</v>
      </c>
      <c r="E50" s="122" t="str">
        <v>volatile solid production poultry classes</v>
      </c>
      <c r="F50" s="123"/>
      <c r="G50" s="113" t="str" cm="1">
        <f t="array" ref="G50:H55">_xlfn.CHOOSECOLS(MMS_Poultry_Methane_Equations.VEERG_4_6_1_1__2_Stage1MethaneProduction_Arguments(),3,4)</f>
        <v>kg VS/bird/day</v>
      </c>
      <c r="H50" s="115" t="str">
        <v>Calculated from 4.6.1.1 (5)</v>
      </c>
      <c r="I50" s="116" t="str" cm="1">
        <f t="array" aca="1" ref="I50" ca="1">HYPERLINK(Common_InputFunctions.Utility_SourceHyperlink($D$32), $D$32)</f>
        <v>M1_Table_VS_j_k</v>
      </c>
      <c r="N50" s="113" t="str" cm="1">
        <f t="array" ref="N50:O55">_xlfn.CHOOSECOLS(MMS_Poultry_Methane_Equations.VEERG_4_6_1_1__2_Stage1MethaneProduction_Arguments_Method2(),1,2)</f>
        <v>VS_jk</v>
      </c>
      <c r="O50" s="122" t="str">
        <v>volatile solid production poultry classes</v>
      </c>
      <c r="P50" s="123"/>
      <c r="Q50" s="113" t="str" cm="1">
        <f t="array" ref="Q50:R55">_xlfn.CHOOSECOLS(MMS_Poultry_Methane_Equations.VEERG_4_6_1_1__2_Stage1MethaneProduction_Arguments_Method2(),3,4)</f>
        <v>kg VS/bird/day</v>
      </c>
      <c r="R50" s="115" t="str">
        <v>Calculated from 4.6.1.1 (5)</v>
      </c>
      <c r="S50" s="116" t="str" cm="1">
        <f t="array" aca="1" ref="S50" ca="1">HYPERLINK(Common_InputFunctions.Utility_SourceHyperlink($D$32), $D$32)</f>
        <v>M1_Table_VS_j_k</v>
      </c>
    </row>
    <row r="51" spans="1:19" ht="20.100000000000001" customHeight="1" x14ac:dyDescent="0.2">
      <c r="A51" s="5" t="str">
        <f>HYPERLINK("#'Constants - Common livestock'!A1", "Constants - Common Livestock")</f>
        <v>Constants - Common Livestock</v>
      </c>
      <c r="D51" s="113" t="str">
        <v>BO_j</v>
      </c>
      <c r="E51" s="122" t="str">
        <v>emissions potential per class</v>
      </c>
      <c r="F51" s="123"/>
      <c r="G51" s="113" t="str">
        <v>m3 CH4/kg VS</v>
      </c>
      <c r="H51" s="115" t="str">
        <v>Constant</v>
      </c>
      <c r="I51" s="116" t="str" cm="1">
        <f t="array" aca="1" ref="I51" ca="1">HYPERLINK(Common_InputFunctions.Utility_SourceHyperlink($D$65), $D$65)</f>
        <v>Table_B_0_j</v>
      </c>
      <c r="N51" s="113" t="str">
        <v>BO_j</v>
      </c>
      <c r="O51" s="122" t="str">
        <v>emissions potential per class</v>
      </c>
      <c r="P51" s="123"/>
      <c r="Q51" s="113" t="str">
        <v>m3 CH4/kg VS</v>
      </c>
      <c r="R51" s="115" t="str">
        <v>Constant</v>
      </c>
      <c r="S51" s="116" t="str" cm="1">
        <f t="array" aca="1" ref="S51" ca="1">HYPERLINK(Common_InputFunctions.Utility_SourceHyperlink($D$65), $D$65)</f>
        <v>Table_B_0_j</v>
      </c>
    </row>
    <row r="52" spans="1:19" ht="20.100000000000001" customHeight="1" x14ac:dyDescent="0.2">
      <c r="A52" s="5" t="str">
        <f>HYPERLINK("#'Constants - Electricity'!A1", "Constants - Electricity")</f>
        <v>Constants - Electricity</v>
      </c>
      <c r="D52" s="113" t="str">
        <v>MMS_jmT1</v>
      </c>
      <c r="E52" s="122" t="str">
        <v>fraction of manure in each primary system</v>
      </c>
      <c r="F52" s="123"/>
      <c r="G52" s="113" t="str">
        <v>fraction</v>
      </c>
      <c r="H52" s="114" t="str">
        <v>Input</v>
      </c>
      <c r="I52" s="116" t="str" cm="1">
        <f t="array" aca="1" ref="I52" ca="1">HYPERLINK(Common_InputFunctions.Utility_SourceHyperlink($D$57), $D$57)</f>
        <v>Table_MMS_j_m_T-1</v>
      </c>
      <c r="N52" s="113" t="str">
        <v>MMS_jmT1</v>
      </c>
      <c r="O52" s="122" t="str">
        <v>fraction of manure in each primary system</v>
      </c>
      <c r="P52" s="123"/>
      <c r="Q52" s="113" t="str">
        <v>fraction</v>
      </c>
      <c r="R52" s="114" t="str">
        <v>Input</v>
      </c>
      <c r="S52" s="116" t="str" cm="1">
        <f t="array" aca="1" ref="S52" ca="1">HYPERLINK(Common_InputFunctions.Utility_SourceHyperlink($D$57), $D$57)</f>
        <v>Table_MMS_j_m_T-1</v>
      </c>
    </row>
    <row r="53" spans="1:19" ht="20.100000000000001" customHeight="1" x14ac:dyDescent="0.2">
      <c r="A53" s="5" t="str">
        <f>HYPERLINK("#'Constants - Fertiliser'!A1", "Constants - Fertiliser")</f>
        <v>Constants - Fertiliser</v>
      </c>
      <c r="D53" s="113" t="str">
        <v>MCF_im</v>
      </c>
      <c r="E53" s="122" t="str">
        <v>methane conversion factor for temperature zone and MMS</v>
      </c>
      <c r="F53" s="123"/>
      <c r="G53" s="113" t="str">
        <v>fraction</v>
      </c>
      <c r="H53" s="115" t="str">
        <v>Constant</v>
      </c>
      <c r="I53" s="116" t="str" cm="1">
        <f t="array" aca="1" ref="I53" ca="1">HYPERLINK(Common_InputFunctions.Utility_SourceHyperlink($D$70), $D$70)</f>
        <v>Table_MCF_i_m</v>
      </c>
      <c r="N53" s="113" t="str">
        <v>MCF_im</v>
      </c>
      <c r="O53" s="122" t="str">
        <v>methane conversion factor for temperature zone and MMS</v>
      </c>
      <c r="P53" s="123"/>
      <c r="Q53" s="113" t="str">
        <v>fraction</v>
      </c>
      <c r="R53" s="115" t="str">
        <v>Constant</v>
      </c>
      <c r="S53" s="116" t="str" cm="1">
        <f t="array" aca="1" ref="S53" ca="1">HYPERLINK(Common_InputFunctions.Utility_SourceHyperlink($D$70), $D$70)</f>
        <v>Table_MCF_i_m</v>
      </c>
    </row>
    <row r="54" spans="1:19" ht="20.100000000000001" customHeight="1" x14ac:dyDescent="0.2">
      <c r="A54" s="5" t="str">
        <f>HYPERLINK("#'Constants - Fuel'!A1", "Constants - Fuel")</f>
        <v>Constants - Fuel</v>
      </c>
      <c r="D54" s="113" t="str">
        <v>rho</v>
      </c>
      <c r="E54" s="122" t="str">
        <v>density of methane</v>
      </c>
      <c r="F54" s="123"/>
      <c r="G54" s="113" t="str">
        <v>kg/m3</v>
      </c>
      <c r="H54" s="115" t="str">
        <v>Constant</v>
      </c>
      <c r="I54" s="113">
        <f>Common_SourceData_DensityOfMethane_Data</f>
        <v>0.6784</v>
      </c>
      <c r="N54" s="113" t="str">
        <v>rho</v>
      </c>
      <c r="O54" s="122" t="str">
        <v>density of methane</v>
      </c>
      <c r="P54" s="123"/>
      <c r="Q54" s="113" t="str">
        <v>kg/m3</v>
      </c>
      <c r="R54" s="115" t="str">
        <v>Constant</v>
      </c>
      <c r="S54" s="113">
        <f>Common_SourceData_DensityOfMethane_Data</f>
        <v>0.6784</v>
      </c>
    </row>
    <row r="55" spans="1:19" ht="20.100000000000001" customHeight="1" x14ac:dyDescent="0.2">
      <c r="A55" s="5" t="str">
        <f>HYPERLINK("#'Constants - Scope 3'!A1", "Constants - Scope 3")</f>
        <v>Constants - Scope 3</v>
      </c>
      <c r="D55" s="113" t="str">
        <v>i</v>
      </c>
      <c r="E55" s="122" t="str">
        <v>state</v>
      </c>
      <c r="F55" s="123"/>
      <c r="G55" s="113" t="str">
        <v/>
      </c>
      <c r="H55" s="114" t="str">
        <v>Input</v>
      </c>
      <c r="I55" s="113" t="str">
        <f>X_Cell_Site_State</f>
        <v>Dry climate zone</v>
      </c>
      <c r="N55" s="113" t="str">
        <v>i</v>
      </c>
      <c r="O55" s="122" t="str">
        <v>mean annual temperature</v>
      </c>
      <c r="P55" s="123"/>
      <c r="Q55" s="113" t="str">
        <v>°C</v>
      </c>
      <c r="R55" s="114" t="str">
        <v>Input</v>
      </c>
      <c r="S55" s="113">
        <f>X_Cell_Site_AverageTemperature</f>
        <v>0</v>
      </c>
    </row>
    <row r="56" spans="1:19" ht="20.100000000000001" customHeight="1" x14ac:dyDescent="0.2">
      <c r="A56" s="5" t="str">
        <f>HYPERLINK("#'Constants - Solid Waste'!A1", "Constants - Solid Waste")</f>
        <v>Constants - Solid Waste</v>
      </c>
    </row>
    <row r="57" spans="1:19" ht="20.100000000000001" customHeight="1" x14ac:dyDescent="0.2">
      <c r="A57" s="5" t="str">
        <f>HYPERLINK("#'Constants - Common'!A1", "Constants - Common")</f>
        <v>Constants - Common</v>
      </c>
      <c r="D57" s="118" t="s">
        <v>344</v>
      </c>
    </row>
    <row r="58" spans="1:19" ht="20.100000000000001" customHeight="1" x14ac:dyDescent="0.2">
      <c r="D58" s="119" t="s">
        <v>345</v>
      </c>
    </row>
    <row r="59" spans="1:19" ht="20.100000000000001" customHeight="1" x14ac:dyDescent="0.2">
      <c r="D59" s="78" t="s">
        <v>314</v>
      </c>
      <c r="E59" s="78" t="s">
        <v>297</v>
      </c>
      <c r="F59" s="78" t="s">
        <v>298</v>
      </c>
      <c r="G59" s="78" t="s">
        <v>299</v>
      </c>
      <c r="H59" s="78" t="s">
        <v>300</v>
      </c>
    </row>
    <row r="60" spans="1:19" ht="20.100000000000001" customHeight="1" x14ac:dyDescent="0.2">
      <c r="D60" s="15" t="str">
        <f>INDEX(X_Table_Poultry_Stage1MMS,2,1)</f>
        <v>Poultry manure with bedding</v>
      </c>
      <c r="E60" s="15">
        <f>INDEX(X_Table_Poultry_Stage1MMS,2,2)</f>
        <v>0.3</v>
      </c>
      <c r="F60" s="15">
        <f>INDEX(X_Table_Poultry_Stage1MMS,2,3)</f>
        <v>0.3</v>
      </c>
      <c r="G60" s="15">
        <f>INDEX(X_Table_Poultry_Stage1MMS,2,4)</f>
        <v>0.3</v>
      </c>
      <c r="H60" s="15">
        <f>INDEX(X_Table_Poultry_Stage1MMS,2,5)</f>
        <v>0.3</v>
      </c>
      <c r="I60" s="16" t="str">
        <f>$G$52</f>
        <v>fraction</v>
      </c>
    </row>
    <row r="61" spans="1:19" ht="20.100000000000001" customHeight="1" x14ac:dyDescent="0.2">
      <c r="D61" s="15" t="str">
        <f>INDEX(X_Table_Poultry_Stage1MMS,3,1)</f>
        <v>Belt manure removal</v>
      </c>
      <c r="E61" s="15">
        <f>INDEX(X_Table_Poultry_Stage1MMS,3,2)</f>
        <v>0.3</v>
      </c>
      <c r="F61" s="15">
        <f>INDEX(X_Table_Poultry_Stage1MMS,3,3)</f>
        <v>0.3</v>
      </c>
      <c r="G61" s="15">
        <f>INDEX(X_Table_Poultry_Stage1MMS,3,4)</f>
        <v>0.3</v>
      </c>
      <c r="H61" s="15">
        <f>INDEX(X_Table_Poultry_Stage1MMS,3,5)</f>
        <v>0.3</v>
      </c>
      <c r="I61" s="16"/>
    </row>
    <row r="62" spans="1:19" ht="20.100000000000001" customHeight="1" x14ac:dyDescent="0.2">
      <c r="D62" s="15" t="str">
        <f>INDEX(X_Table_Poultry_Stage1MMS,4,1)</f>
        <v>Manure stored in house</v>
      </c>
      <c r="E62" s="15">
        <f>INDEX(X_Table_Poultry_Stage1MMS,4,2)</f>
        <v>0.3</v>
      </c>
      <c r="F62" s="15">
        <f>INDEX(X_Table_Poultry_Stage1MMS,4,3)</f>
        <v>0.3</v>
      </c>
      <c r="G62" s="15">
        <f>INDEX(X_Table_Poultry_Stage1MMS,4,4)</f>
        <v>0.3</v>
      </c>
      <c r="H62" s="15">
        <f>INDEX(X_Table_Poultry_Stage1MMS,4,5)</f>
        <v>0.3</v>
      </c>
      <c r="I62" s="16"/>
    </row>
    <row r="63" spans="1:19" ht="20.100000000000001" customHeight="1" x14ac:dyDescent="0.2">
      <c r="D63" s="15" t="str">
        <f>INDEX(X_Table_Poultry_Stage1MMS,5,1)</f>
        <v>Pasture range and paddock</v>
      </c>
      <c r="E63" s="15">
        <f>INDEX(X_Table_Poultry_Stage1MMS,5,2)</f>
        <v>0.1</v>
      </c>
      <c r="F63" s="15">
        <f>INDEX(X_Table_Poultry_Stage1MMS,5,3)</f>
        <v>0.1</v>
      </c>
      <c r="G63" s="15">
        <f>INDEX(X_Table_Poultry_Stage1MMS,5,4)</f>
        <v>0.1</v>
      </c>
      <c r="H63" s="15">
        <f>INDEX(X_Table_Poultry_Stage1MMS,5,5)</f>
        <v>0.1</v>
      </c>
      <c r="I63" s="16"/>
    </row>
    <row r="65" spans="1:16" ht="20.100000000000001" customHeight="1" x14ac:dyDescent="0.2">
      <c r="D65" s="118" t="s">
        <v>346</v>
      </c>
      <c r="G65" s="112"/>
    </row>
    <row r="66" spans="1:16" ht="20.100000000000001" customHeight="1" x14ac:dyDescent="0.2">
      <c r="D66" s="119" t="s">
        <v>347</v>
      </c>
    </row>
    <row r="67" spans="1:16" ht="20.100000000000001" customHeight="1" x14ac:dyDescent="0.2">
      <c r="D67" s="120" t="s">
        <v>297</v>
      </c>
      <c r="E67" s="120" t="s">
        <v>298</v>
      </c>
      <c r="F67" s="120" t="s">
        <v>299</v>
      </c>
      <c r="G67" s="120" t="s">
        <v>300</v>
      </c>
    </row>
    <row r="68" spans="1:16" ht="20.100000000000001" customHeight="1" x14ac:dyDescent="0.2">
      <c r="A68" s="79" t="str">
        <f>HYPERLINK("#A1", "▲ Back to top")</f>
        <v>▲ Back to top</v>
      </c>
      <c r="D68" s="15">
        <f>'Constants - Poultry'!$E$20</f>
        <v>0.39</v>
      </c>
      <c r="E68" s="15">
        <f>'Constants - Poultry'!$E$21</f>
        <v>0.36</v>
      </c>
      <c r="F68" s="15">
        <f>'Constants - Poultry'!$E$21</f>
        <v>0.36</v>
      </c>
      <c r="G68" s="15">
        <f>'Constants - Poultry'!$E$21</f>
        <v>0.36</v>
      </c>
      <c r="H68" s="16" t="str">
        <f>$G$51</f>
        <v>m3 CH4/kg VS</v>
      </c>
    </row>
    <row r="70" spans="1:16" ht="20.100000000000001" customHeight="1" x14ac:dyDescent="0.2">
      <c r="D70" s="124" t="s">
        <v>348</v>
      </c>
      <c r="N70" s="124" t="s">
        <v>348</v>
      </c>
    </row>
    <row r="71" spans="1:16" ht="20.100000000000001" customHeight="1" x14ac:dyDescent="0.2">
      <c r="D71" s="125" t="s">
        <v>349</v>
      </c>
      <c r="N71" s="125" t="s">
        <v>349</v>
      </c>
    </row>
    <row r="72" spans="1:16" ht="20.100000000000001" customHeight="1" x14ac:dyDescent="0.2">
      <c r="D72" s="120" t="s">
        <v>350</v>
      </c>
      <c r="E72" s="120" t="s">
        <v>351</v>
      </c>
      <c r="N72" s="120" t="s">
        <v>350</v>
      </c>
      <c r="O72" s="120" t="s">
        <v>351</v>
      </c>
    </row>
    <row r="73" spans="1:16" ht="20.100000000000001" customHeight="1" x14ac:dyDescent="0.2">
      <c r="D73" s="126" t="str">
        <f>'Constants - Poultry'!$D$29</f>
        <v>Poultry manure with bedding</v>
      </c>
      <c r="E73" s="15" t="e">
        <f>CommonLivestock_InputFunctions.Livestock_LookupMCFState(D73,Table_SourceData_Poultry_MMSMCF[NIR definition],Common_InputFunctions.Utility_ConvertStateCommonNameToAbbreviation($I$55,Table_AustralianStates[Common Name],Table_AustralianStates[Abbreviation]),Table_SourceData_Poultry_MMSMCF[#Headers],Table_SourceData_Poultry_MMSMCF[#Data])</f>
        <v>#N/A</v>
      </c>
      <c r="F73" s="16" t="str">
        <f>$G$53</f>
        <v>fraction</v>
      </c>
      <c r="N73" s="126" t="str">
        <f>'Constants - Poultry'!$D$29</f>
        <v>Poultry manure with bedding</v>
      </c>
      <c r="O73" s="15">
        <f>Common_InputFunctions.Common_GetMCFTemperatureZone($S$54,N73,Table_SourceData_Common_MCFTemperatureZone[MAT (ºC)],Table_SourceData_Common_MCFTemperatureZone[#Headers],Table_SourceData_Common_MCFTemperatureZone[#Data])</f>
        <v>1.4999999999999999E-2</v>
      </c>
      <c r="P73" s="16" t="str">
        <f>$G$53</f>
        <v>fraction</v>
      </c>
    </row>
    <row r="74" spans="1:16" ht="20.100000000000001" customHeight="1" x14ac:dyDescent="0.2">
      <c r="D74" s="126" t="str">
        <f>'Constants - Poultry'!$D$30</f>
        <v>Belt manure removal</v>
      </c>
      <c r="E74" s="15" t="e">
        <f>CommonLivestock_InputFunctions.Livestock_LookupMCFState(D74,Table_SourceData_Poultry_MMSMCF[NIR definition],Common_InputFunctions.Utility_ConvertStateCommonNameToAbbreviation($I$55,Table_AustralianStates[Common Name],Table_AustralianStates[Abbreviation]),Table_SourceData_Poultry_MMSMCF[#Headers],Table_SourceData_Poultry_MMSMCF[#Data])</f>
        <v>#N/A</v>
      </c>
      <c r="N74" s="126" t="str">
        <f>'Constants - Poultry'!$D$30</f>
        <v>Belt manure removal</v>
      </c>
      <c r="O74" s="15" t="s">
        <v>352</v>
      </c>
    </row>
    <row r="75" spans="1:16" ht="20.100000000000001" customHeight="1" x14ac:dyDescent="0.2">
      <c r="D75" s="126" t="str">
        <f>'Constants - Poultry'!$D$31</f>
        <v>Manure stored in house</v>
      </c>
      <c r="E75" s="15" t="e">
        <f>CommonLivestock_InputFunctions.Livestock_LookupMCFState(D75,Table_SourceData_Poultry_MMSMCF[NIR definition],Common_InputFunctions.Utility_ConvertStateCommonNameToAbbreviation($I$55,Table_AustralianStates[Common Name],Table_AustralianStates[Abbreviation]),Table_SourceData_Poultry_MMSMCF[#Headers],Table_SourceData_Poultry_MMSMCF[#Data])</f>
        <v>#N/A</v>
      </c>
      <c r="N75" s="126" t="str">
        <f>'Constants - Poultry'!$D$31</f>
        <v>Manure stored in house</v>
      </c>
      <c r="O75" s="15" t="s">
        <v>352</v>
      </c>
    </row>
    <row r="76" spans="1:16" ht="20.100000000000001" customHeight="1" x14ac:dyDescent="0.2">
      <c r="D76" s="126" t="str">
        <f>'Constants - Poultry'!$D$32</f>
        <v>Pasture range and paddock</v>
      </c>
      <c r="E76" s="15" t="e">
        <f>CommonLivestock_InputFunctions.Livestock_LookupMCFState(D76,Table_SourceData_Poultry_MMSMCF[NIR definition],Common_InputFunctions.Utility_ConvertStateCommonNameToAbbreviation($I$55,Table_AustralianStates[Common Name],Table_AustralianStates[Abbreviation]),Table_SourceData_Poultry_MMSMCF[#Headers],Table_SourceData_Poultry_MMSMCF[#Data])</f>
        <v>#N/A</v>
      </c>
      <c r="N76" s="126" t="str">
        <f>'Constants - Poultry'!$D$32</f>
        <v>Pasture range and paddock</v>
      </c>
      <c r="O76" s="15">
        <f>Common_InputFunctions.Common_GetMCFTemperatureZone($S$54,N76,Table_SourceData_Common_MCFTemperatureZone[MAT (ºC)],Table_SourceData_Common_MCFTemperatureZone[#Headers],Table_SourceData_Common_MCFTemperatureZone[#Data])</f>
        <v>4.7000000000000002E-3</v>
      </c>
    </row>
    <row r="77" spans="1:16" ht="20.100000000000001" customHeight="1" x14ac:dyDescent="0.2">
      <c r="D77" s="126" t="str">
        <f>'Constants - Poultry'!$D$33</f>
        <v>Solid storage</v>
      </c>
      <c r="E77" s="15" t="e">
        <f>CommonLivestock_InputFunctions.Livestock_LookupMCFState(D77,Table_SourceData_Poultry_MMSMCF[NIR definition],Common_InputFunctions.Utility_ConvertStateCommonNameToAbbreviation($I$55,Table_AustralianStates[Common Name],Table_AustralianStates[Abbreviation]),Table_SourceData_Poultry_MMSMCF[#Headers],Table_SourceData_Poultry_MMSMCF[#Data])</f>
        <v>#N/A</v>
      </c>
      <c r="N77" s="126" t="str">
        <f>'Constants - Poultry'!$D$33</f>
        <v>Solid storage</v>
      </c>
      <c r="O77" s="15">
        <f>Common_InputFunctions.Common_GetMCFTemperatureZone($S$54,N77,Table_SourceData_Common_MCFTemperatureZone[MAT (ºC)],Table_SourceData_Common_MCFTemperatureZone[#Headers],Table_SourceData_Common_MCFTemperatureZone[#Data])</f>
        <v>0.02</v>
      </c>
    </row>
    <row r="78" spans="1:16" ht="20.100000000000001" customHeight="1" x14ac:dyDescent="0.2">
      <c r="D78" s="126" t="str">
        <f>'Constants - Poultry'!$D$34</f>
        <v>Composting (passive windrow)</v>
      </c>
      <c r="E78" s="15" t="e">
        <f>CommonLivestock_InputFunctions.Livestock_LookupMCFState(D78,Table_SourceData_Poultry_MMSMCF[NIR definition],Common_InputFunctions.Utility_ConvertStateCommonNameToAbbreviation($I$55,Table_AustralianStates[Common Name],Table_AustralianStates[Abbreviation]),Table_SourceData_Poultry_MMSMCF[#Headers],Table_SourceData_Poultry_MMSMCF[#Data])</f>
        <v>#N/A</v>
      </c>
      <c r="N78" s="126" t="str">
        <f>'Constants - Poultry'!$D$34</f>
        <v>Composting (passive windrow)</v>
      </c>
      <c r="O78" s="15">
        <f>Common_InputFunctions.Common_GetMCFTemperatureZone($S$54,N78,Table_SourceData_Common_MCFTemperatureZone[MAT (ºC)],Table_SourceData_Common_MCFTemperatureZone[#Headers],Table_SourceData_Common_MCFTemperatureZone[#Data])</f>
        <v>5.0000000000000001E-3</v>
      </c>
    </row>
    <row r="79" spans="1:16" ht="20.100000000000001" customHeight="1" x14ac:dyDescent="0.2">
      <c r="D79" s="126" t="str">
        <f>'Constants - Poultry'!$D$35</f>
        <v>Digester / covered lagoons</v>
      </c>
      <c r="E79" s="15" t="e">
        <f>CommonLivestock_InputFunctions.Livestock_LookupMCFState(D79,Table_SourceData_Poultry_MMSMCF[NIR definition],Common_InputFunctions.Utility_ConvertStateCommonNameToAbbreviation($I$55,Table_AustralianStates[Common Name],Table_AustralianStates[Abbreviation]),Table_SourceData_Poultry_MMSMCF[#Headers],Table_SourceData_Poultry_MMSMCF[#Data])</f>
        <v>#N/A</v>
      </c>
      <c r="N79" s="126" t="str">
        <f>'Constants - Poultry'!$D$35</f>
        <v>Digester / covered lagoons</v>
      </c>
      <c r="O79" s="15">
        <f>Common_InputFunctions.Common_GetMCFTemperatureZone($S$54,N79,Table_SourceData_Common_MCFTemperatureZone[MAT (ºC)],Table_SourceData_Common_MCFTemperatureZone[#Headers],Table_SourceData_Common_MCFTemperatureZone[#Data])</f>
        <v>0.1</v>
      </c>
    </row>
    <row r="80" spans="1:16" ht="20.100000000000001" customHeight="1" x14ac:dyDescent="0.2">
      <c r="D80" s="126" t="str">
        <f>'Constants - Poultry'!$D$36</f>
        <v>Direct processing</v>
      </c>
      <c r="E80" s="15" t="e">
        <f>CommonLivestock_InputFunctions.Livestock_LookupMCFState(D80,Table_SourceData_Poultry_MMSMCF[NIR definition],Common_InputFunctions.Utility_ConvertStateCommonNameToAbbreviation($I$55,Table_AustralianStates[Common Name],Table_AustralianStates[Abbreviation]),Table_SourceData_Poultry_MMSMCF[#Headers],Table_SourceData_Poultry_MMSMCF[#Data])</f>
        <v>#N/A</v>
      </c>
      <c r="N80" s="126" t="str">
        <f>'Constants - Poultry'!$D$36</f>
        <v>Direct processing</v>
      </c>
      <c r="O80" s="15">
        <f>Common_InputFunctions.Common_GetMCFTemperatureZone($S$54,N80,Table_SourceData_Common_MCFTemperatureZone[MAT (ºC)],Table_SourceData_Common_MCFTemperatureZone[#Headers],Table_SourceData_Common_MCFTemperatureZone[#Data])</f>
        <v>0</v>
      </c>
    </row>
    <row r="81" spans="3:21" ht="20.100000000000001" customHeight="1" x14ac:dyDescent="0.2">
      <c r="D81" s="126" t="str">
        <f>'Constants - Poultry'!$D$37</f>
        <v>Direct application</v>
      </c>
      <c r="E81" s="15" t="e">
        <f>CommonLivestock_InputFunctions.Livestock_LookupMCFState(D81,Table_SourceData_Poultry_MMSMCF[NIR definition],Common_InputFunctions.Utility_ConvertStateCommonNameToAbbreviation($I$55,Table_AustralianStates[Common Name],Table_AustralianStates[Abbreviation]),Table_SourceData_Poultry_MMSMCF[#Headers],Table_SourceData_Poultry_MMSMCF[#Data])</f>
        <v>#N/A</v>
      </c>
      <c r="N81" s="126" t="str">
        <f>'Constants - Poultry'!$D$37</f>
        <v>Direct application</v>
      </c>
      <c r="O81" s="15">
        <f>Common_InputFunctions.Common_GetMCFTemperatureZone($S$54,N81,Table_SourceData_Common_MCFTemperatureZone[MAT (ºC)],Table_SourceData_Common_MCFTemperatureZone[#Headers],Table_SourceData_Common_MCFTemperatureZone[#Data])</f>
        <v>0</v>
      </c>
    </row>
    <row r="83" spans="3:21" ht="20.100000000000001" customHeight="1" x14ac:dyDescent="0.2">
      <c r="D83" s="118" t="s">
        <v>353</v>
      </c>
      <c r="N83" s="118" t="s">
        <v>354</v>
      </c>
    </row>
    <row r="84" spans="3:21" ht="20.100000000000001" customHeight="1" x14ac:dyDescent="0.2">
      <c r="D84" s="119" t="s">
        <v>355</v>
      </c>
      <c r="N84" s="119" t="s">
        <v>356</v>
      </c>
    </row>
    <row r="85" spans="3:21" ht="20.100000000000001" customHeight="1" x14ac:dyDescent="0.2">
      <c r="D85" s="120" t="s">
        <v>314</v>
      </c>
      <c r="E85" s="120" t="s">
        <v>297</v>
      </c>
      <c r="F85" s="120" t="s">
        <v>298</v>
      </c>
      <c r="G85" s="120" t="s">
        <v>299</v>
      </c>
      <c r="H85" s="120" t="s">
        <v>300</v>
      </c>
      <c r="N85" s="120" t="s">
        <v>314</v>
      </c>
      <c r="O85" s="120" t="s">
        <v>297</v>
      </c>
      <c r="P85" s="120" t="s">
        <v>298</v>
      </c>
      <c r="Q85" s="120" t="s">
        <v>299</v>
      </c>
      <c r="R85" s="120" t="s">
        <v>300</v>
      </c>
    </row>
    <row r="86" spans="3:21" ht="20.100000000000001" customHeight="1" x14ac:dyDescent="0.2">
      <c r="D86" s="15" t="str">
        <f>INDEX(X_Table_Poultry_Stage1MMS,2,1)</f>
        <v>Poultry manure with bedding</v>
      </c>
      <c r="E86" s="15" t="e" cm="1">
        <f t="array" ref="E86">MMS_Poultry_Methane_Equations.VEERG_4_6_1_1__2_Stage1MethaneProduction(D$35,D$68,E60,_xlfn.XLOOKUP($D86,$D$73:$D$81,$E$73:$E$81),$I$54)</f>
        <v>#N/A</v>
      </c>
      <c r="F86" s="15" t="e" cm="1">
        <f t="array" ref="F86">MMS_Poultry_Methane_Equations.VEERG_4_6_1_1__2_Stage1MethaneProduction(E$35,E$68,F60,_xlfn.XLOOKUP($D86,$D$73:$D$81,$E$73:$E$81),$I$54)</f>
        <v>#N/A</v>
      </c>
      <c r="G86" s="15" t="e" cm="1">
        <f t="array" ref="G86">MMS_Poultry_Methane_Equations.VEERG_4_6_1_1__2_Stage1MethaneProduction(F$35,F$68,G60,_xlfn.XLOOKUP($D86,$D$73:$D$81,$E$73:$E$81),$I$54)</f>
        <v>#N/A</v>
      </c>
      <c r="H86" s="15" t="e" cm="1">
        <f t="array" ref="H86">MMS_Poultry_Methane_Equations.VEERG_4_6_1_1__2_Stage1MethaneProduction(G$35,G$68,H60,_xlfn.XLOOKUP($D86,$D$73:$D$81,$E$73:$E$81),$I$54)</f>
        <v>#N/A</v>
      </c>
      <c r="I86" s="16" t="str">
        <f>$E$48</f>
        <v>kg CH4/bird/day</v>
      </c>
      <c r="N86" s="15" t="str">
        <f>INDEX(X_Table_Poultry_Stage1MMS,2,1)</f>
        <v>Poultry manure with bedding</v>
      </c>
      <c r="O86" s="15" cm="1">
        <f t="array" ref="O86">MMS_Poultry_Methane_Equations.VEERG_4_6_1_1__2_Stage1MethaneProduction(N$35,D$68,E60,_xlfn.XLOOKUP($N86,$N$73:$N$81,$O$73:$O$81),$I$54)</f>
        <v>1.6792109567999992E-5</v>
      </c>
      <c r="P86" s="15" cm="1">
        <f t="array" ref="P86">MMS_Poultry_Methane_Equations.VEERG_4_6_1_1__2_Stage1MethaneProduction(O$35,E$68,F60,_xlfn.XLOOKUP($N86,$N$73:$N$81,$O$73:$O$81),$I$54)</f>
        <v>1.7375316479999991E-5</v>
      </c>
      <c r="Q86" s="15" cm="1">
        <f t="array" ref="Q86">MMS_Poultry_Methane_Equations.VEERG_4_6_1_1__2_Stage1MethaneProduction(P$35,F$68,G60,_xlfn.XLOOKUP($N86,$N$73:$N$81,$O$73:$O$81),$I$54)</f>
        <v>1.8564443135999995E-5</v>
      </c>
      <c r="R86" s="15" cm="1">
        <f t="array" ref="R86">MMS_Poultry_Methane_Equations.VEERG_4_6_1_1__2_Stage1MethaneProduction(Q$35,G$68,H60,_xlfn.XLOOKUP($N86,$N$73:$N$81,$O$73:$O$81),$I$54)</f>
        <v>1.7375316479999991E-5</v>
      </c>
      <c r="S86" s="16" t="str">
        <f>$E$48</f>
        <v>kg CH4/bird/day</v>
      </c>
    </row>
    <row r="87" spans="3:21" ht="20.100000000000001" customHeight="1" x14ac:dyDescent="0.2">
      <c r="D87" s="15" t="str">
        <f>INDEX(X_Table_Poultry_Stage1MMS,3,1)</f>
        <v>Belt manure removal</v>
      </c>
      <c r="E87" s="15" t="e" cm="1">
        <f t="array" ref="E87">MMS_Poultry_Methane_Equations.VEERG_4_6_1_1__2_Stage1MethaneProduction(D$35,D$68,E61,_xlfn.XLOOKUP($D87,$D$73:$D$81,$E$73:$E$81),$I$54)</f>
        <v>#N/A</v>
      </c>
      <c r="F87" s="15" t="e" cm="1">
        <f t="array" ref="F87">MMS_Poultry_Methane_Equations.VEERG_4_6_1_1__2_Stage1MethaneProduction(E$35,E$68,F61,_xlfn.XLOOKUP($D87,$D$73:$D$81,$E$73:$E$81),$I$54)</f>
        <v>#N/A</v>
      </c>
      <c r="G87" s="15" t="e" cm="1">
        <f t="array" ref="G87">MMS_Poultry_Methane_Equations.VEERG_4_6_1_1__2_Stage1MethaneProduction(F$35,F$68,G61,_xlfn.XLOOKUP($D87,$D$73:$D$81,$E$73:$E$81),$I$54)</f>
        <v>#N/A</v>
      </c>
      <c r="H87" s="15" t="e" cm="1">
        <f t="array" ref="H87">MMS_Poultry_Methane_Equations.VEERG_4_6_1_1__2_Stage1MethaneProduction(G$35,G$68,H61,_xlfn.XLOOKUP($D87,$D$73:$D$81,$E$73:$E$81),$I$54)</f>
        <v>#N/A</v>
      </c>
      <c r="I87" s="16"/>
      <c r="N87" s="15" t="str">
        <f>INDEX(X_Table_Poultry_Stage1MMS,3,1)</f>
        <v>Belt manure removal</v>
      </c>
      <c r="O87" s="15" t="e" cm="1">
        <f t="array" ref="O87">MMS_Poultry_Methane_Equations.VEERG_4_6_1_1__2_Stage1MethaneProduction(N$35,D$68,E61,_xlfn.XLOOKUP($N87,$D$73:$D$81,$E$73:$E$81),$I$54)</f>
        <v>#N/A</v>
      </c>
      <c r="P87" s="15" t="e" cm="1">
        <f t="array" ref="P87">MMS_Poultry_Methane_Equations.VEERG_4_6_1_1__2_Stage1MethaneProduction(O$35,E$68,F61,_xlfn.XLOOKUP($N87,$D$73:$D$81,$E$73:$E$81),$I$54)</f>
        <v>#N/A</v>
      </c>
      <c r="Q87" s="15" t="e" cm="1">
        <f t="array" ref="Q87">MMS_Poultry_Methane_Equations.VEERG_4_6_1_1__2_Stage1MethaneProduction(P$35,F$68,G61,_xlfn.XLOOKUP($N87,$D$73:$D$81,$E$73:$E$81),$I$54)</f>
        <v>#N/A</v>
      </c>
      <c r="R87" s="15" t="e" cm="1">
        <f t="array" ref="R87">MMS_Poultry_Methane_Equations.VEERG_4_6_1_1__2_Stage1MethaneProduction(Q$35,G$68,H61,_xlfn.XLOOKUP($N87,$D$73:$D$81,$E$73:$E$81),$I$54)</f>
        <v>#N/A</v>
      </c>
      <c r="S87" s="16"/>
    </row>
    <row r="88" spans="3:21" ht="20.100000000000001" customHeight="1" x14ac:dyDescent="0.2">
      <c r="D88" s="15" t="str">
        <f>INDEX(X_Table_Poultry_Stage1MMS,4,1)</f>
        <v>Manure stored in house</v>
      </c>
      <c r="E88" s="15" t="e" cm="1">
        <f t="array" ref="E88">MMS_Poultry_Methane_Equations.VEERG_4_6_1_1__2_Stage1MethaneProduction(D$35,D$68,E62,_xlfn.XLOOKUP($D88,$D$73:$D$81,$E$73:$E$81),$I$54)</f>
        <v>#N/A</v>
      </c>
      <c r="F88" s="15" t="e" cm="1">
        <f t="array" ref="F88">MMS_Poultry_Methane_Equations.VEERG_4_6_1_1__2_Stage1MethaneProduction(E$35,E$68,F62,_xlfn.XLOOKUP($D88,$D$73:$D$81,$E$73:$E$81),$I$54)</f>
        <v>#N/A</v>
      </c>
      <c r="G88" s="15" t="e" cm="1">
        <f t="array" ref="G88">MMS_Poultry_Methane_Equations.VEERG_4_6_1_1__2_Stage1MethaneProduction(F$35,F$68,G62,_xlfn.XLOOKUP($D88,$D$73:$D$81,$E$73:$E$81),$I$54)</f>
        <v>#N/A</v>
      </c>
      <c r="H88" s="15" t="e" cm="1">
        <f t="array" ref="H88">MMS_Poultry_Methane_Equations.VEERG_4_6_1_1__2_Stage1MethaneProduction(G$35,G$68,H62,_xlfn.XLOOKUP($D88,$D$73:$D$81,$E$73:$E$81),$I$54)</f>
        <v>#N/A</v>
      </c>
      <c r="I88" s="16"/>
      <c r="N88" s="15" t="str">
        <f>INDEX(X_Table_Poultry_Stage1MMS,4,1)</f>
        <v>Manure stored in house</v>
      </c>
      <c r="O88" s="15" t="e" cm="1">
        <f t="array" ref="O88">MMS_Poultry_Methane_Equations.VEERG_4_6_1_1__2_Stage1MethaneProduction(N$35,D$68,E62,_xlfn.XLOOKUP($N88,$D$73:$D$81,$E$73:$E$81),$I$54)</f>
        <v>#N/A</v>
      </c>
      <c r="P88" s="15" t="e" cm="1">
        <f t="array" ref="P88">MMS_Poultry_Methane_Equations.VEERG_4_6_1_1__2_Stage1MethaneProduction(O$35,E$68,F62,_xlfn.XLOOKUP($N88,$D$73:$D$81,$E$73:$E$81),$I$54)</f>
        <v>#N/A</v>
      </c>
      <c r="Q88" s="15" t="e" cm="1">
        <f t="array" ref="Q88">MMS_Poultry_Methane_Equations.VEERG_4_6_1_1__2_Stage1MethaneProduction(P$35,F$68,G62,_xlfn.XLOOKUP($N88,$D$73:$D$81,$E$73:$E$81),$I$54)</f>
        <v>#N/A</v>
      </c>
      <c r="R88" s="15" t="e" cm="1">
        <f t="array" ref="R88">MMS_Poultry_Methane_Equations.VEERG_4_6_1_1__2_Stage1MethaneProduction(Q$35,G$68,H62,_xlfn.XLOOKUP($N88,$D$73:$D$81,$E$73:$E$81),$I$54)</f>
        <v>#N/A</v>
      </c>
      <c r="S88" s="16"/>
    </row>
    <row r="89" spans="3:21" ht="20.100000000000001" customHeight="1" x14ac:dyDescent="0.2">
      <c r="D89" s="15" t="str">
        <f>INDEX(X_Table_Poultry_Stage1MMS,5,1)</f>
        <v>Pasture range and paddock</v>
      </c>
      <c r="E89" s="15" t="e" cm="1">
        <f t="array" ref="E89">MMS_Poultry_Methane_Equations.VEERG_4_6_1_1__2_Stage1MethaneProduction(D$35,D$68,E63,_xlfn.XLOOKUP($D89,$D$73:$D$81,$E$73:$E$81),$I$54)</f>
        <v>#N/A</v>
      </c>
      <c r="F89" s="15" t="e" cm="1">
        <f t="array" ref="F89">MMS_Poultry_Methane_Equations.VEERG_4_6_1_1__2_Stage1MethaneProduction(E$35,E$68,F63,_xlfn.XLOOKUP($D89,$D$73:$D$81,$E$73:$E$81),$I$54)</f>
        <v>#N/A</v>
      </c>
      <c r="G89" s="15" t="e" cm="1">
        <f t="array" ref="G89">MMS_Poultry_Methane_Equations.VEERG_4_6_1_1__2_Stage1MethaneProduction(F$35,F$68,G63,_xlfn.XLOOKUP($D89,$D$73:$D$81,$E$73:$E$81),$I$54)</f>
        <v>#N/A</v>
      </c>
      <c r="H89" s="15" t="e" cm="1">
        <f t="array" ref="H89">MMS_Poultry_Methane_Equations.VEERG_4_6_1_1__2_Stage1MethaneProduction(G$35,G$68,H63,_xlfn.XLOOKUP($D89,$D$73:$D$81,$E$73:$E$81),$I$54)</f>
        <v>#N/A</v>
      </c>
      <c r="I89" s="16"/>
      <c r="N89" s="15" t="str">
        <f>INDEX(X_Table_Poultry_Stage1MMS,5,1)</f>
        <v>Pasture range and paddock</v>
      </c>
      <c r="O89" s="15" cm="1">
        <f t="array" ref="O89">MMS_Poultry_Methane_Equations.VEERG_4_6_1_1__2_Stage1MethaneProduction(N$35,D$68,E63,_xlfn.XLOOKUP($N89,$N$73:$N$81,$O$73:$O$81),$I$54)</f>
        <v>1.7538425548799995E-6</v>
      </c>
      <c r="P89" s="15" cm="1">
        <f t="array" ref="P89">MMS_Poultry_Methane_Equations.VEERG_4_6_1_1__2_Stage1MethaneProduction(O$35,E$68,F63,_xlfn.XLOOKUP($N89,$N$73:$N$81,$O$73:$O$81),$I$54)</f>
        <v>1.8147552767999997E-6</v>
      </c>
      <c r="Q89" s="15" cm="1">
        <f t="array" ref="Q89">MMS_Poultry_Methane_Equations.VEERG_4_6_1_1__2_Stage1MethaneProduction(P$35,F$68,G63,_xlfn.XLOOKUP($N89,$N$73:$N$81,$O$73:$O$81),$I$54)</f>
        <v>1.9389529497599998E-6</v>
      </c>
      <c r="R89" s="15" cm="1">
        <f t="array" ref="R89">MMS_Poultry_Methane_Equations.VEERG_4_6_1_1__2_Stage1MethaneProduction(Q$35,G$68,H63,_xlfn.XLOOKUP($N89,$N$73:$N$81,$O$73:$O$81),$I$54)</f>
        <v>1.8147552767999997E-6</v>
      </c>
      <c r="S89" s="16"/>
    </row>
    <row r="92" spans="3:21" ht="20.100000000000001" customHeight="1" x14ac:dyDescent="0.2">
      <c r="C92" s="83"/>
      <c r="D92" s="83"/>
      <c r="E92" s="83"/>
      <c r="F92" s="83"/>
      <c r="G92" s="83"/>
      <c r="H92" s="83"/>
      <c r="I92" s="83"/>
      <c r="J92" s="83"/>
      <c r="K92" s="83"/>
      <c r="M92" s="83"/>
      <c r="N92" s="83"/>
      <c r="O92" s="83"/>
      <c r="P92" s="83"/>
      <c r="Q92" s="83"/>
      <c r="R92" s="83"/>
      <c r="S92" s="83"/>
      <c r="T92" s="83"/>
      <c r="U92" s="83"/>
    </row>
    <row r="93" spans="3:21" ht="20.100000000000001" customHeight="1" x14ac:dyDescent="0.2">
      <c r="D93" s="2" t="str" cm="1">
        <f t="array" ref="D93">MMS_Poultry_Methane_Equations.VEERG_4_6_1_1__4_VolatileSolidsTransferred_Title()</f>
        <v>Volatile solids transferred to treatment stage 2 MMS</v>
      </c>
    </row>
    <row r="94" spans="3:21" ht="20.100000000000001" customHeight="1" x14ac:dyDescent="0.2">
      <c r="D94" s="17" t="str" cm="1">
        <f t="array" ref="D94">MMS_Poultry_Methane_Equations.VEERG_4_6_1_1__4_VolatileSolidsTransferred_Source()</f>
        <v>VEERG 2026: 4.4.1.1, Equation (4)</v>
      </c>
    </row>
    <row r="95" spans="3:21" ht="20.100000000000001" customHeight="1" x14ac:dyDescent="0.2">
      <c r="D95" s="112" t="s">
        <v>328</v>
      </c>
      <c r="E95" s="112" t="str" cm="1">
        <f t="array" aca="1" ref="E95" ca="1">Common_InputFunctions.Utility_DisplayFunctionName(E115)</f>
        <v>=MMS_Poultry_Methane_Equations.VEERG_4_6_1_1__4_VolatileSolidsTransferred</v>
      </c>
    </row>
    <row r="98" spans="1:14" ht="20.100000000000001" customHeight="1" x14ac:dyDescent="0.2">
      <c r="A98" s="79" t="str">
        <f>HYPERLINK("#A1", "▲ Back to top")</f>
        <v>▲ Back to top</v>
      </c>
      <c r="D98" s="75" t="s">
        <v>329</v>
      </c>
      <c r="E98" s="1" t="str" cm="1">
        <f t="array" ref="E98">MMS_Poultry_Methane_Equations.VEERG_4_6_1_1__4_VolatileSolidsTransferred_Variable()</f>
        <v>VST_jk</v>
      </c>
    </row>
    <row r="99" spans="1:14" ht="20.100000000000001" customHeight="1" x14ac:dyDescent="0.2">
      <c r="D99" s="75" t="s">
        <v>118</v>
      </c>
      <c r="E99" s="9" t="str" cm="1">
        <f t="array" ref="E99">MMS_Poultry_Methane_Equations.VEERG_4_6_1_1__4_VolatileSolidsTransferred_Unit()</f>
        <v>kg VS/bird/day</v>
      </c>
    </row>
    <row r="101" spans="1:14" ht="20.100000000000001" customHeight="1" x14ac:dyDescent="0.2">
      <c r="D101" s="113" t="str" cm="1">
        <f t="array" ref="D101:E103">_xlfn.CHOOSECOLS(MMS_Poultry_Methane_Equations.VEERG_4_6_1_1__4_VolatileSolidsTransferred_Arguments(),1,2)</f>
        <v>VS_jk</v>
      </c>
      <c r="E101" s="122" t="str">
        <v>volatile solid production poultry classes</v>
      </c>
      <c r="F101" s="123"/>
      <c r="G101" s="113" t="str" cm="1">
        <f t="array" ref="G101:H103">_xlfn.CHOOSECOLS(MMS_Poultry_Methane_Equations.VEERG_4_6_1_1__4_VolatileSolidsTransferred_Arguments(),3,4)</f>
        <v>kg VS/bird/day</v>
      </c>
      <c r="H101" s="115" t="str">
        <v>Calculated from 4.6.1.1 (5)</v>
      </c>
      <c r="I101" s="116" t="str" cm="1">
        <f t="array" aca="1" ref="I101" ca="1">HYPERLINK(Common_InputFunctions.Utility_SourceHyperlink($D$32), $D$32)</f>
        <v>M1_Table_VS_j_k</v>
      </c>
    </row>
    <row r="102" spans="1:14" ht="20.100000000000001" customHeight="1" x14ac:dyDescent="0.2">
      <c r="D102" s="113" t="str">
        <v>MMS_jmT1</v>
      </c>
      <c r="E102" s="122" t="str">
        <v>fraction of manure in each primary system</v>
      </c>
      <c r="F102" s="123"/>
      <c r="G102" s="113" t="str">
        <v>fraction</v>
      </c>
      <c r="H102" s="114" t="str">
        <v>Input</v>
      </c>
      <c r="I102" s="116" t="str" cm="1">
        <f t="array" aca="1" ref="I102" ca="1">HYPERLINK(Common_InputFunctions.Utility_SourceHyperlink($D$57), $D$57)</f>
        <v>Table_MMS_j_m_T-1</v>
      </c>
    </row>
    <row r="103" spans="1:14" ht="20.100000000000001" customHeight="1" x14ac:dyDescent="0.2">
      <c r="D103" s="113" t="str">
        <v>VSL_mT1</v>
      </c>
      <c r="E103" s="122" t="str">
        <v>fraction of volatile solids lost during storage in the primary system</v>
      </c>
      <c r="F103" s="123"/>
      <c r="G103" s="113" t="str">
        <v>fraction</v>
      </c>
      <c r="H103" s="115" t="str">
        <v>Constant</v>
      </c>
      <c r="I103" s="116" t="str" cm="1">
        <f t="array" aca="1" ref="I103" ca="1">HYPERLINK(Common_InputFunctions.Utility_SourceHyperlink($D$105), $D$105)</f>
        <v>Table_VSL_m_T-1</v>
      </c>
    </row>
    <row r="105" spans="1:14" ht="20.100000000000001" customHeight="1" x14ac:dyDescent="0.2">
      <c r="D105" s="127" t="s">
        <v>357</v>
      </c>
    </row>
    <row r="106" spans="1:14" ht="20.100000000000001" customHeight="1" x14ac:dyDescent="0.2">
      <c r="D106" s="128" t="s">
        <v>358</v>
      </c>
    </row>
    <row r="107" spans="1:14" ht="20.100000000000001" customHeight="1" x14ac:dyDescent="0.2">
      <c r="D107" s="120" t="s">
        <v>314</v>
      </c>
      <c r="E107" s="120" t="s">
        <v>359</v>
      </c>
    </row>
    <row r="108" spans="1:14" ht="20.100000000000001" customHeight="1" x14ac:dyDescent="0.2">
      <c r="D108" s="15" t="str">
        <f>INDEX(X_Table_Poultry_Stage1MMS,2,1)</f>
        <v>Poultry manure with bedding</v>
      </c>
      <c r="E108" s="15" cm="1">
        <f t="array" ref="E108">Common_InputFunctions.Utility_LookupValueInTableNumber(D108, Table_SourceData_Poultry_MMSVSL[NIR definition],Table_SourceData_Poultry_MMSVSL[VSL])</f>
        <v>0.15</v>
      </c>
      <c r="F108" s="16" t="str">
        <f>$G$103</f>
        <v>fraction</v>
      </c>
    </row>
    <row r="109" spans="1:14" ht="20.100000000000001" customHeight="1" x14ac:dyDescent="0.2">
      <c r="D109" s="15" t="str">
        <f>INDEX(X_Table_Poultry_Stage1MMS,3,1)</f>
        <v>Belt manure removal</v>
      </c>
      <c r="E109" s="15" cm="1">
        <f t="array" ref="E109">Common_InputFunctions.Utility_LookupValueInTableNumber(D109, Table_SourceData_Poultry_MMSVSL[NIR definition],Table_SourceData_Poultry_MMSVSL[VSL])</f>
        <v>0</v>
      </c>
      <c r="F109" s="16"/>
    </row>
    <row r="110" spans="1:14" ht="20.100000000000001" customHeight="1" x14ac:dyDescent="0.2">
      <c r="D110" s="15" t="str">
        <f>INDEX(X_Table_Poultry_Stage1MMS,4,1)</f>
        <v>Manure stored in house</v>
      </c>
      <c r="E110" s="15" cm="1">
        <f t="array" ref="E110">Common_InputFunctions.Utility_LookupValueInTableNumber(D110, Table_SourceData_Poultry_MMSVSL[NIR definition],Table_SourceData_Poultry_MMSVSL[VSL])</f>
        <v>0.2</v>
      </c>
      <c r="F110" s="16"/>
    </row>
    <row r="111" spans="1:14" ht="20.100000000000001" customHeight="1" x14ac:dyDescent="0.2">
      <c r="F111" s="16"/>
    </row>
    <row r="112" spans="1:14" ht="20.100000000000001" customHeight="1" x14ac:dyDescent="0.2">
      <c r="D112" s="118" t="s">
        <v>360</v>
      </c>
      <c r="N112" s="118" t="s">
        <v>361</v>
      </c>
    </row>
    <row r="113" spans="1:21" ht="20.100000000000001" customHeight="1" x14ac:dyDescent="0.2">
      <c r="D113" s="119" t="s">
        <v>362</v>
      </c>
      <c r="N113" s="119" t="s">
        <v>363</v>
      </c>
    </row>
    <row r="114" spans="1:21" ht="20.100000000000001" customHeight="1" x14ac:dyDescent="0.2">
      <c r="D114" s="120" t="s">
        <v>314</v>
      </c>
      <c r="E114" s="120" t="s">
        <v>297</v>
      </c>
      <c r="F114" s="120" t="s">
        <v>298</v>
      </c>
      <c r="G114" s="120" t="s">
        <v>299</v>
      </c>
      <c r="H114" s="120" t="s">
        <v>300</v>
      </c>
      <c r="N114" s="120" t="s">
        <v>314</v>
      </c>
      <c r="O114" s="120" t="s">
        <v>297</v>
      </c>
      <c r="P114" s="120" t="s">
        <v>298</v>
      </c>
      <c r="Q114" s="120" t="s">
        <v>299</v>
      </c>
      <c r="R114" s="120" t="s">
        <v>300</v>
      </c>
    </row>
    <row r="115" spans="1:21" ht="20.100000000000001" customHeight="1" x14ac:dyDescent="0.2">
      <c r="D115" s="15" t="str">
        <f>INDEX(X_Table_Poultry_Stage1MMS,2,1)</f>
        <v>Poultry manure with bedding</v>
      </c>
      <c r="E115" s="15" cm="1">
        <f t="array" ref="E115">MMS_Poultry_Methane_Equations.VEERG_4_6_1_1__4_VolatileSolidsTransferred(D$35,E60,_xlfn.XLOOKUP($D115,$D$108:$D$110,$E$108:$E$110))</f>
        <v>3.5965199999999985E-3</v>
      </c>
      <c r="F115" s="15" cm="1">
        <f t="array" ref="F115">MMS_Poultry_Methane_Equations.VEERG_4_6_1_1__4_VolatileSolidsTransferred(E$35,F60,_xlfn.XLOOKUP($D115,$D$108:$D$110,$E$108:$E$110))</f>
        <v>4.0315499999999983E-3</v>
      </c>
      <c r="G115" s="15" cm="1">
        <f t="array" ref="G115">MMS_Poultry_Methane_Equations.VEERG_4_6_1_1__4_VolatileSolidsTransferred(F$35,G60,_xlfn.XLOOKUP($D115,$D$108:$D$110,$E$108:$E$110))</f>
        <v>4.3074599999999991E-3</v>
      </c>
      <c r="H115" s="15" cm="1">
        <f t="array" ref="H115">MMS_Poultry_Methane_Equations.VEERG_4_6_1_1__4_VolatileSolidsTransferred(G$35,H60,_xlfn.XLOOKUP($D115,$D$108:$D$110,$E$108:$E$110))</f>
        <v>4.0315499999999983E-3</v>
      </c>
      <c r="I115" s="16" t="str">
        <f>$E$99</f>
        <v>kg VS/bird/day</v>
      </c>
      <c r="N115" s="15" t="str">
        <f>INDEX(X_Table_Poultry_Stage1MMS,2,1)</f>
        <v>Poultry manure with bedding</v>
      </c>
      <c r="O115" s="15" cm="1">
        <f t="array" ref="O115">MMS_Poultry_Methane_Equations.VEERG_4_6_1_1__4_VolatileSolidsTransferred(N$35,E60,_xlfn.XLOOKUP($N115,$D$108:$D$110,$E$108:$E$110))</f>
        <v>3.5965199999999985E-3</v>
      </c>
      <c r="P115" s="15" cm="1">
        <f t="array" ref="P115">MMS_Poultry_Methane_Equations.VEERG_4_6_1_1__4_VolatileSolidsTransferred(O$35,F60,_xlfn.XLOOKUP($N115,$D$108:$D$110,$E$108:$E$110))</f>
        <v>4.0315499999999983E-3</v>
      </c>
      <c r="Q115" s="15" cm="1">
        <f t="array" ref="Q115">MMS_Poultry_Methane_Equations.VEERG_4_6_1_1__4_VolatileSolidsTransferred(P$35,G60,_xlfn.XLOOKUP($N115,$D$108:$D$110,$E$108:$E$110))</f>
        <v>4.3074599999999991E-3</v>
      </c>
      <c r="R115" s="15" cm="1">
        <f t="array" ref="R115">MMS_Poultry_Methane_Equations.VEERG_4_6_1_1__4_VolatileSolidsTransferred(Q$35,H60,_xlfn.XLOOKUP($N115,$D$108:$D$110,$E$108:$E$110))</f>
        <v>4.0315499999999983E-3</v>
      </c>
      <c r="S115" s="16" t="str">
        <f>$E$99</f>
        <v>kg VS/bird/day</v>
      </c>
    </row>
    <row r="116" spans="1:21" ht="20.100000000000001" customHeight="1" x14ac:dyDescent="0.2">
      <c r="D116" s="15" t="str">
        <f>INDEX(X_Table_Poultry_Stage1MMS,3,1)</f>
        <v>Belt manure removal</v>
      </c>
      <c r="E116" s="15" cm="1">
        <f t="array" ref="E116">MMS_Poultry_Methane_Equations.VEERG_4_6_1_1__4_VolatileSolidsTransferred(D$35,E61,_xlfn.XLOOKUP($D116,$D$108:$D$110,$E$108:$E$110))</f>
        <v>4.2311999999999983E-3</v>
      </c>
      <c r="F116" s="15" cm="1">
        <f t="array" ref="F116">MMS_Poultry_Methane_Equations.VEERG_4_6_1_1__4_VolatileSolidsTransferred(E$35,F61,_xlfn.XLOOKUP($D116,$D$108:$D$110,$E$108:$E$110))</f>
        <v>4.7429999999999981E-3</v>
      </c>
      <c r="G116" s="15" cm="1">
        <f t="array" ref="G116">MMS_Poultry_Methane_Equations.VEERG_4_6_1_1__4_VolatileSolidsTransferred(F$35,G61,_xlfn.XLOOKUP($D116,$D$108:$D$110,$E$108:$E$110))</f>
        <v>5.0675999999999994E-3</v>
      </c>
      <c r="H116" s="15" cm="1">
        <f t="array" ref="H116">MMS_Poultry_Methane_Equations.VEERG_4_6_1_1__4_VolatileSolidsTransferred(G$35,H61,_xlfn.XLOOKUP($D116,$D$108:$D$110,$E$108:$E$110))</f>
        <v>4.7429999999999981E-3</v>
      </c>
      <c r="I116" s="16"/>
      <c r="N116" s="15" t="str">
        <f>INDEX(X_Table_Poultry_Stage1MMS,3,1)</f>
        <v>Belt manure removal</v>
      </c>
      <c r="O116" s="15" cm="1">
        <f t="array" ref="O116">MMS_Poultry_Methane_Equations.VEERG_4_6_1_1__4_VolatileSolidsTransferred(N$35,E61,_xlfn.XLOOKUP($N116,$D$108:$D$110,$E$108:$E$110))</f>
        <v>4.2311999999999983E-3</v>
      </c>
      <c r="P116" s="15" cm="1">
        <f t="array" ref="P116">MMS_Poultry_Methane_Equations.VEERG_4_6_1_1__4_VolatileSolidsTransferred(O$35,F61,_xlfn.XLOOKUP($N116,$D$108:$D$110,$E$108:$E$110))</f>
        <v>4.7429999999999981E-3</v>
      </c>
      <c r="Q116" s="15" cm="1">
        <f t="array" ref="Q116">MMS_Poultry_Methane_Equations.VEERG_4_6_1_1__4_VolatileSolidsTransferred(P$35,G61,_xlfn.XLOOKUP($N116,$D$108:$D$110,$E$108:$E$110))</f>
        <v>5.0675999999999994E-3</v>
      </c>
      <c r="R116" s="15" cm="1">
        <f t="array" ref="R116">MMS_Poultry_Methane_Equations.VEERG_4_6_1_1__4_VolatileSolidsTransferred(Q$35,H61,_xlfn.XLOOKUP($N116,$D$108:$D$110,$E$108:$E$110))</f>
        <v>4.7429999999999981E-3</v>
      </c>
      <c r="S116" s="16"/>
    </row>
    <row r="117" spans="1:21" ht="20.100000000000001" customHeight="1" x14ac:dyDescent="0.2">
      <c r="D117" s="15" t="str">
        <f>INDEX(X_Table_Poultry_Stage1MMS,4,1)</f>
        <v>Manure stored in house</v>
      </c>
      <c r="E117" s="15" cm="1">
        <f t="array" ref="E117">MMS_Poultry_Methane_Equations.VEERG_4_6_1_1__4_VolatileSolidsTransferred(D$35,E62,_xlfn.XLOOKUP($D117,$D$108:$D$110,$E$108:$E$110))</f>
        <v>3.3849599999999989E-3</v>
      </c>
      <c r="F117" s="15" cm="1">
        <f t="array" ref="F117">MMS_Poultry_Methane_Equations.VEERG_4_6_1_1__4_VolatileSolidsTransferred(E$35,F62,_xlfn.XLOOKUP($D117,$D$108:$D$110,$E$108:$E$110))</f>
        <v>3.7943999999999986E-3</v>
      </c>
      <c r="G117" s="15" cm="1">
        <f t="array" ref="G117">MMS_Poultry_Methane_Equations.VEERG_4_6_1_1__4_VolatileSolidsTransferred(F$35,G62,_xlfn.XLOOKUP($D117,$D$108:$D$110,$E$108:$E$110))</f>
        <v>4.0540799999999998E-3</v>
      </c>
      <c r="H117" s="15" cm="1">
        <f t="array" ref="H117">MMS_Poultry_Methane_Equations.VEERG_4_6_1_1__4_VolatileSolidsTransferred(G$35,H62,_xlfn.XLOOKUP($D117,$D$108:$D$110,$E$108:$E$110))</f>
        <v>3.7943999999999986E-3</v>
      </c>
      <c r="I117" s="16"/>
      <c r="N117" s="15" t="str">
        <f>INDEX(X_Table_Poultry_Stage1MMS,4,1)</f>
        <v>Manure stored in house</v>
      </c>
      <c r="O117" s="15" cm="1">
        <f t="array" ref="O117">MMS_Poultry_Methane_Equations.VEERG_4_6_1_1__4_VolatileSolidsTransferred(N$35,E62,_xlfn.XLOOKUP($N117,$D$108:$D$110,$E$108:$E$110))</f>
        <v>3.3849599999999989E-3</v>
      </c>
      <c r="P117" s="15" cm="1">
        <f t="array" ref="P117">MMS_Poultry_Methane_Equations.VEERG_4_6_1_1__4_VolatileSolidsTransferred(O$35,F62,_xlfn.XLOOKUP($N117,$D$108:$D$110,$E$108:$E$110))</f>
        <v>3.7943999999999986E-3</v>
      </c>
      <c r="Q117" s="15" cm="1">
        <f t="array" ref="Q117">MMS_Poultry_Methane_Equations.VEERG_4_6_1_1__4_VolatileSolidsTransferred(P$35,G62,_xlfn.XLOOKUP($N117,$D$108:$D$110,$E$108:$E$110))</f>
        <v>4.0540799999999998E-3</v>
      </c>
      <c r="R117" s="15" cm="1">
        <f t="array" ref="R117">MMS_Poultry_Methane_Equations.VEERG_4_6_1_1__4_VolatileSolidsTransferred(Q$35,H62,_xlfn.XLOOKUP($N117,$D$108:$D$110,$E$108:$E$110))</f>
        <v>3.7943999999999986E-3</v>
      </c>
      <c r="S117" s="16"/>
    </row>
    <row r="120" spans="1:21" ht="20.100000000000001" customHeight="1" x14ac:dyDescent="0.2">
      <c r="C120" s="83"/>
      <c r="D120" s="83"/>
      <c r="E120" s="83"/>
      <c r="F120" s="83"/>
      <c r="G120" s="83"/>
      <c r="H120" s="83"/>
      <c r="I120" s="83"/>
      <c r="J120" s="83"/>
      <c r="K120" s="83"/>
      <c r="M120" s="83"/>
      <c r="N120" s="83"/>
      <c r="O120" s="83"/>
      <c r="P120" s="83"/>
      <c r="Q120" s="83"/>
      <c r="R120" s="83"/>
      <c r="S120" s="83"/>
      <c r="T120" s="83"/>
      <c r="U120" s="83"/>
    </row>
    <row r="121" spans="1:21" ht="20.100000000000001" customHeight="1" x14ac:dyDescent="0.2">
      <c r="D121" s="2" t="str" cm="1">
        <f t="array" ref="D121">MMS_Poultry_Methane_Equations.VEERG_4_6_1_1__3_Stage2MethaneProduction_Title()</f>
        <v>Production of methane in treatment stage 2 MMS</v>
      </c>
    </row>
    <row r="122" spans="1:21" ht="20.100000000000001" customHeight="1" x14ac:dyDescent="0.2">
      <c r="D122" s="17" t="str" cm="1">
        <f t="array" ref="D122">MMS_Poultry_Methane_Equations.VEERG_4_6_1_1__3_Stage2MethaneProduction_Source()</f>
        <v>VEERG 2026: 4.4.1.1, Equation (3)</v>
      </c>
    </row>
    <row r="123" spans="1:21" ht="20.100000000000001" customHeight="1" x14ac:dyDescent="0.2">
      <c r="D123" s="25" t="str" cm="1">
        <f t="array" ref="D123">MMS_Poultry_Methane_Equations.VEERG_4_6_1_1__3_Stage2MethaneProduction_Variation()</f>
        <v>VARIATION ON SOURCE: Used mean annual temperature instead of temperature zone to determine MCF as MCF values are specific to temperature</v>
      </c>
    </row>
    <row r="124" spans="1:21" ht="20.100000000000001" customHeight="1" x14ac:dyDescent="0.2">
      <c r="D124" s="112" t="s">
        <v>328</v>
      </c>
      <c r="E124" s="112" t="str" cm="1">
        <f t="array" aca="1" ref="E124" ca="1">Common_InputFunctions.Utility_DisplayFunctionName(F159)</f>
        <v>=MMS_Poultry_Methane_Equations.VEERG_4_6_1_1__3_Stage2MethaneProduction</v>
      </c>
    </row>
    <row r="127" spans="1:21" ht="20.100000000000001" customHeight="1" x14ac:dyDescent="0.2">
      <c r="D127" s="75" t="s">
        <v>329</v>
      </c>
      <c r="E127" s="1" t="str" cm="1">
        <f t="array" ref="E127">MMS_Poultry_Methane_Equations.VEERG_4_6_1_1__3_Stage2MethaneProduction_Variable()</f>
        <v>M_jkmT2</v>
      </c>
    </row>
    <row r="128" spans="1:21" ht="20.100000000000001" customHeight="1" x14ac:dyDescent="0.2">
      <c r="A128" s="79" t="str">
        <f>HYPERLINK("#A1", "▲ Back to top")</f>
        <v>▲ Back to top</v>
      </c>
      <c r="D128" s="75" t="s">
        <v>118</v>
      </c>
      <c r="E128" s="9" t="str" cm="1">
        <f t="array" ref="E128">MMS_Poultry_Methane_Equations.VEERG_4_6_1_1__3_Stage2MethaneProduction_Unit()</f>
        <v>kg CH4/bird/day</v>
      </c>
    </row>
    <row r="130" spans="4:19" ht="20.100000000000001" customHeight="1" x14ac:dyDescent="0.2">
      <c r="D130" s="113" t="str" cm="1">
        <f t="array" ref="D130:E135">_xlfn.CHOOSECOLS(MMS_Poultry_Methane_Equations.VEERG_4_6_1_1__3_Stage2MethaneProduction_Arguments(),1,2)</f>
        <v>VST_jk</v>
      </c>
      <c r="E130" s="122" t="str">
        <v>volatile solids transferred to treatment stage 2 MMS</v>
      </c>
      <c r="F130" s="123"/>
      <c r="G130" s="113" t="str" cm="1">
        <f t="array" ref="G130:H135">_xlfn.CHOOSECOLS(MMS_Poultry_Methane_Equations.VEERG_4_6_1_1__3_Stage2MethaneProduction_Arguments(),3,4)</f>
        <v>kg VS/bird/day</v>
      </c>
      <c r="H130" s="115" t="str">
        <v>Calculated from 4.6.1.1 (4)</v>
      </c>
      <c r="I130" s="116" t="str" cm="1">
        <f t="array" aca="1" ref="I130" ca="1">HYPERLINK(Common_InputFunctions.Utility_SourceHyperlink($D$112), $D$112)</f>
        <v>M1_Table_VST_j_k</v>
      </c>
      <c r="N130" s="113" t="str" cm="1">
        <f t="array" ref="N130:O135">_xlfn.CHOOSECOLS(MMS_Poultry_Methane_Equations.VEERG_4_6_1_1__3_Stage2MethaneProduction_Arguments_Method2(),1,2)</f>
        <v>VST_jk</v>
      </c>
      <c r="O130" s="122" t="str">
        <v>volatile solids transferred to treatment stage 2 MMS</v>
      </c>
      <c r="P130" s="123"/>
      <c r="Q130" s="113" t="str" cm="1">
        <f t="array" ref="Q130:R135">_xlfn.CHOOSECOLS(MMS_Poultry_Methane_Equations.VEERG_4_6_1_1__3_Stage2MethaneProduction_Arguments_Method2(),3,4)</f>
        <v>kg VS/bird/day</v>
      </c>
      <c r="R130" s="115" t="str">
        <v>Calculated from 4.6.1.1 (4)</v>
      </c>
      <c r="S130" s="116" t="str" cm="1">
        <f t="array" aca="1" ref="S130" ca="1">HYPERLINK(Common_InputFunctions.Utility_SourceHyperlink($D$112), $D$112)</f>
        <v>M1_Table_VST_j_k</v>
      </c>
    </row>
    <row r="131" spans="4:19" ht="20.100000000000001" customHeight="1" x14ac:dyDescent="0.2">
      <c r="D131" s="113" t="str">
        <v>BO</v>
      </c>
      <c r="E131" s="122" t="str">
        <v>emissions potential</v>
      </c>
      <c r="F131" s="123"/>
      <c r="G131" s="113" t="str">
        <v>m3 CH4/kg VS</v>
      </c>
      <c r="H131" s="115" t="str">
        <v>Constant</v>
      </c>
      <c r="I131" s="116" t="str" cm="1">
        <f t="array" aca="1" ref="I131" ca="1">HYPERLINK(Common_InputFunctions.Utility_SourceHyperlink($D$65),$D$65)</f>
        <v>Table_B_0_j</v>
      </c>
      <c r="N131" s="113" t="str">
        <v>BO</v>
      </c>
      <c r="O131" s="122" t="str">
        <v>emissions potential</v>
      </c>
      <c r="P131" s="123"/>
      <c r="Q131" s="113" t="str">
        <v>m3 CH4/kg VS</v>
      </c>
      <c r="R131" s="115" t="str">
        <v>Constant</v>
      </c>
      <c r="S131" s="116" t="str" cm="1">
        <f t="array" aca="1" ref="S131" ca="1">HYPERLINK(Common_InputFunctions.Utility_SourceHyperlink($D$65),$D$65)</f>
        <v>Table_B_0_j</v>
      </c>
    </row>
    <row r="132" spans="4:19" ht="20.100000000000001" customHeight="1" x14ac:dyDescent="0.2">
      <c r="D132" s="113" t="str">
        <v>MMS_jmT2</v>
      </c>
      <c r="E132" s="122" t="str">
        <v>fraction of manure in each secondary system</v>
      </c>
      <c r="F132" s="123"/>
      <c r="G132" s="113" t="str">
        <v>fraction</v>
      </c>
      <c r="H132" s="114" t="str">
        <v>Input</v>
      </c>
      <c r="I132" s="116" t="str" cm="1">
        <f t="array" aca="1" ref="I132" ca="1">HYPERLINK(Common_InputFunctions.Utility_SourceHyperlink($D$137),$D$137)</f>
        <v>Table_MMS_j_m_T-2</v>
      </c>
      <c r="N132" s="113" t="str">
        <v>MMS_jmT2</v>
      </c>
      <c r="O132" s="122" t="str">
        <v>fraction of manure in each secondary system</v>
      </c>
      <c r="P132" s="123"/>
      <c r="Q132" s="113" t="str">
        <v>fraction</v>
      </c>
      <c r="R132" s="114" t="str">
        <v>Input</v>
      </c>
      <c r="S132" s="116" t="str" cm="1">
        <f t="array" aca="1" ref="S132" ca="1">HYPERLINK(Common_InputFunctions.Utility_SourceHyperlink($D$137),$D$137)</f>
        <v>Table_MMS_j_m_T-2</v>
      </c>
    </row>
    <row r="133" spans="4:19" ht="20.100000000000001" customHeight="1" x14ac:dyDescent="0.2">
      <c r="D133" s="113" t="str">
        <v>MCF_im</v>
      </c>
      <c r="E133" s="122" t="str">
        <v>methane conversion factor for temperature zone and MMS</v>
      </c>
      <c r="F133" s="123"/>
      <c r="G133" s="113" t="str">
        <v>fraction</v>
      </c>
      <c r="H133" s="115" t="str">
        <v>Constant</v>
      </c>
      <c r="I133" s="116" t="str" cm="1">
        <f t="array" aca="1" ref="I133" ca="1">HYPERLINK(Common_InputFunctions.Utility_SourceHyperlink($D$70),$D$70)</f>
        <v>Table_MCF_i_m</v>
      </c>
      <c r="N133" s="113" t="str">
        <v>MCF_im</v>
      </c>
      <c r="O133" s="122" t="str">
        <v>methane conversion factor for temperature zone and MMS</v>
      </c>
      <c r="P133" s="123"/>
      <c r="Q133" s="113" t="str">
        <v>fraction</v>
      </c>
      <c r="R133" s="115" t="str">
        <v>Constant</v>
      </c>
      <c r="S133" s="116" t="str" cm="1">
        <f t="array" aca="1" ref="S133" ca="1">HYPERLINK(Common_InputFunctions.Utility_SourceHyperlink($D$70),$D$70)</f>
        <v>Table_MCF_i_m</v>
      </c>
    </row>
    <row r="134" spans="4:19" ht="20.100000000000001" customHeight="1" x14ac:dyDescent="0.2">
      <c r="D134" s="113" t="str">
        <v>rho</v>
      </c>
      <c r="E134" s="122" t="str">
        <v>density of methane</v>
      </c>
      <c r="F134" s="123"/>
      <c r="G134" s="113" t="str">
        <v>kg/m3</v>
      </c>
      <c r="H134" s="115" t="str">
        <v>Constant</v>
      </c>
      <c r="I134" s="113">
        <f>Common_SourceData_DensityOfMethane_Data</f>
        <v>0.6784</v>
      </c>
      <c r="N134" s="113" t="str">
        <v>rho</v>
      </c>
      <c r="O134" s="122" t="str">
        <v>density of methane</v>
      </c>
      <c r="P134" s="123"/>
      <c r="Q134" s="113" t="str">
        <v>kg/m3</v>
      </c>
      <c r="R134" s="115" t="str">
        <v>Constant</v>
      </c>
      <c r="S134" s="113">
        <f>Common_SourceData_DensityOfMethane_Data</f>
        <v>0.6784</v>
      </c>
    </row>
    <row r="135" spans="4:19" ht="20.100000000000001" customHeight="1" x14ac:dyDescent="0.2">
      <c r="D135" s="113" t="str">
        <v>i</v>
      </c>
      <c r="E135" s="122" t="str">
        <v>state</v>
      </c>
      <c r="F135" s="123"/>
      <c r="G135" s="113" t="str">
        <v/>
      </c>
      <c r="H135" s="114" t="str">
        <v>Input</v>
      </c>
      <c r="I135" s="113" t="str">
        <f>X_Cell_Site_State</f>
        <v>Dry climate zone</v>
      </c>
      <c r="N135" s="113" t="str">
        <v>i</v>
      </c>
      <c r="O135" s="122" t="str">
        <v>mean annual temperature</v>
      </c>
      <c r="P135" s="123"/>
      <c r="Q135" s="113" t="str">
        <v>°C</v>
      </c>
      <c r="R135" s="114" t="str">
        <v>Input</v>
      </c>
      <c r="S135" s="113">
        <f>X_Cell_Site_AverageTemperature</f>
        <v>0</v>
      </c>
    </row>
    <row r="137" spans="4:19" ht="20.100000000000001" customHeight="1" x14ac:dyDescent="0.2">
      <c r="D137" s="118" t="s">
        <v>364</v>
      </c>
    </row>
    <row r="138" spans="4:19" ht="20.100000000000001" customHeight="1" x14ac:dyDescent="0.2">
      <c r="D138" s="119" t="s">
        <v>365</v>
      </c>
    </row>
    <row r="139" spans="4:19" ht="20.100000000000001" customHeight="1" x14ac:dyDescent="0.2">
      <c r="D139" s="78" t="s">
        <v>314</v>
      </c>
      <c r="E139" s="78" t="s">
        <v>318</v>
      </c>
      <c r="F139" s="78" t="s">
        <v>297</v>
      </c>
      <c r="G139" s="78" t="s">
        <v>298</v>
      </c>
      <c r="H139" s="78" t="s">
        <v>299</v>
      </c>
      <c r="I139" s="78" t="s">
        <v>300</v>
      </c>
    </row>
    <row r="140" spans="4:19" ht="20.100000000000001" customHeight="1" x14ac:dyDescent="0.2">
      <c r="D140" s="15" t="str">
        <f>INDEX(X_Table_Poultry_Stage1MMS,2,1)</f>
        <v>Poultry manure with bedding</v>
      </c>
      <c r="E140" s="15" t="str">
        <f>INDEX(X_Table_Poultry_Stage2MMS_PoultryManureWithBedding,2,1)</f>
        <v>Solid storage</v>
      </c>
      <c r="F140" s="15">
        <f>INDEX(X_Table_Poultry_Stage2MMS_PoultryManureWithBedding,2,2)</f>
        <v>0.2</v>
      </c>
      <c r="G140" s="15">
        <f>INDEX(X_Table_Poultry_Stage2MMS_PoultryManureWithBedding,2,3)</f>
        <v>0.2</v>
      </c>
      <c r="H140" s="15">
        <f>INDEX(X_Table_Poultry_Stage2MMS_PoultryManureWithBedding,2,4)</f>
        <v>0.2</v>
      </c>
      <c r="I140" s="15">
        <f>INDEX(X_Table_Poultry_Stage2MMS_PoultryManureWithBedding,2,5)</f>
        <v>0.2</v>
      </c>
      <c r="J140" s="16" t="str">
        <f>$G$132</f>
        <v>fraction</v>
      </c>
    </row>
    <row r="141" spans="4:19" ht="20.100000000000001" customHeight="1" x14ac:dyDescent="0.2">
      <c r="D141" s="15"/>
      <c r="E141" s="15" t="str">
        <f>INDEX(X_Table_Poultry_Stage2MMS_PoultryManureWithBedding,3,1)</f>
        <v>Composting (passive windrow)</v>
      </c>
      <c r="F141" s="15">
        <f>INDEX(X_Table_Poultry_Stage2MMS_PoultryManureWithBedding,3,2)</f>
        <v>0.2</v>
      </c>
      <c r="G141" s="15">
        <f>INDEX(X_Table_Poultry_Stage2MMS_PoultryManureWithBedding,3,3)</f>
        <v>0.2</v>
      </c>
      <c r="H141" s="15">
        <f>INDEX(X_Table_Poultry_Stage2MMS_PoultryManureWithBedding,3,4)</f>
        <v>0.2</v>
      </c>
      <c r="I141" s="15">
        <f>INDEX(X_Table_Poultry_Stage2MMS_PoultryManureWithBedding,3,5)</f>
        <v>0.2</v>
      </c>
      <c r="J141" s="16"/>
    </row>
    <row r="142" spans="4:19" ht="20.100000000000001" customHeight="1" x14ac:dyDescent="0.2">
      <c r="D142" s="15"/>
      <c r="E142" s="15" t="str">
        <f>INDEX(X_Table_Poultry_Stage2MMS_PoultryManureWithBedding,4,1)</f>
        <v>Digester / covered lagoons</v>
      </c>
      <c r="F142" s="15">
        <f>INDEX(X_Table_Poultry_Stage2MMS_PoultryManureWithBedding,4,2)</f>
        <v>0.2</v>
      </c>
      <c r="G142" s="15">
        <f>INDEX(X_Table_Poultry_Stage2MMS_PoultryManureWithBedding,4,3)</f>
        <v>0.2</v>
      </c>
      <c r="H142" s="15">
        <f>INDEX(X_Table_Poultry_Stage2MMS_PoultryManureWithBedding,4,4)</f>
        <v>0.2</v>
      </c>
      <c r="I142" s="15">
        <f>INDEX(X_Table_Poultry_Stage2MMS_PoultryManureWithBedding,4,5)</f>
        <v>0.2</v>
      </c>
      <c r="J142" s="16"/>
    </row>
    <row r="143" spans="4:19" ht="20.100000000000001" customHeight="1" x14ac:dyDescent="0.2">
      <c r="D143" s="15"/>
      <c r="E143" s="15" t="str">
        <f>INDEX(X_Table_Poultry_Stage2MMS_PoultryManureWithBedding,5,1)</f>
        <v>Direct processing</v>
      </c>
      <c r="F143" s="15">
        <f>INDEX(X_Table_Poultry_Stage2MMS_PoultryManureWithBedding,5,2)</f>
        <v>0.2</v>
      </c>
      <c r="G143" s="15">
        <f>INDEX(X_Table_Poultry_Stage2MMS_PoultryManureWithBedding,5,3)</f>
        <v>0.2</v>
      </c>
      <c r="H143" s="15">
        <f>INDEX(X_Table_Poultry_Stage2MMS_PoultryManureWithBedding,5,4)</f>
        <v>0.2</v>
      </c>
      <c r="I143" s="15">
        <f>INDEX(X_Table_Poultry_Stage2MMS_PoultryManureWithBedding,5,5)</f>
        <v>0.2</v>
      </c>
      <c r="J143" s="16"/>
    </row>
    <row r="144" spans="4:19" ht="20.100000000000001" customHeight="1" x14ac:dyDescent="0.2">
      <c r="D144" s="15"/>
      <c r="E144" s="15" t="str">
        <f>INDEX(X_Table_Poultry_Stage2MMS_PoultryManureWithBedding,6,1)</f>
        <v>Direct application</v>
      </c>
      <c r="F144" s="15">
        <f>INDEX(X_Table_Poultry_Stage2MMS_PoultryManureWithBedding,6,2)</f>
        <v>0.19999999999999996</v>
      </c>
      <c r="G144" s="15">
        <f>INDEX(X_Table_Poultry_Stage2MMS_PoultryManureWithBedding,6,3)</f>
        <v>0.19999999999999996</v>
      </c>
      <c r="H144" s="15">
        <f>INDEX(X_Table_Poultry_Stage2MMS_PoultryManureWithBedding,6,4)</f>
        <v>0.19999999999999996</v>
      </c>
      <c r="I144" s="15">
        <f>INDEX(X_Table_Poultry_Stage2MMS_PoultryManureWithBedding,6,5)</f>
        <v>0.19999999999999996</v>
      </c>
    </row>
    <row r="145" spans="1:20" ht="20.100000000000001" customHeight="1" x14ac:dyDescent="0.2">
      <c r="D145" s="15" t="str">
        <f>INDEX(X_Table_Poultry_Stage1MMS,3,1)</f>
        <v>Belt manure removal</v>
      </c>
      <c r="E145" s="15" t="str">
        <f>INDEX(X_Table_Poultry_Stage2MMS_BeltManureRemoval,2,1)</f>
        <v>Solid storage</v>
      </c>
      <c r="F145" s="15">
        <f>INDEX(X_Table_Poultry_Stage2MMS_BeltManureRemoval,2,2)</f>
        <v>0.2</v>
      </c>
      <c r="G145" s="15">
        <f>INDEX(X_Table_Poultry_Stage2MMS_BeltManureRemoval,2,3)</f>
        <v>0.2</v>
      </c>
      <c r="H145" s="15">
        <f>INDEX(X_Table_Poultry_Stage2MMS_BeltManureRemoval,2,4)</f>
        <v>0.2</v>
      </c>
      <c r="I145" s="15">
        <f>INDEX(X_Table_Poultry_Stage2MMS_BeltManureRemoval,2,5)</f>
        <v>0.2</v>
      </c>
      <c r="J145" s="16"/>
    </row>
    <row r="146" spans="1:20" ht="20.100000000000001" customHeight="1" x14ac:dyDescent="0.2">
      <c r="D146" s="15"/>
      <c r="E146" s="15" t="str">
        <f>INDEX(X_Table_Poultry_Stage2MMS_BeltManureRemoval,3,1)</f>
        <v>Composting (passive windrow)</v>
      </c>
      <c r="F146" s="15">
        <f>INDEX(X_Table_Poultry_Stage2MMS_BeltManureRemoval,3,2)</f>
        <v>0.2</v>
      </c>
      <c r="G146" s="15">
        <f>INDEX(X_Table_Poultry_Stage2MMS_BeltManureRemoval,3,3)</f>
        <v>0.2</v>
      </c>
      <c r="H146" s="15">
        <f>INDEX(X_Table_Poultry_Stage2MMS_BeltManureRemoval,3,4)</f>
        <v>0.2</v>
      </c>
      <c r="I146" s="15">
        <f>INDEX(X_Table_Poultry_Stage2MMS_BeltManureRemoval,3,5)</f>
        <v>0.2</v>
      </c>
      <c r="J146" s="16"/>
    </row>
    <row r="147" spans="1:20" ht="20.100000000000001" customHeight="1" x14ac:dyDescent="0.2">
      <c r="D147" s="15"/>
      <c r="E147" s="15" t="str">
        <f>INDEX(X_Table_Poultry_Stage2MMS_BeltManureRemoval,4,1)</f>
        <v>Digester / covered lagoons</v>
      </c>
      <c r="F147" s="15">
        <f>INDEX(X_Table_Poultry_Stage2MMS_BeltManureRemoval,4,2)</f>
        <v>0.2</v>
      </c>
      <c r="G147" s="15">
        <f>INDEX(X_Table_Poultry_Stage2MMS_BeltManureRemoval,4,3)</f>
        <v>0.2</v>
      </c>
      <c r="H147" s="15">
        <f>INDEX(X_Table_Poultry_Stage2MMS_BeltManureRemoval,4,4)</f>
        <v>0.2</v>
      </c>
      <c r="I147" s="15">
        <f>INDEX(X_Table_Poultry_Stage2MMS_BeltManureRemoval,4,5)</f>
        <v>0.2</v>
      </c>
      <c r="J147" s="16"/>
    </row>
    <row r="148" spans="1:20" ht="20.100000000000001" customHeight="1" x14ac:dyDescent="0.2">
      <c r="D148" s="15"/>
      <c r="E148" s="15" t="str">
        <f>INDEX(X_Table_Poultry_Stage2MMS_BeltManureRemoval,5,1)</f>
        <v>Direct processing</v>
      </c>
      <c r="F148" s="15">
        <f>INDEX(X_Table_Poultry_Stage2MMS_BeltManureRemoval,5,2)</f>
        <v>0.2</v>
      </c>
      <c r="G148" s="15">
        <f>INDEX(X_Table_Poultry_Stage2MMS_BeltManureRemoval,5,3)</f>
        <v>0.2</v>
      </c>
      <c r="H148" s="15">
        <f>INDEX(X_Table_Poultry_Stage2MMS_BeltManureRemoval,5,4)</f>
        <v>0.2</v>
      </c>
      <c r="I148" s="15">
        <f>INDEX(X_Table_Poultry_Stage2MMS_BeltManureRemoval,5,5)</f>
        <v>0.2</v>
      </c>
      <c r="J148" s="16"/>
    </row>
    <row r="149" spans="1:20" ht="20.100000000000001" customHeight="1" x14ac:dyDescent="0.2">
      <c r="D149" s="15"/>
      <c r="E149" s="15" t="str">
        <f>INDEX(X_Table_Poultry_Stage2MMS_BeltManureRemoval,6,1)</f>
        <v>Direct application</v>
      </c>
      <c r="F149" s="15">
        <f>INDEX(X_Table_Poultry_Stage2MMS_BeltManureRemoval,6,2)</f>
        <v>0.19999999999999996</v>
      </c>
      <c r="G149" s="15">
        <f>INDEX(X_Table_Poultry_Stage2MMS_BeltManureRemoval,6,3)</f>
        <v>0.19999999999999996</v>
      </c>
      <c r="H149" s="15">
        <f>INDEX(X_Table_Poultry_Stage2MMS_BeltManureRemoval,6,4)</f>
        <v>0.19999999999999996</v>
      </c>
      <c r="I149" s="15">
        <f>INDEX(X_Table_Poultry_Stage2MMS_BeltManureRemoval,6,5)</f>
        <v>0.19999999999999996</v>
      </c>
    </row>
    <row r="150" spans="1:20" ht="20.100000000000001" customHeight="1" x14ac:dyDescent="0.2">
      <c r="D150" s="15" t="str">
        <f>INDEX(X_Table_Poultry_Stage1MMS,4,1)</f>
        <v>Manure stored in house</v>
      </c>
      <c r="E150" s="15" t="str">
        <f>INDEX(X_Table_Poultry_Stage2MMS_ManureStoredInHouse,2,1)</f>
        <v>Solid storage</v>
      </c>
      <c r="F150" s="15">
        <f>INDEX(X_Table_Poultry_Stage2MMS_ManureStoredInHouse,2,2)</f>
        <v>0.2</v>
      </c>
      <c r="G150" s="15">
        <f>INDEX(X_Table_Poultry_Stage2MMS_ManureStoredInHouse,2,3)</f>
        <v>0.2</v>
      </c>
      <c r="H150" s="15">
        <f>INDEX(X_Table_Poultry_Stage2MMS_ManureStoredInHouse,2,4)</f>
        <v>0.2</v>
      </c>
      <c r="I150" s="15">
        <f>INDEX(X_Table_Poultry_Stage2MMS_ManureStoredInHouse,2,5)</f>
        <v>0.2</v>
      </c>
      <c r="J150" s="16"/>
    </row>
    <row r="151" spans="1:20" ht="20.100000000000001" customHeight="1" x14ac:dyDescent="0.2">
      <c r="D151" s="15"/>
      <c r="E151" s="15" t="str">
        <f>INDEX(X_Table_Poultry_Stage2MMS_ManureStoredInHouse,3,1)</f>
        <v>Composting (passive windrow)</v>
      </c>
      <c r="F151" s="15">
        <f>INDEX(X_Table_Poultry_Stage2MMS_ManureStoredInHouse,3,2)</f>
        <v>0.2</v>
      </c>
      <c r="G151" s="15">
        <f>INDEX(X_Table_Poultry_Stage2MMS_ManureStoredInHouse,3,3)</f>
        <v>0.2</v>
      </c>
      <c r="H151" s="15">
        <f>INDEX(X_Table_Poultry_Stage2MMS_ManureStoredInHouse,3,4)</f>
        <v>0.2</v>
      </c>
      <c r="I151" s="15">
        <f>INDEX(X_Table_Poultry_Stage2MMS_ManureStoredInHouse,3,5)</f>
        <v>0.2</v>
      </c>
      <c r="J151" s="16"/>
    </row>
    <row r="152" spans="1:20" ht="20.100000000000001" customHeight="1" x14ac:dyDescent="0.2">
      <c r="D152" s="15"/>
      <c r="E152" s="15" t="str">
        <f>INDEX(X_Table_Poultry_Stage2MMS_ManureStoredInHouse,4,1)</f>
        <v>Digester / covered lagoons</v>
      </c>
      <c r="F152" s="15">
        <f>INDEX(X_Table_Poultry_Stage2MMS_ManureStoredInHouse,4,2)</f>
        <v>0.2</v>
      </c>
      <c r="G152" s="15">
        <f>INDEX(X_Table_Poultry_Stage2MMS_ManureStoredInHouse,4,3)</f>
        <v>0.2</v>
      </c>
      <c r="H152" s="15">
        <f>INDEX(X_Table_Poultry_Stage2MMS_ManureStoredInHouse,4,4)</f>
        <v>0.2</v>
      </c>
      <c r="I152" s="15">
        <f>INDEX(X_Table_Poultry_Stage2MMS_ManureStoredInHouse,4,5)</f>
        <v>0.2</v>
      </c>
      <c r="J152" s="16"/>
    </row>
    <row r="153" spans="1:20" ht="20.100000000000001" customHeight="1" x14ac:dyDescent="0.2">
      <c r="D153" s="15"/>
      <c r="E153" s="15" t="str">
        <f>INDEX(X_Table_Poultry_Stage2MMS_ManureStoredInHouse,5,1)</f>
        <v>Direct processing</v>
      </c>
      <c r="F153" s="15">
        <f>INDEX(X_Table_Poultry_Stage2MMS_ManureStoredInHouse,5,2)</f>
        <v>0.2</v>
      </c>
      <c r="G153" s="15">
        <f>INDEX(X_Table_Poultry_Stage2MMS_ManureStoredInHouse,5,3)</f>
        <v>0.2</v>
      </c>
      <c r="H153" s="15">
        <f>INDEX(X_Table_Poultry_Stage2MMS_ManureStoredInHouse,5,4)</f>
        <v>0.2</v>
      </c>
      <c r="I153" s="15">
        <f>INDEX(X_Table_Poultry_Stage2MMS_ManureStoredInHouse,5,5)</f>
        <v>0.2</v>
      </c>
      <c r="J153" s="16"/>
    </row>
    <row r="154" spans="1:20" ht="20.100000000000001" customHeight="1" x14ac:dyDescent="0.2">
      <c r="D154" s="15"/>
      <c r="E154" s="15" t="str">
        <f>INDEX(X_Table_Poultry_Stage2MMS_ManureStoredInHouse,6,1)</f>
        <v>Direct application</v>
      </c>
      <c r="F154" s="15">
        <f>INDEX(X_Table_Poultry_Stage2MMS_ManureStoredInHouse,6,2)</f>
        <v>0.19999999999999996</v>
      </c>
      <c r="G154" s="15">
        <f>INDEX(X_Table_Poultry_Stage2MMS_ManureStoredInHouse,6,3)</f>
        <v>0.19999999999999996</v>
      </c>
      <c r="H154" s="15">
        <f>INDEX(X_Table_Poultry_Stage2MMS_ManureStoredInHouse,6,4)</f>
        <v>0.19999999999999996</v>
      </c>
      <c r="I154" s="15">
        <f>INDEX(X_Table_Poultry_Stage2MMS_ManureStoredInHouse,6,5)</f>
        <v>0.19999999999999996</v>
      </c>
    </row>
    <row r="156" spans="1:20" ht="20.100000000000001" customHeight="1" x14ac:dyDescent="0.2">
      <c r="D156" s="118" t="s">
        <v>366</v>
      </c>
      <c r="N156" s="118" t="s">
        <v>366</v>
      </c>
    </row>
    <row r="157" spans="1:20" ht="20.100000000000001" customHeight="1" x14ac:dyDescent="0.2">
      <c r="D157" s="119" t="s">
        <v>367</v>
      </c>
      <c r="N157" s="119" t="s">
        <v>367</v>
      </c>
    </row>
    <row r="158" spans="1:20" ht="20.100000000000001" customHeight="1" x14ac:dyDescent="0.2">
      <c r="A158" s="79" t="str">
        <f>HYPERLINK("#A1", "▲ Back to top")</f>
        <v>▲ Back to top</v>
      </c>
      <c r="D158" s="120" t="s">
        <v>314</v>
      </c>
      <c r="E158" s="120" t="s">
        <v>318</v>
      </c>
      <c r="F158" s="120" t="s">
        <v>297</v>
      </c>
      <c r="G158" s="120" t="s">
        <v>298</v>
      </c>
      <c r="H158" s="120" t="s">
        <v>299</v>
      </c>
      <c r="I158" s="120" t="s">
        <v>300</v>
      </c>
      <c r="N158" s="120" t="s">
        <v>314</v>
      </c>
      <c r="O158" s="120" t="s">
        <v>318</v>
      </c>
      <c r="P158" s="120" t="s">
        <v>297</v>
      </c>
      <c r="Q158" s="120" t="s">
        <v>298</v>
      </c>
      <c r="R158" s="120" t="s">
        <v>299</v>
      </c>
      <c r="S158" s="120" t="s">
        <v>300</v>
      </c>
    </row>
    <row r="159" spans="1:20" ht="20.100000000000001" customHeight="1" x14ac:dyDescent="0.2">
      <c r="D159" s="15" t="str">
        <f>INDEX(X_Table_Poultry_Stage1MMS,2,1)</f>
        <v>Poultry manure with bedding</v>
      </c>
      <c r="E159" s="15" t="str">
        <f>INDEX(X_Table_Poultry_Stage2MMS_PoultryManureWithBedding,2,1)</f>
        <v>Solid storage</v>
      </c>
      <c r="F159" s="15" t="e" cm="1">
        <f t="array" ref="F159">MMS_Poultry_Methane_Equations.VEERG_4_6_1_1__3_Stage2MethaneProduction(E$115,D$68,F140,_xlfn.XLOOKUP($E159,$D$73:$D$81,$E$73:$E$81),$I$134)</f>
        <v>#N/A</v>
      </c>
      <c r="G159" s="15" t="e" cm="1">
        <f t="array" ref="G159">MMS_Poultry_Methane_Equations.VEERG_4_6_1_1__3_Stage2MethaneProduction(F$115,E$68,G140,_xlfn.XLOOKUP($E159,$D$73:$D$81,$E$73:$E$81),$I$134)</f>
        <v>#N/A</v>
      </c>
      <c r="H159" s="15" t="e" cm="1">
        <f t="array" ref="H159">MMS_Poultry_Methane_Equations.VEERG_4_6_1_1__3_Stage2MethaneProduction(G$115,F$68,H140,_xlfn.XLOOKUP($E159,$D$73:$D$81,$E$73:$E$81),$I$134)</f>
        <v>#N/A</v>
      </c>
      <c r="I159" s="15" t="e" cm="1">
        <f t="array" ref="I159">MMS_Poultry_Methane_Equations.VEERG_4_6_1_1__3_Stage2MethaneProduction(H$115,G$68,I140,_xlfn.XLOOKUP($E159,$D$73:$D$81,$E$73:$E$81),$I$134)</f>
        <v>#N/A</v>
      </c>
      <c r="J159" s="16" t="str">
        <f>$E$128</f>
        <v>kg CH4/bird/day</v>
      </c>
      <c r="N159" s="15" t="str">
        <f>INDEX(X_Table_Poultry_Stage1MMS,2,1)</f>
        <v>Poultry manure with bedding</v>
      </c>
      <c r="O159" s="15" t="str">
        <f>INDEX(X_Table_Poultry_Stage2MMS_PoultryManureWithBedding,2,1)</f>
        <v>Solid storage</v>
      </c>
      <c r="P159" s="15" cm="1">
        <f t="array" ref="P159">MMS_Poultry_Methane_Equations.VEERG_4_6_1_1__3_Stage2MethaneProduction(O$115,D$68,F140,_xlfn.XLOOKUP($O159,$N$73:$N$81,$O$73:$O$81),$I$134)</f>
        <v>3.8062115020799981E-6</v>
      </c>
      <c r="Q159" s="15" cm="1">
        <f t="array" ref="Q159">MMS_Poultry_Methane_Equations.VEERG_4_6_1_1__3_Stage2MethaneProduction(P$115,E$68,G140,_xlfn.XLOOKUP($O159,$N$73:$N$81,$O$73:$O$81),$I$134)</f>
        <v>3.9384050687999985E-6</v>
      </c>
      <c r="R159" s="15" cm="1">
        <f t="array" ref="R159">MMS_Poultry_Methane_Equations.VEERG_4_6_1_1__3_Stage2MethaneProduction(Q$115,F$68,H140,_xlfn.XLOOKUP($O159,$N$73:$N$81,$O$73:$O$81),$I$134)</f>
        <v>4.2079404441599992E-6</v>
      </c>
      <c r="S159" s="15" cm="1">
        <f t="array" ref="S159">MMS_Poultry_Methane_Equations.VEERG_4_6_1_1__3_Stage2MethaneProduction(R$115,G$68,I140,_xlfn.XLOOKUP($O159,$N$73:$N$81,$O$73:$O$81),$I$134)</f>
        <v>3.9384050687999985E-6</v>
      </c>
      <c r="T159" s="16" t="str">
        <f>$E$128</f>
        <v>kg CH4/bird/day</v>
      </c>
    </row>
    <row r="160" spans="1:20" ht="20.100000000000001" customHeight="1" x14ac:dyDescent="0.2">
      <c r="D160" s="15"/>
      <c r="E160" s="15" t="str">
        <f>INDEX(X_Table_Poultry_Stage2MMS_PoultryManureWithBedding,3,1)</f>
        <v>Composting (passive windrow)</v>
      </c>
      <c r="F160" s="15" t="e" cm="1">
        <f t="array" ref="F160">MMS_Poultry_Methane_Equations.VEERG_4_6_1_1__3_Stage2MethaneProduction(E$115,D$68,F141,_xlfn.XLOOKUP($E160,$D$73:$D$81,$E$73:$E$81),$I$134)</f>
        <v>#N/A</v>
      </c>
      <c r="G160" s="15" t="e" cm="1">
        <f t="array" ref="G160">MMS_Poultry_Methane_Equations.VEERG_4_6_1_1__3_Stage2MethaneProduction(F$115,E$68,G141,_xlfn.XLOOKUP($E160,$D$73:$D$81,$E$73:$E$81),$I$134)</f>
        <v>#N/A</v>
      </c>
      <c r="H160" s="15" t="e" cm="1">
        <f t="array" ref="H160">MMS_Poultry_Methane_Equations.VEERG_4_6_1_1__3_Stage2MethaneProduction(G$115,F$68,H141,_xlfn.XLOOKUP($E160,$D$73:$D$81,$E$73:$E$81),$I$134)</f>
        <v>#N/A</v>
      </c>
      <c r="I160" s="15" t="e" cm="1">
        <f t="array" ref="I160">MMS_Poultry_Methane_Equations.VEERG_4_6_1_1__3_Stage2MethaneProduction(H$115,G$68,I141,_xlfn.XLOOKUP($E160,$D$73:$D$81,$E$73:$E$81),$I$134)</f>
        <v>#N/A</v>
      </c>
      <c r="J160" s="16"/>
      <c r="N160" s="15"/>
      <c r="O160" s="15" t="str">
        <f>INDEX(X_Table_Poultry_Stage2MMS_PoultryManureWithBedding,3,1)</f>
        <v>Composting (passive windrow)</v>
      </c>
      <c r="P160" s="15" cm="1">
        <f t="array" ref="P160">MMS_Poultry_Methane_Equations.VEERG_4_6_1_1__3_Stage2MethaneProduction(O$115,D$68,F141,_xlfn.XLOOKUP($O160,$N$73:$N$81,$O$73:$O$81),$I$134)</f>
        <v>9.5155287551999953E-7</v>
      </c>
      <c r="Q160" s="15" cm="1">
        <f t="array" ref="Q160">MMS_Poultry_Methane_Equations.VEERG_4_6_1_1__3_Stage2MethaneProduction(P$115,E$68,G141,_xlfn.XLOOKUP($O160,$N$73:$N$81,$O$73:$O$81),$I$134)</f>
        <v>9.8460126719999963E-7</v>
      </c>
      <c r="R160" s="15" cm="1">
        <f t="array" ref="R160">MMS_Poultry_Methane_Equations.VEERG_4_6_1_1__3_Stage2MethaneProduction(Q$115,F$68,H141,_xlfn.XLOOKUP($O160,$N$73:$N$81,$O$73:$O$81),$I$134)</f>
        <v>1.0519851110399998E-6</v>
      </c>
      <c r="S160" s="15" cm="1">
        <f t="array" ref="S160">MMS_Poultry_Methane_Equations.VEERG_4_6_1_1__3_Stage2MethaneProduction(R$115,G$68,I141,_xlfn.XLOOKUP($O160,$N$73:$N$81,$O$73:$O$81),$I$134)</f>
        <v>9.8460126719999963E-7</v>
      </c>
      <c r="T160" s="16"/>
    </row>
    <row r="161" spans="3:21" ht="20.100000000000001" customHeight="1" x14ac:dyDescent="0.2">
      <c r="D161" s="15"/>
      <c r="E161" s="15" t="str">
        <f>INDEX(X_Table_Poultry_Stage2MMS_PoultryManureWithBedding,4,1)</f>
        <v>Digester / covered lagoons</v>
      </c>
      <c r="F161" s="15" t="e" cm="1">
        <f t="array" ref="F161">MMS_Poultry_Methane_Equations.VEERG_4_6_1_1__3_Stage2MethaneProduction(E$115,D$68,F142,_xlfn.XLOOKUP($E161,$D$73:$D$81,$E$73:$E$81),$I$134)</f>
        <v>#N/A</v>
      </c>
      <c r="G161" s="15" t="e" cm="1">
        <f t="array" ref="G161">MMS_Poultry_Methane_Equations.VEERG_4_6_1_1__3_Stage2MethaneProduction(F$115,E$68,G142,_xlfn.XLOOKUP($E161,$D$73:$D$81,$E$73:$E$81),$I$134)</f>
        <v>#N/A</v>
      </c>
      <c r="H161" s="15" t="e" cm="1">
        <f t="array" ref="H161">MMS_Poultry_Methane_Equations.VEERG_4_6_1_1__3_Stage2MethaneProduction(G$115,F$68,H142,_xlfn.XLOOKUP($E161,$D$73:$D$81,$E$73:$E$81),$I$134)</f>
        <v>#N/A</v>
      </c>
      <c r="I161" s="15" t="e" cm="1">
        <f t="array" ref="I161">MMS_Poultry_Methane_Equations.VEERG_4_6_1_1__3_Stage2MethaneProduction(H$115,G$68,I142,_xlfn.XLOOKUP($E161,$D$73:$D$81,$E$73:$E$81),$I$134)</f>
        <v>#N/A</v>
      </c>
      <c r="J161" s="16"/>
      <c r="N161" s="15"/>
      <c r="O161" s="15" t="str">
        <f>INDEX(X_Table_Poultry_Stage2MMS_PoultryManureWithBedding,4,1)</f>
        <v>Digester / covered lagoons</v>
      </c>
      <c r="P161" s="15" cm="1">
        <f t="array" ref="P161">MMS_Poultry_Methane_Equations.VEERG_4_6_1_1__3_Stage2MethaneProduction(O$115,D$68,F142,_xlfn.XLOOKUP($O161,$N$73:$N$81,$O$73:$O$81),$I$134)</f>
        <v>1.9031057510399994E-5</v>
      </c>
      <c r="Q161" s="15" cm="1">
        <f t="array" ref="Q161">MMS_Poultry_Methane_Equations.VEERG_4_6_1_1__3_Stage2MethaneProduction(P$115,E$68,G142,_xlfn.XLOOKUP($O161,$N$73:$N$81,$O$73:$O$81),$I$134)</f>
        <v>1.9692025343999994E-5</v>
      </c>
      <c r="R161" s="15" cm="1">
        <f t="array" ref="R161">MMS_Poultry_Methane_Equations.VEERG_4_6_1_1__3_Stage2MethaneProduction(Q$115,F$68,H142,_xlfn.XLOOKUP($O161,$N$73:$N$81,$O$73:$O$81),$I$134)</f>
        <v>2.1039702220799998E-5</v>
      </c>
      <c r="S161" s="15" cm="1">
        <f t="array" ref="S161">MMS_Poultry_Methane_Equations.VEERG_4_6_1_1__3_Stage2MethaneProduction(R$115,G$68,I142,_xlfn.XLOOKUP($O161,$N$73:$N$81,$O$73:$O$81),$I$134)</f>
        <v>1.9692025343999994E-5</v>
      </c>
      <c r="T161" s="16"/>
    </row>
    <row r="162" spans="3:21" ht="20.100000000000001" customHeight="1" x14ac:dyDescent="0.2">
      <c r="D162" s="15"/>
      <c r="E162" s="15" t="str">
        <f>INDEX(X_Table_Poultry_Stage2MMS_PoultryManureWithBedding,5,1)</f>
        <v>Direct processing</v>
      </c>
      <c r="F162" s="15" t="e" cm="1">
        <f t="array" ref="F162">MMS_Poultry_Methane_Equations.VEERG_4_6_1_1__3_Stage2MethaneProduction(E$115,D$68,F143,_xlfn.XLOOKUP($E162,$D$73:$D$81,$E$73:$E$81),$I$134)</f>
        <v>#N/A</v>
      </c>
      <c r="G162" s="15" t="e" cm="1">
        <f t="array" ref="G162">MMS_Poultry_Methane_Equations.VEERG_4_6_1_1__3_Stage2MethaneProduction(F$115,E$68,G143,_xlfn.XLOOKUP($E162,$D$73:$D$81,$E$73:$E$81),$I$134)</f>
        <v>#N/A</v>
      </c>
      <c r="H162" s="15" t="e" cm="1">
        <f t="array" ref="H162">MMS_Poultry_Methane_Equations.VEERG_4_6_1_1__3_Stage2MethaneProduction(G$115,F$68,H143,_xlfn.XLOOKUP($E162,$D$73:$D$81,$E$73:$E$81),$I$134)</f>
        <v>#N/A</v>
      </c>
      <c r="I162" s="15" t="e" cm="1">
        <f t="array" ref="I162">MMS_Poultry_Methane_Equations.VEERG_4_6_1_1__3_Stage2MethaneProduction(H$115,G$68,I143,_xlfn.XLOOKUP($E162,$D$73:$D$81,$E$73:$E$81),$I$134)</f>
        <v>#N/A</v>
      </c>
      <c r="J162" s="16"/>
      <c r="N162" s="15"/>
      <c r="O162" s="15" t="str">
        <f>INDEX(X_Table_Poultry_Stage2MMS_PoultryManureWithBedding,5,1)</f>
        <v>Direct processing</v>
      </c>
      <c r="P162" s="15" cm="1">
        <f t="array" ref="P162">MMS_Poultry_Methane_Equations.VEERG_4_6_1_1__3_Stage2MethaneProduction(O$115,D$68,F143,_xlfn.XLOOKUP($O162,$N$73:$N$81,$O$73:$O$81),$I$134)</f>
        <v>0</v>
      </c>
      <c r="Q162" s="15" cm="1">
        <f t="array" ref="Q162">MMS_Poultry_Methane_Equations.VEERG_4_6_1_1__3_Stage2MethaneProduction(P$115,E$68,G143,_xlfn.XLOOKUP($O162,$N$73:$N$81,$O$73:$O$81),$I$134)</f>
        <v>0</v>
      </c>
      <c r="R162" s="15" cm="1">
        <f t="array" ref="R162">MMS_Poultry_Methane_Equations.VEERG_4_6_1_1__3_Stage2MethaneProduction(Q$115,F$68,H143,_xlfn.XLOOKUP($O162,$N$73:$N$81,$O$73:$O$81),$I$134)</f>
        <v>0</v>
      </c>
      <c r="S162" s="15" cm="1">
        <f t="array" ref="S162">MMS_Poultry_Methane_Equations.VEERG_4_6_1_1__3_Stage2MethaneProduction(R$115,G$68,I143,_xlfn.XLOOKUP($O162,$N$73:$N$81,$O$73:$O$81),$I$134)</f>
        <v>0</v>
      </c>
      <c r="T162" s="16"/>
    </row>
    <row r="163" spans="3:21" ht="20.100000000000001" customHeight="1" x14ac:dyDescent="0.2">
      <c r="D163" s="15"/>
      <c r="E163" s="15" t="str">
        <f>INDEX(X_Table_Poultry_Stage2MMS_PoultryManureWithBedding,6,1)</f>
        <v>Direct application</v>
      </c>
      <c r="F163" s="15" t="e" cm="1">
        <f t="array" ref="F163">MMS_Poultry_Methane_Equations.VEERG_4_6_1_1__3_Stage2MethaneProduction(E$115,D$68,F144,_xlfn.XLOOKUP($E163,$D$73:$D$81,$E$73:$E$81),$I$134)</f>
        <v>#N/A</v>
      </c>
      <c r="G163" s="15" t="e" cm="1">
        <f t="array" ref="G163">MMS_Poultry_Methane_Equations.VEERG_4_6_1_1__3_Stage2MethaneProduction(F$115,E$68,G144,_xlfn.XLOOKUP($E163,$D$73:$D$81,$E$73:$E$81),$I$134)</f>
        <v>#N/A</v>
      </c>
      <c r="H163" s="15" t="e" cm="1">
        <f t="array" ref="H163">MMS_Poultry_Methane_Equations.VEERG_4_6_1_1__3_Stage2MethaneProduction(G$115,F$68,H144,_xlfn.XLOOKUP($E163,$D$73:$D$81,$E$73:$E$81),$I$134)</f>
        <v>#N/A</v>
      </c>
      <c r="I163" s="15" t="e" cm="1">
        <f t="array" ref="I163">MMS_Poultry_Methane_Equations.VEERG_4_6_1_1__3_Stage2MethaneProduction(H$115,G$68,I144,_xlfn.XLOOKUP($E163,$D$73:$D$81,$E$73:$E$81),$I$134)</f>
        <v>#N/A</v>
      </c>
      <c r="N163" s="15"/>
      <c r="O163" s="15" t="str">
        <f>INDEX(X_Table_Poultry_Stage2MMS_PoultryManureWithBedding,6,1)</f>
        <v>Direct application</v>
      </c>
      <c r="P163" s="15" cm="1">
        <f t="array" ref="P163">MMS_Poultry_Methane_Equations.VEERG_4_6_1_1__3_Stage2MethaneProduction(O$115,D$68,F144,_xlfn.XLOOKUP($O163,$N$73:$N$81,$O$73:$O$81),$I$134)</f>
        <v>0</v>
      </c>
      <c r="Q163" s="15" cm="1">
        <f t="array" ref="Q163">MMS_Poultry_Methane_Equations.VEERG_4_6_1_1__3_Stage2MethaneProduction(P$115,E$68,G144,_xlfn.XLOOKUP($O163,$N$73:$N$81,$O$73:$O$81),$I$134)</f>
        <v>0</v>
      </c>
      <c r="R163" s="15" cm="1">
        <f t="array" ref="R163">MMS_Poultry_Methane_Equations.VEERG_4_6_1_1__3_Stage2MethaneProduction(Q$115,F$68,H144,_xlfn.XLOOKUP($O163,$N$73:$N$81,$O$73:$O$81),$I$134)</f>
        <v>0</v>
      </c>
      <c r="S163" s="15" cm="1">
        <f t="array" ref="S163">MMS_Poultry_Methane_Equations.VEERG_4_6_1_1__3_Stage2MethaneProduction(R$115,G$68,I144,_xlfn.XLOOKUP($O163,$N$73:$N$81,$O$73:$O$81),$I$134)</f>
        <v>0</v>
      </c>
    </row>
    <row r="164" spans="3:21" ht="20.100000000000001" customHeight="1" x14ac:dyDescent="0.2">
      <c r="D164" s="15" t="str">
        <f>INDEX(X_Table_Poultry_Stage1MMS,3,1)</f>
        <v>Belt manure removal</v>
      </c>
      <c r="E164" s="15" t="str">
        <f>INDEX(X_Table_Poultry_Stage2MMS_BeltManureRemoval,2,1)</f>
        <v>Solid storage</v>
      </c>
      <c r="F164" s="15" t="e" cm="1">
        <f t="array" ref="F164">MMS_Poultry_Methane_Equations.VEERG_4_6_1_1__3_Stage2MethaneProduction(E$116,D$68,F145,_xlfn.XLOOKUP($E164,$D$73:$D$81,$E$73:$E$81),$I$134)</f>
        <v>#N/A</v>
      </c>
      <c r="G164" s="15" t="e" cm="1">
        <f t="array" ref="G164">MMS_Poultry_Methane_Equations.VEERG_4_6_1_1__3_Stage2MethaneProduction(F$116,E$68,G145,_xlfn.XLOOKUP($E164,$D$73:$D$81,$E$73:$E$81),$I$134)</f>
        <v>#N/A</v>
      </c>
      <c r="H164" s="15" t="e" cm="1">
        <f t="array" ref="H164">MMS_Poultry_Methane_Equations.VEERG_4_6_1_1__3_Stage2MethaneProduction(G$116,F$68,H145,_xlfn.XLOOKUP($E164,$D$73:$D$81,$E$73:$E$81),$I$134)</f>
        <v>#N/A</v>
      </c>
      <c r="I164" s="15" t="e" cm="1">
        <f t="array" ref="I164">MMS_Poultry_Methane_Equations.VEERG_4_6_1_1__3_Stage2MethaneProduction(H$116,G$68,I145,_xlfn.XLOOKUP($E164,$D$73:$D$81,$E$73:$E$81),$I$134)</f>
        <v>#N/A</v>
      </c>
      <c r="J164" s="16"/>
      <c r="N164" s="15" t="str">
        <f>INDEX(X_Table_Poultry_Stage1MMS,3,1)</f>
        <v>Belt manure removal</v>
      </c>
      <c r="O164" s="15" t="str">
        <f>INDEX(X_Table_Poultry_Stage2MMS_BeltManureRemoval,2,1)</f>
        <v>Solid storage</v>
      </c>
      <c r="P164" s="15" cm="1">
        <f t="array" ref="P164">MMS_Poultry_Methane_Equations.VEERG_4_6_1_1__3_Stage2MethaneProduction(O$116,D$68,F145,_xlfn.XLOOKUP($O164,$N$73:$N$81,$O$73:$O$81),$I$134)</f>
        <v>4.4778958847999987E-6</v>
      </c>
      <c r="Q164" s="15" cm="1">
        <f t="array" ref="Q164">MMS_Poultry_Methane_Equations.VEERG_4_6_1_1__3_Stage2MethaneProduction(P$116,E$68,G145,_xlfn.XLOOKUP($O164,$N$73:$N$81,$O$73:$O$81),$I$134)</f>
        <v>4.6334177279999986E-6</v>
      </c>
      <c r="R164" s="15" cm="1">
        <f t="array" ref="R164">MMS_Poultry_Methane_Equations.VEERG_4_6_1_1__3_Stage2MethaneProduction(Q$116,F$68,H145,_xlfn.XLOOKUP($O164,$N$73:$N$81,$O$73:$O$81),$I$134)</f>
        <v>4.9505181695999996E-6</v>
      </c>
      <c r="S164" s="15" cm="1">
        <f t="array" ref="S164">MMS_Poultry_Methane_Equations.VEERG_4_6_1_1__3_Stage2MethaneProduction(R$116,G$68,I145,_xlfn.XLOOKUP($O164,$N$73:$N$81,$O$73:$O$81),$I$134)</f>
        <v>4.6334177279999986E-6</v>
      </c>
      <c r="T164" s="16"/>
    </row>
    <row r="165" spans="3:21" ht="20.100000000000001" customHeight="1" x14ac:dyDescent="0.2">
      <c r="D165" s="15"/>
      <c r="E165" s="15" t="str">
        <f>INDEX(X_Table_Poultry_Stage2MMS_BeltManureRemoval,3,1)</f>
        <v>Composting (passive windrow)</v>
      </c>
      <c r="F165" s="15" t="e" cm="1">
        <f t="array" ref="F165">MMS_Poultry_Methane_Equations.VEERG_4_6_1_1__3_Stage2MethaneProduction(E$116,D$68,F146,_xlfn.XLOOKUP($E165,$D$73:$D$81,$E$73:$E$81),$I$134)</f>
        <v>#N/A</v>
      </c>
      <c r="G165" s="15" t="e" cm="1">
        <f t="array" ref="G165">MMS_Poultry_Methane_Equations.VEERG_4_6_1_1__3_Stage2MethaneProduction(F$116,E$68,G146,_xlfn.XLOOKUP($E165,$D$73:$D$81,$E$73:$E$81),$I$134)</f>
        <v>#N/A</v>
      </c>
      <c r="H165" s="15" t="e" cm="1">
        <f t="array" ref="H165">MMS_Poultry_Methane_Equations.VEERG_4_6_1_1__3_Stage2MethaneProduction(G$116,F$68,H146,_xlfn.XLOOKUP($E165,$D$73:$D$81,$E$73:$E$81),$I$134)</f>
        <v>#N/A</v>
      </c>
      <c r="I165" s="15" t="e" cm="1">
        <f t="array" ref="I165">MMS_Poultry_Methane_Equations.VEERG_4_6_1_1__3_Stage2MethaneProduction(H$116,G$68,I146,_xlfn.XLOOKUP($E165,$D$73:$D$81,$E$73:$E$81),$I$134)</f>
        <v>#N/A</v>
      </c>
      <c r="J165" s="16"/>
      <c r="N165" s="15"/>
      <c r="O165" s="15" t="str">
        <f>INDEX(X_Table_Poultry_Stage2MMS_BeltManureRemoval,3,1)</f>
        <v>Composting (passive windrow)</v>
      </c>
      <c r="P165" s="15" cm="1">
        <f t="array" ref="P165">MMS_Poultry_Methane_Equations.VEERG_4_6_1_1__3_Stage2MethaneProduction(O$116,D$68,F146,_xlfn.XLOOKUP($O165,$N$73:$N$81,$O$73:$O$81),$I$134)</f>
        <v>1.1194739711999997E-6</v>
      </c>
      <c r="Q165" s="15" cm="1">
        <f t="array" ref="Q165">MMS_Poultry_Methane_Equations.VEERG_4_6_1_1__3_Stage2MethaneProduction(P$116,E$68,G146,_xlfn.XLOOKUP($O165,$N$73:$N$81,$O$73:$O$81),$I$134)</f>
        <v>1.1583544319999997E-6</v>
      </c>
      <c r="R165" s="15" cm="1">
        <f t="array" ref="R165">MMS_Poultry_Methane_Equations.VEERG_4_6_1_1__3_Stage2MethaneProduction(Q$116,F$68,H146,_xlfn.XLOOKUP($O165,$N$73:$N$81,$O$73:$O$81),$I$134)</f>
        <v>1.2376295423999999E-6</v>
      </c>
      <c r="S165" s="15" cm="1">
        <f t="array" ref="S165">MMS_Poultry_Methane_Equations.VEERG_4_6_1_1__3_Stage2MethaneProduction(R$116,G$68,I146,_xlfn.XLOOKUP($O165,$N$73:$N$81,$O$73:$O$81),$I$134)</f>
        <v>1.1583544319999997E-6</v>
      </c>
      <c r="T165" s="16"/>
    </row>
    <row r="166" spans="3:21" ht="20.100000000000001" customHeight="1" x14ac:dyDescent="0.2">
      <c r="D166" s="15"/>
      <c r="E166" s="15" t="str">
        <f>INDEX(X_Table_Poultry_Stage2MMS_BeltManureRemoval,4,1)</f>
        <v>Digester / covered lagoons</v>
      </c>
      <c r="F166" s="15" t="e" cm="1">
        <f t="array" ref="F166">MMS_Poultry_Methane_Equations.VEERG_4_6_1_1__3_Stage2MethaneProduction(E$116,D$68,F147,_xlfn.XLOOKUP($E166,$D$73:$D$81,$E$73:$E$81),$I$134)</f>
        <v>#N/A</v>
      </c>
      <c r="G166" s="15" t="e" cm="1">
        <f t="array" ref="G166">MMS_Poultry_Methane_Equations.VEERG_4_6_1_1__3_Stage2MethaneProduction(F$116,E$68,G147,_xlfn.XLOOKUP($E166,$D$73:$D$81,$E$73:$E$81),$I$134)</f>
        <v>#N/A</v>
      </c>
      <c r="H166" s="15" t="e" cm="1">
        <f t="array" ref="H166">MMS_Poultry_Methane_Equations.VEERG_4_6_1_1__3_Stage2MethaneProduction(G$116,F$68,H147,_xlfn.XLOOKUP($E166,$D$73:$D$81,$E$73:$E$81),$I$134)</f>
        <v>#N/A</v>
      </c>
      <c r="I166" s="15" t="e" cm="1">
        <f t="array" ref="I166">MMS_Poultry_Methane_Equations.VEERG_4_6_1_1__3_Stage2MethaneProduction(H$116,G$68,I147,_xlfn.XLOOKUP($E166,$D$73:$D$81,$E$73:$E$81),$I$134)</f>
        <v>#N/A</v>
      </c>
      <c r="J166" s="16"/>
      <c r="N166" s="15"/>
      <c r="O166" s="15" t="str">
        <f>INDEX(X_Table_Poultry_Stage2MMS_BeltManureRemoval,4,1)</f>
        <v>Digester / covered lagoons</v>
      </c>
      <c r="P166" s="15" cm="1">
        <f t="array" ref="P166">MMS_Poultry_Methane_Equations.VEERG_4_6_1_1__3_Stage2MethaneProduction(O$116,D$68,F147,_xlfn.XLOOKUP($O166,$N$73:$N$81,$O$73:$O$81),$I$134)</f>
        <v>2.2389479423999996E-5</v>
      </c>
      <c r="Q166" s="15" cm="1">
        <f t="array" ref="Q166">MMS_Poultry_Methane_Equations.VEERG_4_6_1_1__3_Stage2MethaneProduction(P$116,E$68,G147,_xlfn.XLOOKUP($O166,$N$73:$N$81,$O$73:$O$81),$I$134)</f>
        <v>2.3167088639999993E-5</v>
      </c>
      <c r="R166" s="15" cm="1">
        <f t="array" ref="R166">MMS_Poultry_Methane_Equations.VEERG_4_6_1_1__3_Stage2MethaneProduction(Q$116,F$68,H147,_xlfn.XLOOKUP($O166,$N$73:$N$81,$O$73:$O$81),$I$134)</f>
        <v>2.4752590847999998E-5</v>
      </c>
      <c r="S166" s="15" cm="1">
        <f t="array" ref="S166">MMS_Poultry_Methane_Equations.VEERG_4_6_1_1__3_Stage2MethaneProduction(R$116,G$68,I147,_xlfn.XLOOKUP($O166,$N$73:$N$81,$O$73:$O$81),$I$134)</f>
        <v>2.3167088639999993E-5</v>
      </c>
      <c r="T166" s="16"/>
    </row>
    <row r="167" spans="3:21" ht="20.100000000000001" customHeight="1" x14ac:dyDescent="0.2">
      <c r="D167" s="15"/>
      <c r="E167" s="15" t="str">
        <f>INDEX(X_Table_Poultry_Stage2MMS_BeltManureRemoval,5,1)</f>
        <v>Direct processing</v>
      </c>
      <c r="F167" s="15" t="e" cm="1">
        <f t="array" ref="F167">MMS_Poultry_Methane_Equations.VEERG_4_6_1_1__3_Stage2MethaneProduction(E$116,D$68,F148,_xlfn.XLOOKUP($E167,$D$73:$D$81,$E$73:$E$81),$I$134)</f>
        <v>#N/A</v>
      </c>
      <c r="G167" s="15" t="e" cm="1">
        <f t="array" ref="G167">MMS_Poultry_Methane_Equations.VEERG_4_6_1_1__3_Stage2MethaneProduction(F$116,E$68,G148,_xlfn.XLOOKUP($E167,$D$73:$D$81,$E$73:$E$81),$I$134)</f>
        <v>#N/A</v>
      </c>
      <c r="H167" s="15" t="e" cm="1">
        <f t="array" ref="H167">MMS_Poultry_Methane_Equations.VEERG_4_6_1_1__3_Stage2MethaneProduction(G$116,F$68,H148,_xlfn.XLOOKUP($E167,$D$73:$D$81,$E$73:$E$81),$I$134)</f>
        <v>#N/A</v>
      </c>
      <c r="I167" s="15" t="e" cm="1">
        <f t="array" ref="I167">MMS_Poultry_Methane_Equations.VEERG_4_6_1_1__3_Stage2MethaneProduction(H$116,G$68,I148,_xlfn.XLOOKUP($E167,$D$73:$D$81,$E$73:$E$81),$I$134)</f>
        <v>#N/A</v>
      </c>
      <c r="J167" s="16"/>
      <c r="N167" s="15"/>
      <c r="O167" s="15" t="str">
        <f>INDEX(X_Table_Poultry_Stage2MMS_BeltManureRemoval,5,1)</f>
        <v>Direct processing</v>
      </c>
      <c r="P167" s="15" cm="1">
        <f t="array" ref="P167">MMS_Poultry_Methane_Equations.VEERG_4_6_1_1__3_Stage2MethaneProduction(O$116,D$68,F148,_xlfn.XLOOKUP($O167,$N$73:$N$81,$O$73:$O$81),$I$134)</f>
        <v>0</v>
      </c>
      <c r="Q167" s="15" cm="1">
        <f t="array" ref="Q167">MMS_Poultry_Methane_Equations.VEERG_4_6_1_1__3_Stage2MethaneProduction(P$116,E$68,G148,_xlfn.XLOOKUP($O167,$N$73:$N$81,$O$73:$O$81),$I$134)</f>
        <v>0</v>
      </c>
      <c r="R167" s="15" cm="1">
        <f t="array" ref="R167">MMS_Poultry_Methane_Equations.VEERG_4_6_1_1__3_Stage2MethaneProduction(Q$116,F$68,H148,_xlfn.XLOOKUP($O167,$N$73:$N$81,$O$73:$O$81),$I$134)</f>
        <v>0</v>
      </c>
      <c r="S167" s="15" cm="1">
        <f t="array" ref="S167">MMS_Poultry_Methane_Equations.VEERG_4_6_1_1__3_Stage2MethaneProduction(R$116,G$68,I148,_xlfn.XLOOKUP($O167,$N$73:$N$81,$O$73:$O$81),$I$134)</f>
        <v>0</v>
      </c>
      <c r="T167" s="16"/>
    </row>
    <row r="168" spans="3:21" ht="20.100000000000001" customHeight="1" x14ac:dyDescent="0.2">
      <c r="D168" s="15"/>
      <c r="E168" s="15" t="str">
        <f>INDEX(X_Table_Poultry_Stage2MMS_BeltManureRemoval,5,1)</f>
        <v>Direct processing</v>
      </c>
      <c r="F168" s="15" t="e" cm="1">
        <f t="array" ref="F168">MMS_Poultry_Methane_Equations.VEERG_4_6_1_1__3_Stage2MethaneProduction(E$116,D$68,F149,_xlfn.XLOOKUP($E168,$D$73:$D$81,$E$73:$E$81),$I$134)</f>
        <v>#N/A</v>
      </c>
      <c r="G168" s="15" t="e" cm="1">
        <f t="array" ref="G168">MMS_Poultry_Methane_Equations.VEERG_4_6_1_1__3_Stage2MethaneProduction(F$116,E$68,G149,_xlfn.XLOOKUP($E168,$D$73:$D$81,$E$73:$E$81),$I$134)</f>
        <v>#N/A</v>
      </c>
      <c r="H168" s="15" t="e" cm="1">
        <f t="array" ref="H168">MMS_Poultry_Methane_Equations.VEERG_4_6_1_1__3_Stage2MethaneProduction(G$116,F$68,H149,_xlfn.XLOOKUP($E168,$D$73:$D$81,$E$73:$E$81),$I$134)</f>
        <v>#N/A</v>
      </c>
      <c r="I168" s="15" t="e" cm="1">
        <f t="array" ref="I168">MMS_Poultry_Methane_Equations.VEERG_4_6_1_1__3_Stage2MethaneProduction(H$116,G$68,I149,_xlfn.XLOOKUP($E168,$D$73:$D$81,$E$73:$E$81),$I$134)</f>
        <v>#N/A</v>
      </c>
      <c r="N168" s="15"/>
      <c r="O168" s="15" t="str">
        <f>INDEX(X_Table_Poultry_Stage2MMS_BeltManureRemoval,6,1)</f>
        <v>Direct application</v>
      </c>
      <c r="P168" s="15" cm="1">
        <f t="array" ref="P168">MMS_Poultry_Methane_Equations.VEERG_4_6_1_1__3_Stage2MethaneProduction(O$116,D$68,F149,_xlfn.XLOOKUP($O168,$N$73:$N$81,$O$73:$O$81),$I$134)</f>
        <v>0</v>
      </c>
      <c r="Q168" s="15" cm="1">
        <f t="array" ref="Q168">MMS_Poultry_Methane_Equations.VEERG_4_6_1_1__3_Stage2MethaneProduction(P$116,E$68,G149,_xlfn.XLOOKUP($O168,$N$73:$N$81,$O$73:$O$81),$I$134)</f>
        <v>0</v>
      </c>
      <c r="R168" s="15" cm="1">
        <f t="array" ref="R168">MMS_Poultry_Methane_Equations.VEERG_4_6_1_1__3_Stage2MethaneProduction(Q$116,F$68,H149,_xlfn.XLOOKUP($O168,$N$73:$N$81,$O$73:$O$81),$I$134)</f>
        <v>0</v>
      </c>
      <c r="S168" s="15" cm="1">
        <f t="array" ref="S168">MMS_Poultry_Methane_Equations.VEERG_4_6_1_1__3_Stage2MethaneProduction(R$116,G$68,I149,_xlfn.XLOOKUP($O168,$N$73:$N$81,$O$73:$O$81),$I$134)</f>
        <v>0</v>
      </c>
    </row>
    <row r="169" spans="3:21" ht="20.100000000000001" customHeight="1" x14ac:dyDescent="0.2">
      <c r="D169" s="15" t="str">
        <f>INDEX(X_Table_Poultry_Stage1MMS,4,1)</f>
        <v>Manure stored in house</v>
      </c>
      <c r="E169" s="15" t="str">
        <f>INDEX(X_Table_Poultry_Stage2MMS_ManureStoredInHouse,2,1)</f>
        <v>Solid storage</v>
      </c>
      <c r="F169" s="15" t="e" cm="1">
        <f t="array" ref="F169">MMS_Poultry_Methane_Equations.VEERG_4_6_1_1__3_Stage2MethaneProduction(E$117,D$68,F150,_xlfn.XLOOKUP($E169,$D$73:$D$81,$E$73:$E$81),$I$134)</f>
        <v>#N/A</v>
      </c>
      <c r="G169" s="15" t="e" cm="1">
        <f t="array" ref="G169">MMS_Poultry_Methane_Equations.VEERG_4_6_1_1__3_Stage2MethaneProduction(F$117,E$68,G150,_xlfn.XLOOKUP($E169,$D$73:$D$81,$E$73:$E$81),$I$134)</f>
        <v>#N/A</v>
      </c>
      <c r="H169" s="15" t="e" cm="1">
        <f t="array" ref="H169">MMS_Poultry_Methane_Equations.VEERG_4_6_1_1__3_Stage2MethaneProduction(G$117,F$68,H150,_xlfn.XLOOKUP($E169,$D$73:$D$81,$E$73:$E$81),$I$134)</f>
        <v>#N/A</v>
      </c>
      <c r="I169" s="15" t="e" cm="1">
        <f t="array" ref="I169">MMS_Poultry_Methane_Equations.VEERG_4_6_1_1__3_Stage2MethaneProduction(H$117,G$68,I150,_xlfn.XLOOKUP($E169,$D$73:$D$81,$E$73:$E$81),$I$134)</f>
        <v>#N/A</v>
      </c>
      <c r="J169" s="16"/>
      <c r="N169" s="15" t="str">
        <f>INDEX(X_Table_Poultry_Stage1MMS,4,1)</f>
        <v>Manure stored in house</v>
      </c>
      <c r="O169" s="15" t="str">
        <f>INDEX(X_Table_Poultry_Stage2MMS_ManureStoredInHouse,2,1)</f>
        <v>Solid storage</v>
      </c>
      <c r="P169" s="15" cm="1">
        <f t="array" ref="P169">MMS_Poultry_Methane_Equations.VEERG_4_6_1_1__3_Stage2MethaneProduction(O$117,D$68,F150,_xlfn.XLOOKUP($O169,$N$73:$N$81,$O$73:$O$81),$I$134)</f>
        <v>3.5823167078399993E-6</v>
      </c>
      <c r="Q169" s="15" cm="1">
        <f t="array" ref="Q169">MMS_Poultry_Methane_Equations.VEERG_4_6_1_1__3_Stage2MethaneProduction(P$117,E$68,G150,_xlfn.XLOOKUP($O169,$N$73:$N$81,$O$73:$O$81),$I$134)</f>
        <v>3.7067341823999979E-6</v>
      </c>
      <c r="R169" s="15" cm="1">
        <f t="array" ref="R169">MMS_Poultry_Methane_Equations.VEERG_4_6_1_1__3_Stage2MethaneProduction(Q$117,F$68,H150,_xlfn.XLOOKUP($O169,$N$73:$N$81,$O$73:$O$81),$I$134)</f>
        <v>3.9604145356799999E-6</v>
      </c>
      <c r="S169" s="15" cm="1">
        <f t="array" ref="S169">MMS_Poultry_Methane_Equations.VEERG_4_6_1_1__3_Stage2MethaneProduction(R$117,G$68,I150,_xlfn.XLOOKUP($O169,$N$73:$N$81,$O$73:$O$81),$I$134)</f>
        <v>3.7067341823999979E-6</v>
      </c>
      <c r="T169" s="16"/>
    </row>
    <row r="170" spans="3:21" ht="20.100000000000001" customHeight="1" x14ac:dyDescent="0.2">
      <c r="D170" s="15"/>
      <c r="E170" s="15" t="str">
        <f>INDEX(X_Table_Poultry_Stage2MMS_ManureStoredInHouse,3,1)</f>
        <v>Composting (passive windrow)</v>
      </c>
      <c r="F170" s="15" t="e" cm="1">
        <f t="array" ref="F170">MMS_Poultry_Methane_Equations.VEERG_4_6_1_1__3_Stage2MethaneProduction(E$117,D$68,F151,_xlfn.XLOOKUP($E170,$D$73:$D$81,$E$73:$E$81),$I$134)</f>
        <v>#N/A</v>
      </c>
      <c r="G170" s="15" t="e" cm="1">
        <f t="array" ref="G170">MMS_Poultry_Methane_Equations.VEERG_4_6_1_1__3_Stage2MethaneProduction(F$117,E$68,G151,_xlfn.XLOOKUP($E170,$D$73:$D$81,$E$73:$E$81),$I$134)</f>
        <v>#N/A</v>
      </c>
      <c r="H170" s="15" t="e" cm="1">
        <f t="array" ref="H170">MMS_Poultry_Methane_Equations.VEERG_4_6_1_1__3_Stage2MethaneProduction(G$117,F$68,H151,_xlfn.XLOOKUP($E170,$D$73:$D$81,$E$73:$E$81),$I$134)</f>
        <v>#N/A</v>
      </c>
      <c r="I170" s="15" t="e" cm="1">
        <f t="array" ref="I170">MMS_Poultry_Methane_Equations.VEERG_4_6_1_1__3_Stage2MethaneProduction(H$117,G$68,I151,_xlfn.XLOOKUP($E170,$D$73:$D$81,$E$73:$E$81),$I$134)</f>
        <v>#N/A</v>
      </c>
      <c r="J170" s="16"/>
      <c r="N170" s="15"/>
      <c r="O170" s="15" t="str">
        <f>INDEX(X_Table_Poultry_Stage2MMS_ManureStoredInHouse,3,1)</f>
        <v>Composting (passive windrow)</v>
      </c>
      <c r="P170" s="15" cm="1">
        <f t="array" ref="P170">MMS_Poultry_Methane_Equations.VEERG_4_6_1_1__3_Stage2MethaneProduction(O$117,D$68,F151,_xlfn.XLOOKUP($O170,$N$73:$N$81,$O$73:$O$81),$I$134)</f>
        <v>8.9557917695999983E-7</v>
      </c>
      <c r="Q170" s="15" cm="1">
        <f t="array" ref="Q170">MMS_Poultry_Methane_Equations.VEERG_4_6_1_1__3_Stage2MethaneProduction(P$117,E$68,G151,_xlfn.XLOOKUP($O170,$N$73:$N$81,$O$73:$O$81),$I$134)</f>
        <v>9.2668354559999947E-7</v>
      </c>
      <c r="R170" s="15" cm="1">
        <f t="array" ref="R170">MMS_Poultry_Methane_Equations.VEERG_4_6_1_1__3_Stage2MethaneProduction(Q$117,F$68,H151,_xlfn.XLOOKUP($O170,$N$73:$N$81,$O$73:$O$81),$I$134)</f>
        <v>9.9010363391999997E-7</v>
      </c>
      <c r="S170" s="15" cm="1">
        <f t="array" ref="S170">MMS_Poultry_Methane_Equations.VEERG_4_6_1_1__3_Stage2MethaneProduction(R$117,G$68,I151,_xlfn.XLOOKUP($O170,$N$73:$N$81,$O$73:$O$81),$I$134)</f>
        <v>9.2668354559999947E-7</v>
      </c>
      <c r="T170" s="16"/>
    </row>
    <row r="171" spans="3:21" ht="20.100000000000001" customHeight="1" x14ac:dyDescent="0.2">
      <c r="D171" s="15"/>
      <c r="E171" s="15" t="str">
        <f>INDEX(X_Table_Poultry_Stage2MMS_ManureStoredInHouse,4,1)</f>
        <v>Digester / covered lagoons</v>
      </c>
      <c r="F171" s="15" t="e" cm="1">
        <f t="array" ref="F171">MMS_Poultry_Methane_Equations.VEERG_4_6_1_1__3_Stage2MethaneProduction(E$117,D$68,F152,_xlfn.XLOOKUP($E171,$D$73:$D$81,$E$73:$E$81),$I$134)</f>
        <v>#N/A</v>
      </c>
      <c r="G171" s="15" t="e" cm="1">
        <f t="array" ref="G171">MMS_Poultry_Methane_Equations.VEERG_4_6_1_1__3_Stage2MethaneProduction(F$117,E$68,G152,_xlfn.XLOOKUP($E171,$D$73:$D$81,$E$73:$E$81),$I$134)</f>
        <v>#N/A</v>
      </c>
      <c r="H171" s="15" t="e" cm="1">
        <f t="array" ref="H171">MMS_Poultry_Methane_Equations.VEERG_4_6_1_1__3_Stage2MethaneProduction(G$117,F$68,H152,_xlfn.XLOOKUP($E171,$D$73:$D$81,$E$73:$E$81),$I$134)</f>
        <v>#N/A</v>
      </c>
      <c r="I171" s="15" t="e" cm="1">
        <f t="array" ref="I171">MMS_Poultry_Methane_Equations.VEERG_4_6_1_1__3_Stage2MethaneProduction(H$117,G$68,I152,_xlfn.XLOOKUP($E171,$D$73:$D$81,$E$73:$E$81),$I$134)</f>
        <v>#N/A</v>
      </c>
      <c r="J171" s="16"/>
      <c r="N171" s="15"/>
      <c r="O171" s="15" t="str">
        <f>INDEX(X_Table_Poultry_Stage2MMS_ManureStoredInHouse,4,1)</f>
        <v>Digester / covered lagoons</v>
      </c>
      <c r="P171" s="15" cm="1">
        <f t="array" ref="P171">MMS_Poultry_Methane_Equations.VEERG_4_6_1_1__3_Stage2MethaneProduction(O$117,D$68,F152,_xlfn.XLOOKUP($O171,$N$73:$N$81,$O$73:$O$81),$I$134)</f>
        <v>1.7911583539199998E-5</v>
      </c>
      <c r="Q171" s="15" cm="1">
        <f t="array" ref="Q171">MMS_Poultry_Methane_Equations.VEERG_4_6_1_1__3_Stage2MethaneProduction(P$117,E$68,G152,_xlfn.XLOOKUP($O171,$N$73:$N$81,$O$73:$O$81),$I$134)</f>
        <v>1.8533670911999991E-5</v>
      </c>
      <c r="R171" s="15" cm="1">
        <f t="array" ref="R171">MMS_Poultry_Methane_Equations.VEERG_4_6_1_1__3_Stage2MethaneProduction(Q$117,F$68,H152,_xlfn.XLOOKUP($O171,$N$73:$N$81,$O$73:$O$81),$I$134)</f>
        <v>1.9802072678399998E-5</v>
      </c>
      <c r="S171" s="15" cm="1">
        <f t="array" ref="S171">MMS_Poultry_Methane_Equations.VEERG_4_6_1_1__3_Stage2MethaneProduction(R$117,G$68,I152,_xlfn.XLOOKUP($O171,$N$73:$N$81,$O$73:$O$81),$I$134)</f>
        <v>1.8533670911999991E-5</v>
      </c>
      <c r="T171" s="16"/>
    </row>
    <row r="172" spans="3:21" ht="20.100000000000001" customHeight="1" x14ac:dyDescent="0.2">
      <c r="D172" s="15"/>
      <c r="E172" s="15" t="str">
        <f>INDEX(X_Table_Poultry_Stage2MMS_ManureStoredInHouse,5,1)</f>
        <v>Direct processing</v>
      </c>
      <c r="F172" s="15" t="e" cm="1">
        <f t="array" ref="F172">MMS_Poultry_Methane_Equations.VEERG_4_6_1_1__3_Stage2MethaneProduction(E$117,D$68,F153,_xlfn.XLOOKUP($E172,$D$73:$D$81,$E$73:$E$81),$I$134)</f>
        <v>#N/A</v>
      </c>
      <c r="G172" s="15" t="e" cm="1">
        <f t="array" ref="G172">MMS_Poultry_Methane_Equations.VEERG_4_6_1_1__3_Stage2MethaneProduction(F$117,E$68,G153,_xlfn.XLOOKUP($E172,$D$73:$D$81,$E$73:$E$81),$I$134)</f>
        <v>#N/A</v>
      </c>
      <c r="H172" s="15" t="e" cm="1">
        <f t="array" ref="H172">MMS_Poultry_Methane_Equations.VEERG_4_6_1_1__3_Stage2MethaneProduction(G$117,F$68,H153,_xlfn.XLOOKUP($E172,$D$73:$D$81,$E$73:$E$81),$I$134)</f>
        <v>#N/A</v>
      </c>
      <c r="I172" s="15" t="e" cm="1">
        <f t="array" ref="I172">MMS_Poultry_Methane_Equations.VEERG_4_6_1_1__3_Stage2MethaneProduction(H$117,G$68,I153,_xlfn.XLOOKUP($E172,$D$73:$D$81,$E$73:$E$81),$I$134)</f>
        <v>#N/A</v>
      </c>
      <c r="J172" s="16"/>
      <c r="N172" s="15"/>
      <c r="O172" s="15" t="str">
        <f>INDEX(X_Table_Poultry_Stage2MMS_ManureStoredInHouse,5,1)</f>
        <v>Direct processing</v>
      </c>
      <c r="P172" s="15" cm="1">
        <f t="array" ref="P172">MMS_Poultry_Methane_Equations.VEERG_4_6_1_1__3_Stage2MethaneProduction(O$117,D$68,F153,_xlfn.XLOOKUP($O172,$N$73:$N$81,$O$73:$O$81),$I$134)</f>
        <v>0</v>
      </c>
      <c r="Q172" s="15" cm="1">
        <f t="array" ref="Q172">MMS_Poultry_Methane_Equations.VEERG_4_6_1_1__3_Stage2MethaneProduction(P$117,E$68,G153,_xlfn.XLOOKUP($O172,$N$73:$N$81,$O$73:$O$81),$I$134)</f>
        <v>0</v>
      </c>
      <c r="R172" s="15" cm="1">
        <f t="array" ref="R172">MMS_Poultry_Methane_Equations.VEERG_4_6_1_1__3_Stage2MethaneProduction(Q$117,F$68,H153,_xlfn.XLOOKUP($O172,$N$73:$N$81,$O$73:$O$81),$I$134)</f>
        <v>0</v>
      </c>
      <c r="S172" s="15" cm="1">
        <f t="array" ref="S172">MMS_Poultry_Methane_Equations.VEERG_4_6_1_1__3_Stage2MethaneProduction(R$117,G$68,I153,_xlfn.XLOOKUP($O172,$N$73:$N$81,$O$73:$O$81),$I$134)</f>
        <v>0</v>
      </c>
      <c r="T172" s="16"/>
    </row>
    <row r="173" spans="3:21" ht="20.100000000000001" customHeight="1" x14ac:dyDescent="0.2">
      <c r="D173" s="15"/>
      <c r="E173" s="15" t="str">
        <f>INDEX(X_Table_Poultry_Stage2MMS_ManureStoredInHouse,6,1)</f>
        <v>Direct application</v>
      </c>
      <c r="F173" s="15" t="e" cm="1">
        <f t="array" ref="F173">MMS_Poultry_Methane_Equations.VEERG_4_6_1_1__3_Stage2MethaneProduction(E$117,D$68,F154,_xlfn.XLOOKUP($E173,$D$73:$D$81,$E$73:$E$81),$I$134)</f>
        <v>#N/A</v>
      </c>
      <c r="G173" s="15" t="e" cm="1">
        <f t="array" ref="G173">MMS_Poultry_Methane_Equations.VEERG_4_6_1_1__3_Stage2MethaneProduction(F$117,E$68,G154,_xlfn.XLOOKUP($E173,$D$73:$D$81,$E$73:$E$81),$I$134)</f>
        <v>#N/A</v>
      </c>
      <c r="H173" s="15" t="e" cm="1">
        <f t="array" ref="H173">MMS_Poultry_Methane_Equations.VEERG_4_6_1_1__3_Stage2MethaneProduction(G$117,F$68,H154,_xlfn.XLOOKUP($E173,$D$73:$D$81,$E$73:$E$81),$I$134)</f>
        <v>#N/A</v>
      </c>
      <c r="I173" s="15" t="e" cm="1">
        <f t="array" ref="I173">MMS_Poultry_Methane_Equations.VEERG_4_6_1_1__3_Stage2MethaneProduction(H$117,G$68,I154,_xlfn.XLOOKUP($E173,$D$73:$D$81,$E$73:$E$81),$I$134)</f>
        <v>#N/A</v>
      </c>
      <c r="N173" s="15"/>
      <c r="O173" s="15" t="str">
        <f>INDEX(X_Table_Poultry_Stage2MMS_ManureStoredInHouse,6,1)</f>
        <v>Direct application</v>
      </c>
      <c r="P173" s="15" cm="1">
        <f t="array" ref="P173">MMS_Poultry_Methane_Equations.VEERG_4_6_1_1__3_Stage2MethaneProduction(O$117,D$68,F154,_xlfn.XLOOKUP($O173,$N$73:$N$81,$O$73:$O$81),$I$134)</f>
        <v>0</v>
      </c>
      <c r="Q173" s="15" cm="1">
        <f t="array" ref="Q173">MMS_Poultry_Methane_Equations.VEERG_4_6_1_1__3_Stage2MethaneProduction(P$117,E$68,G154,_xlfn.XLOOKUP($O173,$N$73:$N$81,$O$73:$O$81),$I$134)</f>
        <v>0</v>
      </c>
      <c r="R173" s="15" cm="1">
        <f t="array" ref="R173">MMS_Poultry_Methane_Equations.VEERG_4_6_1_1__3_Stage2MethaneProduction(Q$117,F$68,H154,_xlfn.XLOOKUP($O173,$N$73:$N$81,$O$73:$O$81),$I$134)</f>
        <v>0</v>
      </c>
      <c r="S173" s="15" cm="1">
        <f t="array" ref="S173">MMS_Poultry_Methane_Equations.VEERG_4_6_1_1__3_Stage2MethaneProduction(R$117,G$68,I154,_xlfn.XLOOKUP($O173,$N$73:$N$81,$O$73:$O$81),$I$134)</f>
        <v>0</v>
      </c>
    </row>
    <row r="176" spans="3:21" ht="20.100000000000001" customHeight="1" x14ac:dyDescent="0.2">
      <c r="C176" s="83"/>
      <c r="D176" s="83"/>
      <c r="E176" s="83"/>
      <c r="F176" s="83"/>
      <c r="G176" s="83"/>
      <c r="H176" s="83"/>
      <c r="I176" s="83"/>
      <c r="J176" s="83"/>
      <c r="K176" s="83"/>
      <c r="M176" s="83"/>
      <c r="N176" s="83"/>
      <c r="O176" s="83"/>
      <c r="P176" s="83"/>
      <c r="Q176" s="83"/>
      <c r="R176" s="83"/>
      <c r="S176" s="83"/>
      <c r="T176" s="83"/>
      <c r="U176" s="83"/>
    </row>
    <row r="177" spans="1:10" ht="20.100000000000001" customHeight="1" x14ac:dyDescent="0.2">
      <c r="D177" s="2" t="str" cm="1">
        <f t="array" ref="D177">MMS_Poultry_Methane_Equations.VEERG_4_6_1_1__1_TotalAnnualMethaneEmissions_Title()</f>
        <v>Total annual methane emissions from manure management</v>
      </c>
    </row>
    <row r="178" spans="1:10" ht="20.100000000000001" customHeight="1" x14ac:dyDescent="0.2">
      <c r="D178" s="17" t="str" cm="1">
        <f t="array" ref="D178">MMS_Poultry_Methane_Equations.VEERG_4_6_1_1__1_TotalAnnualMethaneEmissions_Source()</f>
        <v>VEERG 2026: 4.4.1.1, Equation (1)</v>
      </c>
    </row>
    <row r="179" spans="1:10" ht="20.100000000000001" customHeight="1" x14ac:dyDescent="0.2">
      <c r="D179" s="112" t="s">
        <v>328</v>
      </c>
      <c r="E179" s="112" t="str" cm="1">
        <f t="array" aca="1" ref="E179" ca="1">Common_InputFunctions.Utility_DisplayFunctionName(F212)</f>
        <v>=MMS_Poultry_Methane_Equations.VEERG_4_6_1_1__1_TotalAnnualMethaneEmissions</v>
      </c>
    </row>
    <row r="182" spans="1:10" ht="20.100000000000001" customHeight="1" x14ac:dyDescent="0.2">
      <c r="D182" s="75" t="s">
        <v>329</v>
      </c>
      <c r="E182" s="1" t="str" cm="1">
        <f t="array" ref="E182">MMS_Poultry_Methane_Equations.VEERG_4_6_1_1__1_TotalAnnualMethaneEmissions_Variable()</f>
        <v>E_CH4</v>
      </c>
    </row>
    <row r="183" spans="1:10" ht="20.100000000000001" customHeight="1" x14ac:dyDescent="0.2">
      <c r="D183" s="75" t="s">
        <v>118</v>
      </c>
      <c r="E183" s="9" t="str" cm="1">
        <f t="array" ref="E183">MMS_Poultry_Methane_Equations.VEERG_4_6_1_1__1_TotalAnnualMethaneEmissions_Unit()</f>
        <v>t CH4</v>
      </c>
    </row>
    <row r="185" spans="1:10" ht="20.100000000000001" customHeight="1" x14ac:dyDescent="0.2">
      <c r="D185" s="113" t="str" cm="1">
        <f t="array" ref="D185:E187">_xlfn.CHOOSECOLS(MMS_Poultry_Methane_Equations.VEERG_4_6_1_1__1_TotalAnnualMethaneEmissions_Arguments(),1,2)</f>
        <v>D_jk</v>
      </c>
      <c r="E185" s="113" t="str">
        <v>duration of stay of each class and subclass of poultry</v>
      </c>
      <c r="F185" s="113"/>
      <c r="G185" s="113" t="str" cm="1">
        <f t="array" ref="G185:H187">_xlfn.CHOOSECOLS(MMS_Poultry_Methane_Equations.VEERG_4_6_1_1__1_TotalAnnualMethaneEmissions_Arguments(),3,4)</f>
        <v>days</v>
      </c>
      <c r="H185" s="114" t="str">
        <v>Input</v>
      </c>
      <c r="I185" s="116" t="str" cm="1">
        <f t="array" aca="1" ref="I185" ca="1">HYPERLINK(Common_InputFunctions.Utility_SourceHyperlink($D$189),$D$189)</f>
        <v>Table_D_j_k</v>
      </c>
      <c r="J185" s="116"/>
    </row>
    <row r="186" spans="1:10" ht="20.100000000000001" customHeight="1" x14ac:dyDescent="0.2">
      <c r="D186" s="113" t="str">
        <v>M_jkmT</v>
      </c>
      <c r="E186" s="113" t="str">
        <v>methane production from manure per class, subclass, MMS, and treatment stage</v>
      </c>
      <c r="F186" s="113"/>
      <c r="G186" s="113" t="str">
        <v>kg CH4/bird/day</v>
      </c>
      <c r="H186" s="115" t="str">
        <v>Calculated from 4.6.1.1 (2)(3)</v>
      </c>
      <c r="I186" s="116" t="str" cm="1">
        <f t="array" aca="1" ref="I186" ca="1">HYPERLINK(Common_InputFunctions.Utility_SourceHyperlink($D$83),$D$83)</f>
        <v>M1_Table_M_j_k_m_T-1</v>
      </c>
      <c r="J186" s="116" t="str" cm="1">
        <f t="array" aca="1" ref="J186" ca="1">HYPERLINK(Common_InputFunctions.Utility_SourceHyperlink($D$156),$D$156)</f>
        <v>M1_Table_M_j_k_m_T-2</v>
      </c>
    </row>
    <row r="187" spans="1:10" ht="20.100000000000001" customHeight="1" x14ac:dyDescent="0.2">
      <c r="D187" s="113" t="str">
        <v>N_jk</v>
      </c>
      <c r="E187" s="113" t="str">
        <v>numbers of poultry in each class and subclass</v>
      </c>
      <c r="F187" s="113"/>
      <c r="G187" s="113" t="str">
        <v>birds</v>
      </c>
      <c r="H187" s="114" t="str">
        <v>Input</v>
      </c>
      <c r="I187" s="116" t="str" cm="1">
        <f t="array" aca="1" ref="I187" ca="1">HYPERLINK(Common_InputFunctions.Utility_SourceHyperlink($D$194),$D$194)</f>
        <v>Table_N_j_k</v>
      </c>
      <c r="J187" s="116"/>
    </row>
    <row r="188" spans="1:10" ht="20.100000000000001" customHeight="1" x14ac:dyDescent="0.2">
      <c r="A188" s="79" t="str">
        <f>HYPERLINK("#A1", "▲ Back to top")</f>
        <v>▲ Back to top</v>
      </c>
    </row>
    <row r="189" spans="1:10" ht="20.100000000000001" customHeight="1" x14ac:dyDescent="0.2">
      <c r="D189" s="118" t="s">
        <v>368</v>
      </c>
      <c r="G189" s="112"/>
    </row>
    <row r="190" spans="1:10" ht="20.100000000000001" customHeight="1" x14ac:dyDescent="0.2">
      <c r="D190" s="119" t="s">
        <v>369</v>
      </c>
    </row>
    <row r="191" spans="1:10" ht="20.100000000000001" customHeight="1" x14ac:dyDescent="0.2">
      <c r="D191" s="78" t="s">
        <v>297</v>
      </c>
      <c r="E191" s="78" t="s">
        <v>298</v>
      </c>
      <c r="F191" s="78" t="s">
        <v>299</v>
      </c>
      <c r="G191" s="78" t="s">
        <v>300</v>
      </c>
    </row>
    <row r="192" spans="1:10" ht="20.100000000000001" customHeight="1" x14ac:dyDescent="0.2">
      <c r="D192" s="15">
        <f>INDEX(X_Table_Poultry_Movement,2,2)</f>
        <v>365</v>
      </c>
      <c r="E192" s="15">
        <f>INDEX(X_Table_Poultry_Movement,2,3)</f>
        <v>365</v>
      </c>
      <c r="F192" s="15">
        <f>INDEX(X_Table_Poultry_Movement,2,4)</f>
        <v>365</v>
      </c>
      <c r="G192" s="15">
        <f>INDEX(X_Table_Poultry_Movement,2,5)</f>
        <v>365</v>
      </c>
      <c r="H192" s="16" t="str">
        <f>G185</f>
        <v>days</v>
      </c>
    </row>
    <row r="194" spans="4:20" ht="20.100000000000001" customHeight="1" x14ac:dyDescent="0.2">
      <c r="D194" s="118" t="s">
        <v>370</v>
      </c>
      <c r="G194" s="112"/>
    </row>
    <row r="195" spans="4:20" ht="20.100000000000001" customHeight="1" x14ac:dyDescent="0.2">
      <c r="D195" s="119" t="s">
        <v>371</v>
      </c>
    </row>
    <row r="196" spans="4:20" ht="20.100000000000001" customHeight="1" x14ac:dyDescent="0.2">
      <c r="D196" s="78" t="s">
        <v>297</v>
      </c>
      <c r="E196" s="78" t="s">
        <v>298</v>
      </c>
      <c r="F196" s="78" t="s">
        <v>299</v>
      </c>
      <c r="G196" s="78" t="s">
        <v>300</v>
      </c>
    </row>
    <row r="197" spans="4:20" ht="20.100000000000001" customHeight="1" x14ac:dyDescent="0.2">
      <c r="D197" s="15">
        <f>INDEX(X_Table_Poultry_Movement,3,2)</f>
        <v>100</v>
      </c>
      <c r="E197" s="15">
        <f>INDEX(X_Table_Poultry_Movement,3,3)</f>
        <v>100</v>
      </c>
      <c r="F197" s="15">
        <f>INDEX(X_Table_Poultry_Movement,3,4)</f>
        <v>100</v>
      </c>
      <c r="G197" s="15">
        <f>INDEX(X_Table_Poultry_Movement,3,5)</f>
        <v>100</v>
      </c>
      <c r="H197" s="16" t="str">
        <f>G187</f>
        <v>birds</v>
      </c>
    </row>
    <row r="199" spans="4:20" ht="20.100000000000001" customHeight="1" x14ac:dyDescent="0.2">
      <c r="D199" s="118" t="s">
        <v>372</v>
      </c>
      <c r="N199" s="118" t="s">
        <v>373</v>
      </c>
    </row>
    <row r="200" spans="4:20" ht="20.100000000000001" customHeight="1" x14ac:dyDescent="0.2">
      <c r="D200" s="119" t="s">
        <v>374</v>
      </c>
      <c r="N200" s="119" t="s">
        <v>375</v>
      </c>
    </row>
    <row r="201" spans="4:20" ht="20.100000000000001" customHeight="1" x14ac:dyDescent="0.2">
      <c r="D201" s="120" t="s">
        <v>314</v>
      </c>
      <c r="E201" s="120" t="s">
        <v>318</v>
      </c>
      <c r="F201" s="120" t="s">
        <v>297</v>
      </c>
      <c r="G201" s="120" t="s">
        <v>298</v>
      </c>
      <c r="H201" s="120" t="s">
        <v>299</v>
      </c>
      <c r="I201" s="120" t="s">
        <v>300</v>
      </c>
      <c r="N201" s="120" t="s">
        <v>314</v>
      </c>
      <c r="O201" s="120" t="s">
        <v>318</v>
      </c>
      <c r="P201" s="120" t="s">
        <v>297</v>
      </c>
      <c r="Q201" s="120" t="s">
        <v>298</v>
      </c>
      <c r="R201" s="120" t="s">
        <v>299</v>
      </c>
      <c r="S201" s="120" t="s">
        <v>300</v>
      </c>
    </row>
    <row r="202" spans="4:20" ht="20.100000000000001" customHeight="1" x14ac:dyDescent="0.2">
      <c r="D202" s="15" t="str">
        <f>INDEX(X_Table_Poultry_Stage1MMS,2,1)</f>
        <v>Poultry manure with bedding</v>
      </c>
      <c r="E202" s="15" t="s">
        <v>124</v>
      </c>
      <c r="F202" s="15" t="e" cm="1">
        <f t="array" ref="F202">MMS_Poultry_Methane_Equations.VEERG_4_6_1_1__1_TotalAnnualMethaneEmissions(D$192, E86, D$197)</f>
        <v>#N/A</v>
      </c>
      <c r="G202" s="15" t="e" cm="1">
        <f t="array" ref="G202">MMS_Poultry_Methane_Equations.VEERG_4_6_1_1__1_TotalAnnualMethaneEmissions(E$192, F86, E$197)</f>
        <v>#N/A</v>
      </c>
      <c r="H202" s="15" t="e" cm="1">
        <f t="array" ref="H202">MMS_Poultry_Methane_Equations.VEERG_4_6_1_1__1_TotalAnnualMethaneEmissions(F$192, G86, F$197)</f>
        <v>#N/A</v>
      </c>
      <c r="I202" s="15" t="e" cm="1">
        <f t="array" ref="I202">MMS_Poultry_Methane_Equations.VEERG_4_6_1_1__1_TotalAnnualMethaneEmissions(G$192, H86, G$197)</f>
        <v>#N/A</v>
      </c>
      <c r="J202" s="16" t="str">
        <f>$E$183</f>
        <v>t CH4</v>
      </c>
      <c r="N202" s="15" t="str">
        <f>INDEX(X_Table_Poultry_Stage1MMS,2,1)</f>
        <v>Poultry manure with bedding</v>
      </c>
      <c r="O202" s="15" t="s">
        <v>124</v>
      </c>
      <c r="P202" s="15" cm="1">
        <f t="array" ref="P202">MMS_Poultry_Methane_Equations.VEERG_4_6_1_1__1_TotalAnnualMethaneEmissions(D$192, O86, D$197)</f>
        <v>6.1291199923199972E-4</v>
      </c>
      <c r="Q202" s="15" cm="1">
        <f t="array" ref="Q202">MMS_Poultry_Methane_Equations.VEERG_4_6_1_1__1_TotalAnnualMethaneEmissions(E$192, P86, E$197)</f>
        <v>6.3419905151999964E-4</v>
      </c>
      <c r="R202" s="15" cm="1">
        <f t="array" ref="R202">MMS_Poultry_Methane_Equations.VEERG_4_6_1_1__1_TotalAnnualMethaneEmissions(F$192, Q86, F$197)</f>
        <v>6.776021744639998E-4</v>
      </c>
      <c r="S202" s="15" cm="1">
        <f t="array" ref="S202">MMS_Poultry_Methane_Equations.VEERG_4_6_1_1__1_TotalAnnualMethaneEmissions(G$192, R86, G$197)</f>
        <v>6.3419905151999964E-4</v>
      </c>
      <c r="T202" s="16" t="str">
        <f>$E$183</f>
        <v>t CH4</v>
      </c>
    </row>
    <row r="203" spans="4:20" ht="20.100000000000001" customHeight="1" x14ac:dyDescent="0.2">
      <c r="D203" s="15" t="str">
        <f>INDEX(X_Table_Poultry_Stage1MMS,3,1)</f>
        <v>Belt manure removal</v>
      </c>
      <c r="E203" s="15" t="s">
        <v>124</v>
      </c>
      <c r="F203" s="15" t="e" cm="1">
        <f t="array" ref="F203">MMS_Poultry_Methane_Equations.VEERG_4_6_1_1__1_TotalAnnualMethaneEmissions(D$192, E87, D$197)</f>
        <v>#N/A</v>
      </c>
      <c r="G203" s="15" t="e" cm="1">
        <f t="array" ref="G203">MMS_Poultry_Methane_Equations.VEERG_4_6_1_1__1_TotalAnnualMethaneEmissions(E$192, F87, E$197)</f>
        <v>#N/A</v>
      </c>
      <c r="H203" s="15" t="e" cm="1">
        <f t="array" ref="H203">MMS_Poultry_Methane_Equations.VEERG_4_6_1_1__1_TotalAnnualMethaneEmissions(F$192, G87, F$197)</f>
        <v>#N/A</v>
      </c>
      <c r="I203" s="15" t="e" cm="1">
        <f t="array" ref="I203">MMS_Poultry_Methane_Equations.VEERG_4_6_1_1__1_TotalAnnualMethaneEmissions(G$192, H87, G$197)</f>
        <v>#N/A</v>
      </c>
      <c r="J203" s="16"/>
      <c r="N203" s="15" t="str">
        <f>INDEX(X_Table_Poultry_Stage1MMS,3,1)</f>
        <v>Belt manure removal</v>
      </c>
      <c r="O203" s="15" t="s">
        <v>124</v>
      </c>
      <c r="P203" s="15" t="e" cm="1">
        <f t="array" ref="P203">MMS_Poultry_Methane_Equations.VEERG_4_6_1_1__1_TotalAnnualMethaneEmissions(D$192, O87, D$197)</f>
        <v>#N/A</v>
      </c>
      <c r="Q203" s="15" t="e" cm="1">
        <f t="array" ref="Q203">MMS_Poultry_Methane_Equations.VEERG_4_6_1_1__1_TotalAnnualMethaneEmissions(E$192, P87, E$197)</f>
        <v>#N/A</v>
      </c>
      <c r="R203" s="15" t="e" cm="1">
        <f t="array" ref="R203">MMS_Poultry_Methane_Equations.VEERG_4_6_1_1__1_TotalAnnualMethaneEmissions(F$192, Q87, F$197)</f>
        <v>#N/A</v>
      </c>
      <c r="S203" s="15" t="e" cm="1">
        <f t="array" ref="S203">MMS_Poultry_Methane_Equations.VEERG_4_6_1_1__1_TotalAnnualMethaneEmissions(G$192, R87, G$197)</f>
        <v>#N/A</v>
      </c>
      <c r="T203" s="16"/>
    </row>
    <row r="204" spans="4:20" ht="20.100000000000001" customHeight="1" x14ac:dyDescent="0.2">
      <c r="D204" s="15" t="str">
        <f>INDEX(X_Table_Poultry_Stage1MMS,4,1)</f>
        <v>Manure stored in house</v>
      </c>
      <c r="E204" s="15" t="s">
        <v>124</v>
      </c>
      <c r="F204" s="15" t="e" cm="1">
        <f t="array" ref="F204">MMS_Poultry_Methane_Equations.VEERG_4_6_1_1__1_TotalAnnualMethaneEmissions(D$192, E88, D$197)</f>
        <v>#N/A</v>
      </c>
      <c r="G204" s="15" t="e" cm="1">
        <f t="array" ref="G204">MMS_Poultry_Methane_Equations.VEERG_4_6_1_1__1_TotalAnnualMethaneEmissions(E$192, F88, E$197)</f>
        <v>#N/A</v>
      </c>
      <c r="H204" s="15" t="e" cm="1">
        <f t="array" ref="H204">MMS_Poultry_Methane_Equations.VEERG_4_6_1_1__1_TotalAnnualMethaneEmissions(F$192, G88, F$197)</f>
        <v>#N/A</v>
      </c>
      <c r="I204" s="15" t="e" cm="1">
        <f t="array" ref="I204">MMS_Poultry_Methane_Equations.VEERG_4_6_1_1__1_TotalAnnualMethaneEmissions(G$192, H88, G$197)</f>
        <v>#N/A</v>
      </c>
      <c r="J204" s="16"/>
      <c r="N204" s="15" t="str">
        <f>INDEX(X_Table_Poultry_Stage1MMS,4,1)</f>
        <v>Manure stored in house</v>
      </c>
      <c r="O204" s="15" t="s">
        <v>124</v>
      </c>
      <c r="P204" s="15" t="e" cm="1">
        <f t="array" ref="P204">MMS_Poultry_Methane_Equations.VEERG_4_6_1_1__1_TotalAnnualMethaneEmissions(D$192, O88, D$197)</f>
        <v>#N/A</v>
      </c>
      <c r="Q204" s="15" t="e" cm="1">
        <f t="array" ref="Q204">MMS_Poultry_Methane_Equations.VEERG_4_6_1_1__1_TotalAnnualMethaneEmissions(E$192, P88, E$197)</f>
        <v>#N/A</v>
      </c>
      <c r="R204" s="15" t="e" cm="1">
        <f t="array" ref="R204">MMS_Poultry_Methane_Equations.VEERG_4_6_1_1__1_TotalAnnualMethaneEmissions(F$192, Q88, F$197)</f>
        <v>#N/A</v>
      </c>
      <c r="S204" s="15" t="e" cm="1">
        <f t="array" ref="S204">MMS_Poultry_Methane_Equations.VEERG_4_6_1_1__1_TotalAnnualMethaneEmissions(G$192, R88, G$197)</f>
        <v>#N/A</v>
      </c>
      <c r="T204" s="16"/>
    </row>
    <row r="205" spans="4:20" ht="20.100000000000001" customHeight="1" x14ac:dyDescent="0.2">
      <c r="D205" s="15" t="str">
        <f>INDEX(X_Table_Poultry_Stage1MMS,5,1)</f>
        <v>Pasture range and paddock</v>
      </c>
      <c r="E205" s="15" t="s">
        <v>124</v>
      </c>
      <c r="F205" s="15" t="e" cm="1">
        <f t="array" ref="F205">MMS_Poultry_Methane_Equations.VEERG_4_6_1_1__1_TotalAnnualMethaneEmissions(D$192, E89, D$197)</f>
        <v>#N/A</v>
      </c>
      <c r="G205" s="15" t="e" cm="1">
        <f t="array" ref="G205">MMS_Poultry_Methane_Equations.VEERG_4_6_1_1__1_TotalAnnualMethaneEmissions(E$192, F89, E$197)</f>
        <v>#N/A</v>
      </c>
      <c r="H205" s="15" t="e" cm="1">
        <f t="array" ref="H205">MMS_Poultry_Methane_Equations.VEERG_4_6_1_1__1_TotalAnnualMethaneEmissions(F$192, G89, F$197)</f>
        <v>#N/A</v>
      </c>
      <c r="I205" s="15" t="e" cm="1">
        <f t="array" ref="I205">MMS_Poultry_Methane_Equations.VEERG_4_6_1_1__1_TotalAnnualMethaneEmissions(G$192, H89, G$197)</f>
        <v>#N/A</v>
      </c>
      <c r="J205" s="16"/>
      <c r="N205" s="15" t="str">
        <f>INDEX(X_Table_Poultry_Stage1MMS,5,1)</f>
        <v>Pasture range and paddock</v>
      </c>
      <c r="O205" s="15" t="s">
        <v>124</v>
      </c>
      <c r="P205" s="15" cm="1">
        <f t="array" ref="P205">MMS_Poultry_Methane_Equations.VEERG_4_6_1_1__1_TotalAnnualMethaneEmissions(D$192, O89, D$197)</f>
        <v>6.4015253253119989E-5</v>
      </c>
      <c r="Q205" s="15" cm="1">
        <f t="array" ref="Q205">MMS_Poultry_Methane_Equations.VEERG_4_6_1_1__1_TotalAnnualMethaneEmissions(E$192, P89, E$197)</f>
        <v>6.6238567603199995E-5</v>
      </c>
      <c r="R205" s="15" cm="1">
        <f t="array" ref="R205">MMS_Poultry_Methane_Equations.VEERG_4_6_1_1__1_TotalAnnualMethaneEmissions(F$192, Q89, F$197)</f>
        <v>7.0771782666239995E-5</v>
      </c>
      <c r="S205" s="15" cm="1">
        <f t="array" ref="S205">MMS_Poultry_Methane_Equations.VEERG_4_6_1_1__1_TotalAnnualMethaneEmissions(G$192, R89, G$197)</f>
        <v>6.6238567603199995E-5</v>
      </c>
      <c r="T205" s="16"/>
    </row>
    <row r="206" spans="4:20" ht="20.100000000000001" customHeight="1" x14ac:dyDescent="0.2">
      <c r="D206" s="15" t="str">
        <f>INDEX(X_Table_Poultry_Stage1MMS,2,1)</f>
        <v>Poultry manure with bedding</v>
      </c>
      <c r="E206" s="15" t="str">
        <f>INDEX(X_Table_Poultry_Stage2MMS_PoultryManureWithBedding,2,1)</f>
        <v>Solid storage</v>
      </c>
      <c r="F206" s="15" t="e" cm="1">
        <f t="array" ref="F206">MMS_Poultry_Methane_Equations.VEERG_4_6_1_1__1_TotalAnnualMethaneEmissions(D$192, F159, D$197)</f>
        <v>#N/A</v>
      </c>
      <c r="G206" s="15" t="e" cm="1">
        <f t="array" ref="G206">MMS_Poultry_Methane_Equations.VEERG_4_6_1_1__1_TotalAnnualMethaneEmissions(E$192, G159, E$197)</f>
        <v>#N/A</v>
      </c>
      <c r="H206" s="15" t="e" cm="1">
        <f t="array" ref="H206">MMS_Poultry_Methane_Equations.VEERG_4_6_1_1__1_TotalAnnualMethaneEmissions(F$192, H159, F$197)</f>
        <v>#N/A</v>
      </c>
      <c r="I206" s="15" t="e" cm="1">
        <f t="array" ref="I206">MMS_Poultry_Methane_Equations.VEERG_4_6_1_1__1_TotalAnnualMethaneEmissions(G$192, I159, G$197)</f>
        <v>#N/A</v>
      </c>
      <c r="J206" s="16"/>
      <c r="N206" s="15" t="str">
        <f>INDEX(X_Table_Poultry_Stage1MMS,2,1)</f>
        <v>Poultry manure with bedding</v>
      </c>
      <c r="O206" s="15" t="str">
        <f>INDEX(X_Table_Poultry_Stage2MMS_PoultryManureWithBedding,2,1)</f>
        <v>Solid storage</v>
      </c>
      <c r="P206" s="15" cm="1">
        <f t="array" ref="P206">MMS_Poultry_Methane_Equations.VEERG_4_6_1_1__1_TotalAnnualMethaneEmissions(D$192, P159, D$197)</f>
        <v>1.3892671982591992E-4</v>
      </c>
      <c r="Q206" s="15" cm="1">
        <f t="array" ref="Q206">MMS_Poultry_Methane_Equations.VEERG_4_6_1_1__1_TotalAnnualMethaneEmissions(E$192, Q159, E$197)</f>
        <v>1.4375178501119996E-4</v>
      </c>
      <c r="R206" s="15" cm="1">
        <f t="array" ref="R206">MMS_Poultry_Methane_Equations.VEERG_4_6_1_1__1_TotalAnnualMethaneEmissions(F$192, R159, F$197)</f>
        <v>1.5358982621183997E-4</v>
      </c>
      <c r="S206" s="15" cm="1">
        <f t="array" ref="S206">MMS_Poultry_Methane_Equations.VEERG_4_6_1_1__1_TotalAnnualMethaneEmissions(G$192, S159, G$197)</f>
        <v>1.4375178501119996E-4</v>
      </c>
      <c r="T206" s="16"/>
    </row>
    <row r="207" spans="4:20" ht="20.100000000000001" customHeight="1" x14ac:dyDescent="0.2">
      <c r="D207" s="15"/>
      <c r="E207" s="15" t="str">
        <f>INDEX(X_Table_Poultry_Stage2MMS_PoultryManureWithBedding,3,1)</f>
        <v>Composting (passive windrow)</v>
      </c>
      <c r="F207" s="15" t="e" cm="1">
        <f t="array" ref="F207">MMS_Poultry_Methane_Equations.VEERG_4_6_1_1__1_TotalAnnualMethaneEmissions(D$192, F160, D$197)</f>
        <v>#N/A</v>
      </c>
      <c r="G207" s="15" t="e" cm="1">
        <f t="array" ref="G207">MMS_Poultry_Methane_Equations.VEERG_4_6_1_1__1_TotalAnnualMethaneEmissions(E$192, G160, E$197)</f>
        <v>#N/A</v>
      </c>
      <c r="H207" s="15" t="e" cm="1">
        <f t="array" ref="H207">MMS_Poultry_Methane_Equations.VEERG_4_6_1_1__1_TotalAnnualMethaneEmissions(F$192, H160, F$197)</f>
        <v>#N/A</v>
      </c>
      <c r="I207" s="15" t="e" cm="1">
        <f t="array" ref="I207">MMS_Poultry_Methane_Equations.VEERG_4_6_1_1__1_TotalAnnualMethaneEmissions(G$192, I160, G$197)</f>
        <v>#N/A</v>
      </c>
      <c r="J207" s="16"/>
      <c r="N207" s="15"/>
      <c r="O207" s="15" t="str">
        <f>INDEX(X_Table_Poultry_Stage2MMS_PoultryManureWithBedding,3,1)</f>
        <v>Composting (passive windrow)</v>
      </c>
      <c r="P207" s="15" cm="1">
        <f t="array" ref="P207">MMS_Poultry_Methane_Equations.VEERG_4_6_1_1__1_TotalAnnualMethaneEmissions(D$192, P160, D$197)</f>
        <v>3.4731679956479979E-5</v>
      </c>
      <c r="Q207" s="15" cm="1">
        <f t="array" ref="Q207">MMS_Poultry_Methane_Equations.VEERG_4_6_1_1__1_TotalAnnualMethaneEmissions(E$192, Q160, E$197)</f>
        <v>3.5937946252799991E-5</v>
      </c>
      <c r="R207" s="15" cm="1">
        <f t="array" ref="R207">MMS_Poultry_Methane_Equations.VEERG_4_6_1_1__1_TotalAnnualMethaneEmissions(F$192, R160, F$197)</f>
        <v>3.8397456552959994E-5</v>
      </c>
      <c r="S207" s="15" cm="1">
        <f t="array" ref="S207">MMS_Poultry_Methane_Equations.VEERG_4_6_1_1__1_TotalAnnualMethaneEmissions(G$192, S160, G$197)</f>
        <v>3.5937946252799991E-5</v>
      </c>
      <c r="T207" s="16"/>
    </row>
    <row r="208" spans="4:20" ht="20.100000000000001" customHeight="1" x14ac:dyDescent="0.2">
      <c r="D208" s="15"/>
      <c r="E208" s="15" t="str">
        <f>INDEX(X_Table_Poultry_Stage2MMS_PoultryManureWithBedding,4,1)</f>
        <v>Digester / covered lagoons</v>
      </c>
      <c r="F208" s="15" t="e" cm="1">
        <f t="array" ref="F208">MMS_Poultry_Methane_Equations.VEERG_4_6_1_1__1_TotalAnnualMethaneEmissions(D$192, F161, D$197)</f>
        <v>#N/A</v>
      </c>
      <c r="G208" s="15" t="e" cm="1">
        <f t="array" ref="G208">MMS_Poultry_Methane_Equations.VEERG_4_6_1_1__1_TotalAnnualMethaneEmissions(E$192, G161, E$197)</f>
        <v>#N/A</v>
      </c>
      <c r="H208" s="15" t="e" cm="1">
        <f t="array" ref="H208">MMS_Poultry_Methane_Equations.VEERG_4_6_1_1__1_TotalAnnualMethaneEmissions(F$192, H161, F$197)</f>
        <v>#N/A</v>
      </c>
      <c r="I208" s="15" t="e" cm="1">
        <f t="array" ref="I208">MMS_Poultry_Methane_Equations.VEERG_4_6_1_1__1_TotalAnnualMethaneEmissions(G$192, I161, G$197)</f>
        <v>#N/A</v>
      </c>
      <c r="J208" s="16"/>
      <c r="N208" s="15"/>
      <c r="O208" s="15" t="str">
        <f>INDEX(X_Table_Poultry_Stage2MMS_PoultryManureWithBedding,4,1)</f>
        <v>Digester / covered lagoons</v>
      </c>
      <c r="P208" s="15" cm="1">
        <f t="array" ref="P208">MMS_Poultry_Methane_Equations.VEERG_4_6_1_1__1_TotalAnnualMethaneEmissions(D$192, P161, D$197)</f>
        <v>6.9463359912959983E-4</v>
      </c>
      <c r="Q208" s="15" cm="1">
        <f t="array" ref="Q208">MMS_Poultry_Methane_Equations.VEERG_4_6_1_1__1_TotalAnnualMethaneEmissions(E$192, Q161, E$197)</f>
        <v>7.187589250559998E-4</v>
      </c>
      <c r="R208" s="15" cm="1">
        <f t="array" ref="R208">MMS_Poultry_Methane_Equations.VEERG_4_6_1_1__1_TotalAnnualMethaneEmissions(F$192, R161, F$197)</f>
        <v>7.6794913105919993E-4</v>
      </c>
      <c r="S208" s="15" cm="1">
        <f t="array" ref="S208">MMS_Poultry_Methane_Equations.VEERG_4_6_1_1__1_TotalAnnualMethaneEmissions(G$192, S161, G$197)</f>
        <v>7.187589250559998E-4</v>
      </c>
      <c r="T208" s="16"/>
    </row>
    <row r="209" spans="1:20" ht="20.100000000000001" customHeight="1" x14ac:dyDescent="0.2">
      <c r="D209" s="15"/>
      <c r="E209" s="15" t="str">
        <f>INDEX(X_Table_Poultry_Stage2MMS_PoultryManureWithBedding,5,1)</f>
        <v>Direct processing</v>
      </c>
      <c r="F209" s="15" t="e" cm="1">
        <f t="array" ref="F209">MMS_Poultry_Methane_Equations.VEERG_4_6_1_1__1_TotalAnnualMethaneEmissions(D$192, F162, D$197)</f>
        <v>#N/A</v>
      </c>
      <c r="G209" s="15" t="e" cm="1">
        <f t="array" ref="G209">MMS_Poultry_Methane_Equations.VEERG_4_6_1_1__1_TotalAnnualMethaneEmissions(E$192, G162, E$197)</f>
        <v>#N/A</v>
      </c>
      <c r="H209" s="15" t="e" cm="1">
        <f t="array" ref="H209">MMS_Poultry_Methane_Equations.VEERG_4_6_1_1__1_TotalAnnualMethaneEmissions(F$192, H162, F$197)</f>
        <v>#N/A</v>
      </c>
      <c r="I209" s="15" t="e" cm="1">
        <f t="array" ref="I209">MMS_Poultry_Methane_Equations.VEERG_4_6_1_1__1_TotalAnnualMethaneEmissions(G$192, I162, G$197)</f>
        <v>#N/A</v>
      </c>
      <c r="J209" s="16"/>
      <c r="N209" s="15"/>
      <c r="O209" s="15" t="str">
        <f>INDEX(X_Table_Poultry_Stage2MMS_PoultryManureWithBedding,5,1)</f>
        <v>Direct processing</v>
      </c>
      <c r="P209" s="15" cm="1">
        <f t="array" ref="P209">MMS_Poultry_Methane_Equations.VEERG_4_6_1_1__1_TotalAnnualMethaneEmissions(D$192, P162, D$197)</f>
        <v>0</v>
      </c>
      <c r="Q209" s="15" cm="1">
        <f t="array" ref="Q209">MMS_Poultry_Methane_Equations.VEERG_4_6_1_1__1_TotalAnnualMethaneEmissions(E$192, Q162, E$197)</f>
        <v>0</v>
      </c>
      <c r="R209" s="15" cm="1">
        <f t="array" ref="R209">MMS_Poultry_Methane_Equations.VEERG_4_6_1_1__1_TotalAnnualMethaneEmissions(F$192, R162, F$197)</f>
        <v>0</v>
      </c>
      <c r="S209" s="15" cm="1">
        <f t="array" ref="S209">MMS_Poultry_Methane_Equations.VEERG_4_6_1_1__1_TotalAnnualMethaneEmissions(G$192, S162, G$197)</f>
        <v>0</v>
      </c>
      <c r="T209" s="16"/>
    </row>
    <row r="210" spans="1:20" ht="20.100000000000001" customHeight="1" x14ac:dyDescent="0.2">
      <c r="D210" s="15"/>
      <c r="E210" s="15" t="str">
        <f>INDEX(X_Table_Poultry_Stage2MMS_PoultryManureWithBedding,6,1)</f>
        <v>Direct application</v>
      </c>
      <c r="F210" s="15" t="e" cm="1">
        <f t="array" ref="F210">MMS_Poultry_Methane_Equations.VEERG_4_6_1_1__1_TotalAnnualMethaneEmissions(D$192, F163, D$197)</f>
        <v>#N/A</v>
      </c>
      <c r="G210" s="15" t="e" cm="1">
        <f t="array" ref="G210">MMS_Poultry_Methane_Equations.VEERG_4_6_1_1__1_TotalAnnualMethaneEmissions(E$192, G163, E$197)</f>
        <v>#N/A</v>
      </c>
      <c r="H210" s="15" t="e" cm="1">
        <f t="array" ref="H210">MMS_Poultry_Methane_Equations.VEERG_4_6_1_1__1_TotalAnnualMethaneEmissions(F$192, H163, F$197)</f>
        <v>#N/A</v>
      </c>
      <c r="I210" s="15" t="e" cm="1">
        <f t="array" ref="I210">MMS_Poultry_Methane_Equations.VEERG_4_6_1_1__1_TotalAnnualMethaneEmissions(G$192, I163, G$197)</f>
        <v>#N/A</v>
      </c>
      <c r="N210" s="15"/>
      <c r="O210" s="15" t="str">
        <f>INDEX(X_Table_Poultry_Stage2MMS_PoultryManureWithBedding,6,1)</f>
        <v>Direct application</v>
      </c>
      <c r="P210" s="15" cm="1">
        <f t="array" ref="P210">MMS_Poultry_Methane_Equations.VEERG_4_6_1_1__1_TotalAnnualMethaneEmissions(D$192, P163, D$197)</f>
        <v>0</v>
      </c>
      <c r="Q210" s="15" cm="1">
        <f t="array" ref="Q210">MMS_Poultry_Methane_Equations.VEERG_4_6_1_1__1_TotalAnnualMethaneEmissions(E$192, Q163, E$197)</f>
        <v>0</v>
      </c>
      <c r="R210" s="15" cm="1">
        <f t="array" ref="R210">MMS_Poultry_Methane_Equations.VEERG_4_6_1_1__1_TotalAnnualMethaneEmissions(F$192, R163, F$197)</f>
        <v>0</v>
      </c>
      <c r="S210" s="15" cm="1">
        <f t="array" ref="S210">MMS_Poultry_Methane_Equations.VEERG_4_6_1_1__1_TotalAnnualMethaneEmissions(G$192, S163, G$197)</f>
        <v>0</v>
      </c>
    </row>
    <row r="211" spans="1:20" ht="20.100000000000001" customHeight="1" x14ac:dyDescent="0.2">
      <c r="D211" s="15" t="str">
        <f>INDEX(X_Table_Poultry_Stage1MMS,3,1)</f>
        <v>Belt manure removal</v>
      </c>
      <c r="E211" s="15" t="str">
        <f>INDEX(X_Table_Poultry_Stage2MMS_BeltManureRemoval,2,1)</f>
        <v>Solid storage</v>
      </c>
      <c r="F211" s="15" t="e" cm="1">
        <f t="array" ref="F211">MMS_Poultry_Methane_Equations.VEERG_4_6_1_1__1_TotalAnnualMethaneEmissions(D$192, F164, D$197)</f>
        <v>#N/A</v>
      </c>
      <c r="G211" s="15" t="e" cm="1">
        <f t="array" ref="G211">MMS_Poultry_Methane_Equations.VEERG_4_6_1_1__1_TotalAnnualMethaneEmissions(E$192, G164, E$197)</f>
        <v>#N/A</v>
      </c>
      <c r="H211" s="15" t="e" cm="1">
        <f t="array" ref="H211">MMS_Poultry_Methane_Equations.VEERG_4_6_1_1__1_TotalAnnualMethaneEmissions(F$192, H164, F$197)</f>
        <v>#N/A</v>
      </c>
      <c r="I211" s="15" t="e" cm="1">
        <f t="array" ref="I211">MMS_Poultry_Methane_Equations.VEERG_4_6_1_1__1_TotalAnnualMethaneEmissions(G$192, I164, G$197)</f>
        <v>#N/A</v>
      </c>
      <c r="J211" s="16"/>
      <c r="N211" s="15" t="str">
        <f>INDEX(X_Table_Poultry_Stage1MMS,3,1)</f>
        <v>Belt manure removal</v>
      </c>
      <c r="O211" s="15" t="str">
        <f>INDEX(X_Table_Poultry_Stage2MMS_BeltManureRemoval,2,1)</f>
        <v>Solid storage</v>
      </c>
      <c r="P211" s="15" cm="1">
        <f t="array" ref="P211">MMS_Poultry_Methane_Equations.VEERG_4_6_1_1__1_TotalAnnualMethaneEmissions(D$192, P164, D$197)</f>
        <v>1.6344319979519996E-4</v>
      </c>
      <c r="Q211" s="15" cm="1">
        <f t="array" ref="Q211">MMS_Poultry_Methane_Equations.VEERG_4_6_1_1__1_TotalAnnualMethaneEmissions(E$192, Q164, E$197)</f>
        <v>1.6911974707199996E-4</v>
      </c>
      <c r="R211" s="15" cm="1">
        <f t="array" ref="R211">MMS_Poultry_Methane_Equations.VEERG_4_6_1_1__1_TotalAnnualMethaneEmissions(F$192, R164, F$197)</f>
        <v>1.8069391319039998E-4</v>
      </c>
      <c r="S211" s="15" cm="1">
        <f t="array" ref="S211">MMS_Poultry_Methane_Equations.VEERG_4_6_1_1__1_TotalAnnualMethaneEmissions(G$192, S164, G$197)</f>
        <v>1.6911974707199996E-4</v>
      </c>
      <c r="T211" s="16"/>
    </row>
    <row r="212" spans="1:20" ht="20.100000000000001" customHeight="1" x14ac:dyDescent="0.2">
      <c r="D212" s="15"/>
      <c r="E212" s="15" t="str">
        <f>INDEX(X_Table_Poultry_Stage2MMS_BeltManureRemoval,3,1)</f>
        <v>Composting (passive windrow)</v>
      </c>
      <c r="F212" s="15" t="e" cm="1">
        <f t="array" ref="F212">MMS_Poultry_Methane_Equations.VEERG_4_6_1_1__1_TotalAnnualMethaneEmissions(D$192, F165, D$197)</f>
        <v>#N/A</v>
      </c>
      <c r="G212" s="15" t="e" cm="1">
        <f t="array" ref="G212">MMS_Poultry_Methane_Equations.VEERG_4_6_1_1__1_TotalAnnualMethaneEmissions(E$192, G165, E$197)</f>
        <v>#N/A</v>
      </c>
      <c r="H212" s="15" t="e" cm="1">
        <f t="array" ref="H212">MMS_Poultry_Methane_Equations.VEERG_4_6_1_1__1_TotalAnnualMethaneEmissions(F$192, H165, F$197)</f>
        <v>#N/A</v>
      </c>
      <c r="I212" s="15" t="e" cm="1">
        <f t="array" ref="I212">MMS_Poultry_Methane_Equations.VEERG_4_6_1_1__1_TotalAnnualMethaneEmissions(G$192, I165, G$197)</f>
        <v>#N/A</v>
      </c>
      <c r="J212" s="16"/>
      <c r="N212" s="15"/>
      <c r="O212" s="15" t="str">
        <f>INDEX(X_Table_Poultry_Stage2MMS_BeltManureRemoval,3,1)</f>
        <v>Composting (passive windrow)</v>
      </c>
      <c r="P212" s="15" cm="1">
        <f t="array" ref="P212">MMS_Poultry_Methane_Equations.VEERG_4_6_1_1__1_TotalAnnualMethaneEmissions(D$192, P165, D$197)</f>
        <v>4.0860799948799989E-5</v>
      </c>
      <c r="Q212" s="15" cm="1">
        <f t="array" ref="Q212">MMS_Poultry_Methane_Equations.VEERG_4_6_1_1__1_TotalAnnualMethaneEmissions(E$192, Q165, E$197)</f>
        <v>4.2279936767999989E-5</v>
      </c>
      <c r="R212" s="15" cm="1">
        <f t="array" ref="R212">MMS_Poultry_Methane_Equations.VEERG_4_6_1_1__1_TotalAnnualMethaneEmissions(F$192, R165, F$197)</f>
        <v>4.5173478297599995E-5</v>
      </c>
      <c r="S212" s="15" cm="1">
        <f t="array" ref="S212">MMS_Poultry_Methane_Equations.VEERG_4_6_1_1__1_TotalAnnualMethaneEmissions(G$192, S165, G$197)</f>
        <v>4.2279936767999989E-5</v>
      </c>
      <c r="T212" s="16"/>
    </row>
    <row r="213" spans="1:20" ht="20.100000000000001" customHeight="1" x14ac:dyDescent="0.2">
      <c r="D213" s="15"/>
      <c r="E213" s="15" t="str">
        <f>INDEX(X_Table_Poultry_Stage2MMS_BeltManureRemoval,4,1)</f>
        <v>Digester / covered lagoons</v>
      </c>
      <c r="F213" s="15" t="e" cm="1">
        <f t="array" ref="F213">MMS_Poultry_Methane_Equations.VEERG_4_6_1_1__1_TotalAnnualMethaneEmissions(D$192, F166, D$197)</f>
        <v>#N/A</v>
      </c>
      <c r="G213" s="15" t="e" cm="1">
        <f t="array" ref="G213">MMS_Poultry_Methane_Equations.VEERG_4_6_1_1__1_TotalAnnualMethaneEmissions(E$192, G166, E$197)</f>
        <v>#N/A</v>
      </c>
      <c r="H213" s="15" t="e" cm="1">
        <f t="array" ref="H213">MMS_Poultry_Methane_Equations.VEERG_4_6_1_1__1_TotalAnnualMethaneEmissions(F$192, H166, F$197)</f>
        <v>#N/A</v>
      </c>
      <c r="I213" s="15" t="e" cm="1">
        <f t="array" ref="I213">MMS_Poultry_Methane_Equations.VEERG_4_6_1_1__1_TotalAnnualMethaneEmissions(G$192, I166, G$197)</f>
        <v>#N/A</v>
      </c>
      <c r="J213" s="16"/>
      <c r="N213" s="15"/>
      <c r="O213" s="15" t="str">
        <f>INDEX(X_Table_Poultry_Stage2MMS_BeltManureRemoval,4,1)</f>
        <v>Digester / covered lagoons</v>
      </c>
      <c r="P213" s="15" cm="1">
        <f t="array" ref="P213">MMS_Poultry_Methane_Equations.VEERG_4_6_1_1__1_TotalAnnualMethaneEmissions(D$192, P166, D$197)</f>
        <v>8.1721599897599984E-4</v>
      </c>
      <c r="Q213" s="15" cm="1">
        <f t="array" ref="Q213">MMS_Poultry_Methane_Equations.VEERG_4_6_1_1__1_TotalAnnualMethaneEmissions(E$192, Q166, E$197)</f>
        <v>8.4559873535999992E-4</v>
      </c>
      <c r="R213" s="15" cm="1">
        <f t="array" ref="R213">MMS_Poultry_Methane_Equations.VEERG_4_6_1_1__1_TotalAnnualMethaneEmissions(F$192, R166, F$197)</f>
        <v>9.0346956595200006E-4</v>
      </c>
      <c r="S213" s="15" cm="1">
        <f t="array" ref="S213">MMS_Poultry_Methane_Equations.VEERG_4_6_1_1__1_TotalAnnualMethaneEmissions(G$192, S166, G$197)</f>
        <v>8.4559873535999992E-4</v>
      </c>
      <c r="T213" s="16"/>
    </row>
    <row r="214" spans="1:20" ht="20.100000000000001" customHeight="1" x14ac:dyDescent="0.2">
      <c r="D214" s="15"/>
      <c r="E214" s="15" t="str">
        <f>INDEX(X_Table_Poultry_Stage2MMS_BeltManureRemoval,5,1)</f>
        <v>Direct processing</v>
      </c>
      <c r="F214" s="15" t="e" cm="1">
        <f t="array" ref="F214">MMS_Poultry_Methane_Equations.VEERG_4_6_1_1__1_TotalAnnualMethaneEmissions(D$192, F167, D$197)</f>
        <v>#N/A</v>
      </c>
      <c r="G214" s="15" t="e" cm="1">
        <f t="array" ref="G214">MMS_Poultry_Methane_Equations.VEERG_4_6_1_1__1_TotalAnnualMethaneEmissions(E$192, G167, E$197)</f>
        <v>#N/A</v>
      </c>
      <c r="H214" s="15" t="e" cm="1">
        <f t="array" ref="H214">MMS_Poultry_Methane_Equations.VEERG_4_6_1_1__1_TotalAnnualMethaneEmissions(F$192, H167, F$197)</f>
        <v>#N/A</v>
      </c>
      <c r="I214" s="15" t="e" cm="1">
        <f t="array" ref="I214">MMS_Poultry_Methane_Equations.VEERG_4_6_1_1__1_TotalAnnualMethaneEmissions(G$192, I167, G$197)</f>
        <v>#N/A</v>
      </c>
      <c r="J214" s="16"/>
      <c r="N214" s="15"/>
      <c r="O214" s="15" t="str">
        <f>INDEX(X_Table_Poultry_Stage2MMS_BeltManureRemoval,5,1)</f>
        <v>Direct processing</v>
      </c>
      <c r="P214" s="15" cm="1">
        <f t="array" ref="P214">MMS_Poultry_Methane_Equations.VEERG_4_6_1_1__1_TotalAnnualMethaneEmissions(D$192, P167, D$197)</f>
        <v>0</v>
      </c>
      <c r="Q214" s="15" cm="1">
        <f t="array" ref="Q214">MMS_Poultry_Methane_Equations.VEERG_4_6_1_1__1_TotalAnnualMethaneEmissions(E$192, Q167, E$197)</f>
        <v>0</v>
      </c>
      <c r="R214" s="15" cm="1">
        <f t="array" ref="R214">MMS_Poultry_Methane_Equations.VEERG_4_6_1_1__1_TotalAnnualMethaneEmissions(F$192, R167, F$197)</f>
        <v>0</v>
      </c>
      <c r="S214" s="15" cm="1">
        <f t="array" ref="S214">MMS_Poultry_Methane_Equations.VEERG_4_6_1_1__1_TotalAnnualMethaneEmissions(G$192, S167, G$197)</f>
        <v>0</v>
      </c>
      <c r="T214" s="16"/>
    </row>
    <row r="215" spans="1:20" ht="20.100000000000001" customHeight="1" x14ac:dyDescent="0.2">
      <c r="D215" s="15"/>
      <c r="E215" s="15" t="str">
        <f>INDEX(X_Table_Poultry_Stage2MMS_BeltManureRemoval,6,1)</f>
        <v>Direct application</v>
      </c>
      <c r="F215" s="15" t="e" cm="1">
        <f t="array" ref="F215">MMS_Poultry_Methane_Equations.VEERG_4_6_1_1__1_TotalAnnualMethaneEmissions(D$192, F168, D$197)</f>
        <v>#N/A</v>
      </c>
      <c r="G215" s="15" t="e" cm="1">
        <f t="array" ref="G215">MMS_Poultry_Methane_Equations.VEERG_4_6_1_1__1_TotalAnnualMethaneEmissions(E$192, G168, E$197)</f>
        <v>#N/A</v>
      </c>
      <c r="H215" s="15" t="e" cm="1">
        <f t="array" ref="H215">MMS_Poultry_Methane_Equations.VEERG_4_6_1_1__1_TotalAnnualMethaneEmissions(F$192, H168, F$197)</f>
        <v>#N/A</v>
      </c>
      <c r="I215" s="15" t="e" cm="1">
        <f t="array" ref="I215">MMS_Poultry_Methane_Equations.VEERG_4_6_1_1__1_TotalAnnualMethaneEmissions(G$192, I168, G$197)</f>
        <v>#N/A</v>
      </c>
      <c r="N215" s="15"/>
      <c r="O215" s="15" t="str">
        <f>INDEX(X_Table_Poultry_Stage2MMS_BeltManureRemoval,6,1)</f>
        <v>Direct application</v>
      </c>
      <c r="P215" s="15" cm="1">
        <f t="array" ref="P215">MMS_Poultry_Methane_Equations.VEERG_4_6_1_1__1_TotalAnnualMethaneEmissions(D$192, P168, D$197)</f>
        <v>0</v>
      </c>
      <c r="Q215" s="15" cm="1">
        <f t="array" ref="Q215">MMS_Poultry_Methane_Equations.VEERG_4_6_1_1__1_TotalAnnualMethaneEmissions(E$192, Q168, E$197)</f>
        <v>0</v>
      </c>
      <c r="R215" s="15" cm="1">
        <f t="array" ref="R215">MMS_Poultry_Methane_Equations.VEERG_4_6_1_1__1_TotalAnnualMethaneEmissions(F$192, R168, F$197)</f>
        <v>0</v>
      </c>
      <c r="S215" s="15" cm="1">
        <f t="array" ref="S215">MMS_Poultry_Methane_Equations.VEERG_4_6_1_1__1_TotalAnnualMethaneEmissions(G$192, S168, G$197)</f>
        <v>0</v>
      </c>
    </row>
    <row r="216" spans="1:20" ht="20.100000000000001" customHeight="1" x14ac:dyDescent="0.2">
      <c r="D216" s="15" t="str">
        <f>INDEX(X_Table_Poultry_Stage1MMS,4,1)</f>
        <v>Manure stored in house</v>
      </c>
      <c r="E216" s="15" t="str">
        <f>INDEX(X_Table_Poultry_Stage2MMS_ManureStoredInHouse,2,1)</f>
        <v>Solid storage</v>
      </c>
      <c r="F216" s="15" t="e" cm="1">
        <f t="array" ref="F216">MMS_Poultry_Methane_Equations.VEERG_4_6_1_1__1_TotalAnnualMethaneEmissions(D$192, F169, D$197)</f>
        <v>#N/A</v>
      </c>
      <c r="G216" s="15" t="e" cm="1">
        <f t="array" ref="G216">MMS_Poultry_Methane_Equations.VEERG_4_6_1_1__1_TotalAnnualMethaneEmissions(E$192, G169, E$197)</f>
        <v>#N/A</v>
      </c>
      <c r="H216" s="15" t="e" cm="1">
        <f t="array" ref="H216">MMS_Poultry_Methane_Equations.VEERG_4_6_1_1__1_TotalAnnualMethaneEmissions(F$192, H169, F$197)</f>
        <v>#N/A</v>
      </c>
      <c r="I216" s="15" t="e" cm="1">
        <f t="array" ref="I216">MMS_Poultry_Methane_Equations.VEERG_4_6_1_1__1_TotalAnnualMethaneEmissions(G$192, I169, G$197)</f>
        <v>#N/A</v>
      </c>
      <c r="J216" s="16"/>
      <c r="N216" s="15" t="str">
        <f>INDEX(X_Table_Poultry_Stage1MMS,4,1)</f>
        <v>Manure stored in house</v>
      </c>
      <c r="O216" s="15" t="str">
        <f>INDEX(X_Table_Poultry_Stage2MMS_ManureStoredInHouse,2,1)</f>
        <v>Solid storage</v>
      </c>
      <c r="P216" s="15" cm="1">
        <f t="array" ref="P216">MMS_Poultry_Methane_Equations.VEERG_4_6_1_1__1_TotalAnnualMethaneEmissions(D$192, P169, D$197)</f>
        <v>1.3075455983615998E-4</v>
      </c>
      <c r="Q216" s="15" cm="1">
        <f t="array" ref="Q216">MMS_Poultry_Methane_Equations.VEERG_4_6_1_1__1_TotalAnnualMethaneEmissions(E$192, Q169, E$197)</f>
        <v>1.3529579765759992E-4</v>
      </c>
      <c r="R216" s="15" cm="1">
        <f t="array" ref="R216">MMS_Poultry_Methane_Equations.VEERG_4_6_1_1__1_TotalAnnualMethaneEmissions(F$192, R169, F$197)</f>
        <v>1.4455513055232E-4</v>
      </c>
      <c r="S216" s="15" cm="1">
        <f t="array" ref="S216">MMS_Poultry_Methane_Equations.VEERG_4_6_1_1__1_TotalAnnualMethaneEmissions(G$192, S169, G$197)</f>
        <v>1.3529579765759992E-4</v>
      </c>
      <c r="T216" s="16"/>
    </row>
    <row r="217" spans="1:20" ht="20.100000000000001" customHeight="1" x14ac:dyDescent="0.2">
      <c r="D217" s="15"/>
      <c r="E217" s="15" t="str">
        <f>INDEX(X_Table_Poultry_Stage2MMS_ManureStoredInHouse,3,1)</f>
        <v>Composting (passive windrow)</v>
      </c>
      <c r="F217" s="15" t="e" cm="1">
        <f t="array" ref="F217">MMS_Poultry_Methane_Equations.VEERG_4_6_1_1__1_TotalAnnualMethaneEmissions(D$192, F170, D$197)</f>
        <v>#N/A</v>
      </c>
      <c r="G217" s="15" t="e" cm="1">
        <f t="array" ref="G217">MMS_Poultry_Methane_Equations.VEERG_4_6_1_1__1_TotalAnnualMethaneEmissions(E$192, G170, E$197)</f>
        <v>#N/A</v>
      </c>
      <c r="H217" s="15" t="e" cm="1">
        <f t="array" ref="H217">MMS_Poultry_Methane_Equations.VEERG_4_6_1_1__1_TotalAnnualMethaneEmissions(F$192, H170, F$197)</f>
        <v>#N/A</v>
      </c>
      <c r="I217" s="15" t="e" cm="1">
        <f t="array" ref="I217">MMS_Poultry_Methane_Equations.VEERG_4_6_1_1__1_TotalAnnualMethaneEmissions(G$192, I170, G$197)</f>
        <v>#N/A</v>
      </c>
      <c r="J217" s="16"/>
      <c r="N217" s="15"/>
      <c r="O217" s="15" t="str">
        <f>INDEX(X_Table_Poultry_Stage2MMS_ManureStoredInHouse,3,1)</f>
        <v>Composting (passive windrow)</v>
      </c>
      <c r="P217" s="15" cm="1">
        <f t="array" ref="P217">MMS_Poultry_Methane_Equations.VEERG_4_6_1_1__1_TotalAnnualMethaneEmissions(D$192, P170, D$197)</f>
        <v>3.2688639959039994E-5</v>
      </c>
      <c r="Q217" s="15" cm="1">
        <f t="array" ref="Q217">MMS_Poultry_Methane_Equations.VEERG_4_6_1_1__1_TotalAnnualMethaneEmissions(E$192, Q170, E$197)</f>
        <v>3.3823949414399981E-5</v>
      </c>
      <c r="R217" s="15" cm="1">
        <f t="array" ref="R217">MMS_Poultry_Methane_Equations.VEERG_4_6_1_1__1_TotalAnnualMethaneEmissions(F$192, R170, F$197)</f>
        <v>3.613878263808E-5</v>
      </c>
      <c r="S217" s="15" cm="1">
        <f t="array" ref="S217">MMS_Poultry_Methane_Equations.VEERG_4_6_1_1__1_TotalAnnualMethaneEmissions(G$192, S170, G$197)</f>
        <v>3.3823949414399981E-5</v>
      </c>
      <c r="T217" s="16"/>
    </row>
    <row r="218" spans="1:20" ht="20.100000000000001" customHeight="1" x14ac:dyDescent="0.2">
      <c r="A218" s="79" t="str">
        <f>HYPERLINK("#A1", "▲ Back to top")</f>
        <v>▲ Back to top</v>
      </c>
      <c r="D218" s="15"/>
      <c r="E218" s="15" t="str">
        <f>INDEX(X_Table_Poultry_Stage2MMS_ManureStoredInHouse,4,1)</f>
        <v>Digester / covered lagoons</v>
      </c>
      <c r="F218" s="15" t="e" cm="1">
        <f t="array" ref="F218">MMS_Poultry_Methane_Equations.VEERG_4_6_1_1__1_TotalAnnualMethaneEmissions(D$192, F171, D$197)</f>
        <v>#N/A</v>
      </c>
      <c r="G218" s="15" t="e" cm="1">
        <f t="array" ref="G218">MMS_Poultry_Methane_Equations.VEERG_4_6_1_1__1_TotalAnnualMethaneEmissions(E$192, G171, E$197)</f>
        <v>#N/A</v>
      </c>
      <c r="H218" s="15" t="e" cm="1">
        <f t="array" ref="H218">MMS_Poultry_Methane_Equations.VEERG_4_6_1_1__1_TotalAnnualMethaneEmissions(F$192, H171, F$197)</f>
        <v>#N/A</v>
      </c>
      <c r="I218" s="15" t="e" cm="1">
        <f t="array" ref="I218">MMS_Poultry_Methane_Equations.VEERG_4_6_1_1__1_TotalAnnualMethaneEmissions(G$192, I171, G$197)</f>
        <v>#N/A</v>
      </c>
      <c r="J218" s="16"/>
      <c r="N218" s="15"/>
      <c r="O218" s="15" t="str">
        <f>INDEX(X_Table_Poultry_Stage2MMS_ManureStoredInHouse,4,1)</f>
        <v>Digester / covered lagoons</v>
      </c>
      <c r="P218" s="15" cm="1">
        <f t="array" ref="P218">MMS_Poultry_Methane_Equations.VEERG_4_6_1_1__1_TotalAnnualMethaneEmissions(D$192, P171, D$197)</f>
        <v>6.5377279918080004E-4</v>
      </c>
      <c r="Q218" s="15" cm="1">
        <f t="array" ref="Q218">MMS_Poultry_Methane_Equations.VEERG_4_6_1_1__1_TotalAnnualMethaneEmissions(E$192, Q171, E$197)</f>
        <v>6.7647898828799972E-4</v>
      </c>
      <c r="R218" s="15" cm="1">
        <f t="array" ref="R218">MMS_Poultry_Methane_Equations.VEERG_4_6_1_1__1_TotalAnnualMethaneEmissions(F$192, R171, F$197)</f>
        <v>7.2277565276159992E-4</v>
      </c>
      <c r="S218" s="15" cm="1">
        <f t="array" ref="S218">MMS_Poultry_Methane_Equations.VEERG_4_6_1_1__1_TotalAnnualMethaneEmissions(G$192, S171, G$197)</f>
        <v>6.7647898828799972E-4</v>
      </c>
      <c r="T218" s="16"/>
    </row>
    <row r="219" spans="1:20" ht="20.100000000000001" customHeight="1" x14ac:dyDescent="0.2">
      <c r="D219" s="15"/>
      <c r="E219" s="15" t="str">
        <f>INDEX(X_Table_Poultry_Stage2MMS_ManureStoredInHouse,5,1)</f>
        <v>Direct processing</v>
      </c>
      <c r="F219" s="15" t="e" cm="1">
        <f t="array" ref="F219">MMS_Poultry_Methane_Equations.VEERG_4_6_1_1__1_TotalAnnualMethaneEmissions(D$192, F172, D$197)</f>
        <v>#N/A</v>
      </c>
      <c r="G219" s="15" t="e" cm="1">
        <f t="array" ref="G219">MMS_Poultry_Methane_Equations.VEERG_4_6_1_1__1_TotalAnnualMethaneEmissions(E$192, G172, E$197)</f>
        <v>#N/A</v>
      </c>
      <c r="H219" s="15" t="e" cm="1">
        <f t="array" ref="H219">MMS_Poultry_Methane_Equations.VEERG_4_6_1_1__1_TotalAnnualMethaneEmissions(F$192, H172, F$197)</f>
        <v>#N/A</v>
      </c>
      <c r="I219" s="15" t="e" cm="1">
        <f t="array" ref="I219">MMS_Poultry_Methane_Equations.VEERG_4_6_1_1__1_TotalAnnualMethaneEmissions(G$192, I172, G$197)</f>
        <v>#N/A</v>
      </c>
      <c r="J219" s="16"/>
      <c r="N219" s="15"/>
      <c r="O219" s="15" t="str">
        <f>INDEX(X_Table_Poultry_Stage2MMS_ManureStoredInHouse,5,1)</f>
        <v>Direct processing</v>
      </c>
      <c r="P219" s="15" cm="1">
        <f t="array" ref="P219">MMS_Poultry_Methane_Equations.VEERG_4_6_1_1__1_TotalAnnualMethaneEmissions(D$192, P172, D$197)</f>
        <v>0</v>
      </c>
      <c r="Q219" s="15" cm="1">
        <f t="array" ref="Q219">MMS_Poultry_Methane_Equations.VEERG_4_6_1_1__1_TotalAnnualMethaneEmissions(E$192, Q172, E$197)</f>
        <v>0</v>
      </c>
      <c r="R219" s="15" cm="1">
        <f t="array" ref="R219">MMS_Poultry_Methane_Equations.VEERG_4_6_1_1__1_TotalAnnualMethaneEmissions(F$192, R172, F$197)</f>
        <v>0</v>
      </c>
      <c r="S219" s="15" cm="1">
        <f t="array" ref="S219">MMS_Poultry_Methane_Equations.VEERG_4_6_1_1__1_TotalAnnualMethaneEmissions(G$192, S172, G$197)</f>
        <v>0</v>
      </c>
      <c r="T219" s="16"/>
    </row>
    <row r="220" spans="1:20" ht="20.100000000000001" customHeight="1" x14ac:dyDescent="0.2">
      <c r="D220" s="15"/>
      <c r="E220" s="15" t="str">
        <f>INDEX(X_Table_Poultry_Stage2MMS_ManureStoredInHouse,6,1)</f>
        <v>Direct application</v>
      </c>
      <c r="F220" s="15" t="e" cm="1">
        <f t="array" ref="F220">MMS_Poultry_Methane_Equations.VEERG_4_6_1_1__1_TotalAnnualMethaneEmissions(D$192, F173, D$197)</f>
        <v>#N/A</v>
      </c>
      <c r="G220" s="15" t="e" cm="1">
        <f t="array" ref="G220">MMS_Poultry_Methane_Equations.VEERG_4_6_1_1__1_TotalAnnualMethaneEmissions(E$192, G173, E$197)</f>
        <v>#N/A</v>
      </c>
      <c r="H220" s="15" t="e" cm="1">
        <f t="array" ref="H220">MMS_Poultry_Methane_Equations.VEERG_4_6_1_1__1_TotalAnnualMethaneEmissions(F$192, H173, F$197)</f>
        <v>#N/A</v>
      </c>
      <c r="I220" s="15" t="e" cm="1">
        <f t="array" ref="I220">MMS_Poultry_Methane_Equations.VEERG_4_6_1_1__1_TotalAnnualMethaneEmissions(G$192, I173, G$197)</f>
        <v>#N/A</v>
      </c>
      <c r="N220" s="15"/>
      <c r="O220" s="15" t="str">
        <f>INDEX(X_Table_Poultry_Stage2MMS_ManureStoredInHouse,6,1)</f>
        <v>Direct application</v>
      </c>
      <c r="P220" s="15" cm="1">
        <f t="array" ref="P220">MMS_Poultry_Methane_Equations.VEERG_4_6_1_1__1_TotalAnnualMethaneEmissions(D$192, P173, D$197)</f>
        <v>0</v>
      </c>
      <c r="Q220" s="15" cm="1">
        <f t="array" ref="Q220">MMS_Poultry_Methane_Equations.VEERG_4_6_1_1__1_TotalAnnualMethaneEmissions(E$192, Q173, E$197)</f>
        <v>0</v>
      </c>
      <c r="R220" s="15" cm="1">
        <f t="array" ref="R220">MMS_Poultry_Methane_Equations.VEERG_4_6_1_1__1_TotalAnnualMethaneEmissions(F$192, R173, F$197)</f>
        <v>0</v>
      </c>
      <c r="S220" s="15" cm="1">
        <f t="array" ref="S220">MMS_Poultry_Methane_Equations.VEERG_4_6_1_1__1_TotalAnnualMethaneEmissions(G$192, S173, G$197)</f>
        <v>0</v>
      </c>
    </row>
    <row r="222" spans="1:20" ht="20.100000000000001" customHeight="1" x14ac:dyDescent="0.2">
      <c r="D222" s="85" t="s">
        <v>376</v>
      </c>
      <c r="E222" s="86" t="e">
        <f>SUM(F202:I220)</f>
        <v>#N/A</v>
      </c>
      <c r="F222" s="95" t="str">
        <f>$E$183</f>
        <v>t CH4</v>
      </c>
      <c r="N222" s="85" t="s">
        <v>376</v>
      </c>
      <c r="O222" s="86" t="e">
        <f>SUM(P202:S220)</f>
        <v>#N/A</v>
      </c>
      <c r="P222" s="95" t="str">
        <f>$E$183</f>
        <v>t CH4</v>
      </c>
    </row>
    <row r="224" spans="1:20" ht="20.100000000000001" customHeight="1" x14ac:dyDescent="0.2">
      <c r="D224" s="126" t="str" cm="1">
        <f t="array" ref="D224:E225">Common_Equations.Common_ConvertCH4ToCO2e_Arguments()</f>
        <v>ECH4</v>
      </c>
      <c r="E224" s="129" t="str">
        <v>Methane emissions (t CH4)</v>
      </c>
      <c r="F224" s="130"/>
      <c r="G224" s="15" t="e">
        <f>VEERG_4_6_1_1__1_TotalAnnualMethaneEmissions_Result_Method1</f>
        <v>#N/A</v>
      </c>
      <c r="N224" s="126" t="str" cm="1">
        <f t="array" ref="N224:O225">Common_Equations.Common_ConvertCH4ToCO2e_Arguments()</f>
        <v>ECH4</v>
      </c>
      <c r="O224" s="129" t="str">
        <v>Methane emissions (t CH4)</v>
      </c>
      <c r="P224" s="130"/>
      <c r="Q224" s="15" t="e">
        <f>VEERG_4_6_1_1__1_TotalAnnualMethaneEmissions_Result_Method2</f>
        <v>#N/A</v>
      </c>
    </row>
    <row r="225" spans="4:17" ht="20.100000000000001" customHeight="1" x14ac:dyDescent="0.2">
      <c r="D225" s="126" t="str">
        <v>GWPCH4</v>
      </c>
      <c r="E225" s="129" t="str">
        <v>Global warming potential for methane (t CO2-e / t CH4)</v>
      </c>
      <c r="F225" s="130"/>
      <c r="G225" s="15">
        <f>Common_InputFunctions.Utility_LookupValueInTableNumber("CH4", Table_GWPData[Gas],Table_GWPData[CO2-e factor])</f>
        <v>28</v>
      </c>
      <c r="N225" s="126" t="str">
        <v>GWPCH4</v>
      </c>
      <c r="O225" s="129" t="str">
        <v>Global warming potential for methane (t CO2-e / t CH4)</v>
      </c>
      <c r="P225" s="130"/>
      <c r="Q225" s="15">
        <f>Common_InputFunctions.Utility_LookupValueInTableNumber("CH4", Table_GWPData[Gas],Table_GWPData[CO2-e factor])</f>
        <v>28</v>
      </c>
    </row>
    <row r="227" spans="4:17" ht="20.100000000000001" customHeight="1" x14ac:dyDescent="0.2">
      <c r="D227" s="83" t="s">
        <v>377</v>
      </c>
      <c r="E227" s="83" t="e" cm="1">
        <f t="array" ref="E227">Common_Equations.Common_ConvertN2OToCO2e(G224,G225)</f>
        <v>#N/A</v>
      </c>
      <c r="F227" s="89" t="str" cm="1">
        <f t="array" ref="F227">Common_Equations.Common_ConvertN2OToCO2e_Unit()</f>
        <v>t CO2e</v>
      </c>
      <c r="N227" s="83" t="s">
        <v>377</v>
      </c>
      <c r="O227" s="83" t="e" cm="1">
        <f t="array" ref="O227">Common_Equations.Common_ConvertN2OToCO2e(Q224,Q225)</f>
        <v>#N/A</v>
      </c>
      <c r="P227" s="89" t="str" cm="1">
        <f t="array" ref="P227">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O182:T182 P157:S157 E269 O176:T176 P177:T177 G136 J132:J137 I136:I137 F138:I138 F133:F136 H132:H136 I133 P148:T148 I156:J156 F157:I157 S156:T156 P150:T150 P133:P135 R132:R135 S133" xr:uid="{42137F42-AD79-456F-A92C-7A462EFFD628}"/>
  </dataValidations>
  <pageMargins left="0.7" right="0.7" top="0.75" bottom="0.75" header="0.3" footer="0.3"/>
  <pageSetup paperSize="9"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246998-58E6-4DD2-9C9B-0D89D285E6FC}">
  <sheetPr>
    <tabColor rgb="FF008000"/>
  </sheetPr>
  <dimension ref="A1:U250"/>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378</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MMS_Poultry_N2ODirect_Equations.VEERG_4_6_1_3__5_NitrogenIntake_Title()</f>
        <v>Nitrogen intake of poultry</v>
      </c>
    </row>
    <row r="6" spans="1:21" ht="20.100000000000001" customHeight="1" x14ac:dyDescent="0.2">
      <c r="D6" s="17" t="str" cm="1">
        <f t="array" ref="D6">MMS_Poultry_N2ODirect_Equations.VEERG_4_6_1_3__5_NitrogenIntake_Source()</f>
        <v>VEERG 2026: 4.6.1.3, Equation (5)</v>
      </c>
    </row>
    <row r="7" spans="1:21" ht="20.100000000000001" customHeight="1" x14ac:dyDescent="0.2">
      <c r="D7" s="112" t="s">
        <v>328</v>
      </c>
      <c r="E7" s="112" t="str" cm="1">
        <f t="array" aca="1" ref="E7" ca="1">Common_InputFunctions.Utility_DisplayFunctionName(D30)</f>
        <v>=MMS_Poultry_N2ODirect_Equations.VEERG_4_6_1_3__5_NitrogenIntake</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MMS_Poultry_N2ODirect_Equations.VEERG_4_6_1_3__5_NitrogenIntake_Variable()</f>
        <v>NI_jk</v>
      </c>
    </row>
    <row r="11" spans="1:21" ht="20.100000000000001" customHeight="1" x14ac:dyDescent="0.2">
      <c r="A11" s="5" t="str">
        <f>HYPERLINK("#'Input - Poultry'!A1", "Poultry")</f>
        <v>Poultry</v>
      </c>
      <c r="D11" s="75" t="s">
        <v>118</v>
      </c>
      <c r="E11" s="9" t="str" cm="1">
        <f t="array" ref="E11">MMS_Poultry_N2ODirect_Equations.VEERG_4_6_1_3__5_NitrogenIntake_Unit()</f>
        <v>kg N/bird/day</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5">_xlfn.CHOOSECOLS(MMS_Poultry_N2ODirect_Equations.VEERG_4_6_1_3__5_NitrogenIntake_Arguments(),1,2)</f>
        <v>I_jk</v>
      </c>
      <c r="E13" s="113" t="str">
        <v>dry matter intake for each class and subclass</v>
      </c>
      <c r="F13" s="113"/>
      <c r="G13" s="113" t="str" cm="1">
        <f t="array" ref="G13:H15">_xlfn.CHOOSECOLS(MMS_Poultry_N2ODirect_Equations.VEERG_4_6_1_3__5_NitrogenIntake_Arguments(),3,4)</f>
        <v>kg DM/bird/day</v>
      </c>
      <c r="H13" s="114" t="str">
        <v>Input</v>
      </c>
      <c r="I13" s="116" t="str" cm="1">
        <f t="array" aca="1" ref="I13" ca="1">HYPERLINK(Common_InputFunctions.Utility_SourceHyperlink($D$17),$D$17)</f>
        <v>M1_Table_I_j_k</v>
      </c>
    </row>
    <row r="14" spans="1:21" ht="20.100000000000001" customHeight="1" x14ac:dyDescent="0.2">
      <c r="A14" s="5" t="str">
        <f>HYPERLINK("#'Input - Fuel'!A1", "Fuel")</f>
        <v>Fuel</v>
      </c>
      <c r="D14" s="113" t="str">
        <v>CP_jk</v>
      </c>
      <c r="E14" s="113" t="str">
        <v>crude protein content of feed</v>
      </c>
      <c r="F14" s="113"/>
      <c r="G14" s="113" t="str">
        <v>fraction</v>
      </c>
      <c r="H14" s="114" t="str">
        <v>Input</v>
      </c>
      <c r="I14" s="116" t="str" cm="1">
        <f t="array" aca="1" ref="I14" ca="1">HYPERLINK(Common_InputFunctions.Utility_SourceHyperlink($D$22),$D$22)</f>
        <v>M1_Table_CP_j_k</v>
      </c>
    </row>
    <row r="15" spans="1:21" ht="20.100000000000001" customHeight="1" x14ac:dyDescent="0.2">
      <c r="A15" s="5" t="str">
        <f>HYPERLINK("#'Input - Electricity'!A1", "Electricity")</f>
        <v>Electricity</v>
      </c>
      <c r="D15" s="113" t="str">
        <v>6.25</v>
      </c>
      <c r="E15" s="113" t="str">
        <v>factor for converting crude protein into nitrogen</v>
      </c>
      <c r="F15" s="113"/>
      <c r="G15" s="113" t="str">
        <v>ratio</v>
      </c>
      <c r="H15" s="115" t="str">
        <v>Constant</v>
      </c>
      <c r="I15" s="113" t="str">
        <f>$D$15</f>
        <v>6.25</v>
      </c>
    </row>
    <row r="16" spans="1:21" ht="20.100000000000001" customHeight="1" x14ac:dyDescent="0.2">
      <c r="A16" s="5" t="str">
        <f>HYPERLINK("#'Input - Common farm inputs'!A1", "Common farm inputs")</f>
        <v>Common farm inputs</v>
      </c>
    </row>
    <row r="17" spans="1:18" ht="20.100000000000001" customHeight="1" x14ac:dyDescent="0.2">
      <c r="A17" s="5" t="str">
        <f>HYPERLINK("#'Input - Livestock farm Inputs'!A1", "Livestock farm Inputs")</f>
        <v>Livestock farm Inputs</v>
      </c>
      <c r="D17" s="118" t="s">
        <v>330</v>
      </c>
      <c r="N17" s="118" t="s">
        <v>331</v>
      </c>
    </row>
    <row r="18" spans="1:18" ht="20.100000000000001" customHeight="1" x14ac:dyDescent="0.2">
      <c r="A18" s="5" t="str">
        <f>HYPERLINK("#'Input - Freight'!A1", "Freight")</f>
        <v>Freight</v>
      </c>
      <c r="D18" s="119" t="s">
        <v>332</v>
      </c>
      <c r="N18" s="119" t="s">
        <v>333</v>
      </c>
    </row>
    <row r="19" spans="1:18" ht="20.100000000000001" customHeight="1" x14ac:dyDescent="0.2">
      <c r="A19" s="5" t="str">
        <f>HYPERLINK("#'Input - Solid waste'!A1", "Solid waste")</f>
        <v>Solid waste</v>
      </c>
      <c r="D19" s="78" t="s">
        <v>297</v>
      </c>
      <c r="E19" s="78" t="s">
        <v>298</v>
      </c>
      <c r="F19" s="78" t="s">
        <v>299</v>
      </c>
      <c r="G19" s="78" t="s">
        <v>300</v>
      </c>
      <c r="N19" s="78" t="s">
        <v>297</v>
      </c>
      <c r="O19" s="78" t="s">
        <v>298</v>
      </c>
      <c r="P19" s="78" t="s">
        <v>299</v>
      </c>
      <c r="Q19" s="78" t="s">
        <v>300</v>
      </c>
    </row>
    <row r="20" spans="1:18" ht="20.100000000000001" customHeight="1" x14ac:dyDescent="0.2">
      <c r="A20" s="5" t="str">
        <f>HYPERLINK("#'Input - Manure sent off-site'!A1", "Manure sent off-site")</f>
        <v>Manure sent off-site</v>
      </c>
      <c r="D20" s="15">
        <f>INDEX(X_Table_Poultry_Diet_Method1,2,2)</f>
        <v>8.5999999999999993E-2</v>
      </c>
      <c r="E20" s="15">
        <f>INDEX(X_Table_Poultry_Diet_Method1,2,3)</f>
        <v>9.2999999999999999E-2</v>
      </c>
      <c r="F20" s="15">
        <f>INDEX(X_Table_Poultry_Diet_Method1,2,4)</f>
        <v>0.10299999999999999</v>
      </c>
      <c r="G20" s="15">
        <f>INDEX(X_Table_Poultry_Diet_Method1,2,5)</f>
        <v>9.2999999999999999E-2</v>
      </c>
      <c r="H20" s="16" t="str">
        <f>$G$13</f>
        <v>kg DM/bird/day</v>
      </c>
      <c r="N20" s="15">
        <f>INDEX(X_Table_Poultry_Diet_Method2,2,2)</f>
        <v>8.5999999999999993E-2</v>
      </c>
      <c r="O20" s="15">
        <f>INDEX(X_Table_Poultry_Diet_Method2,2,3)</f>
        <v>9.2999999999999999E-2</v>
      </c>
      <c r="P20" s="15">
        <f>INDEX(X_Table_Poultry_Diet_Method2,2,4)</f>
        <v>0.10299999999999999</v>
      </c>
      <c r="Q20" s="15">
        <f>INDEX(X_Table_Poultry_Diet_Method2,2,5)</f>
        <v>9.2999999999999999E-2</v>
      </c>
      <c r="R20" s="16" t="str">
        <f>$G$13</f>
        <v>kg DM/bird/day</v>
      </c>
    </row>
    <row r="21" spans="1:18" ht="20.100000000000001" customHeight="1" x14ac:dyDescent="0.2">
      <c r="A21" s="5" t="str">
        <f>HYPERLINK("#'Input - Data quality'!A1", "Data quality")</f>
        <v>Data quality</v>
      </c>
    </row>
    <row r="22" spans="1:18" ht="20.100000000000001" customHeight="1" x14ac:dyDescent="0.2">
      <c r="A22" s="5" t="str">
        <f>HYPERLINK("#'Input - Fert Prod System'!A1", "Fert Prod System")</f>
        <v>Fert Prod System</v>
      </c>
      <c r="D22" s="118" t="s">
        <v>379</v>
      </c>
      <c r="N22" s="118" t="s">
        <v>380</v>
      </c>
    </row>
    <row r="23" spans="1:18" ht="20.100000000000001" customHeight="1" x14ac:dyDescent="0.2">
      <c r="A23" s="5" t="str">
        <f>HYPERLINK("#'Input - Fertiliser'!A1", "Fertiliser")</f>
        <v>Fertiliser</v>
      </c>
      <c r="D23" s="119" t="s">
        <v>381</v>
      </c>
      <c r="E23" s="119"/>
      <c r="N23" s="119" t="s">
        <v>382</v>
      </c>
      <c r="O23" s="119"/>
    </row>
    <row r="24" spans="1:18" ht="20.100000000000001" customHeight="1" x14ac:dyDescent="0.2">
      <c r="D24" s="78" t="s">
        <v>297</v>
      </c>
      <c r="E24" s="78" t="s">
        <v>298</v>
      </c>
      <c r="F24" s="78" t="s">
        <v>299</v>
      </c>
      <c r="G24" s="78" t="s">
        <v>300</v>
      </c>
      <c r="N24" s="78" t="s">
        <v>297</v>
      </c>
      <c r="O24" s="78" t="s">
        <v>298</v>
      </c>
      <c r="P24" s="78" t="s">
        <v>299</v>
      </c>
      <c r="Q24" s="78" t="s">
        <v>300</v>
      </c>
    </row>
    <row r="25" spans="1:18" ht="20.100000000000001" customHeight="1" x14ac:dyDescent="0.2">
      <c r="D25" s="15">
        <f>INDEX(X_Table_Poultry_Diet_Method1,4,2)</f>
        <v>0.19</v>
      </c>
      <c r="E25" s="15">
        <f>INDEX(X_Table_Poultry_Diet_Method1,4,3)</f>
        <v>0.23</v>
      </c>
      <c r="F25" s="15">
        <f>INDEX(X_Table_Poultry_Diet_Method1,4,4)</f>
        <v>0.19</v>
      </c>
      <c r="G25" s="15">
        <f>INDEX(X_Table_Poultry_Diet_Method1,4,5)</f>
        <v>0.23</v>
      </c>
      <c r="H25" s="16" t="str">
        <f>$G$14</f>
        <v>fraction</v>
      </c>
      <c r="N25" s="15">
        <f>INDEX(X_Table_Poultry_Diet_Method2,4,2)</f>
        <v>0.19</v>
      </c>
      <c r="O25" s="15">
        <f>INDEX(X_Table_Poultry_Diet_Method2,4,3)</f>
        <v>0.23</v>
      </c>
      <c r="P25" s="15">
        <f>INDEX(X_Table_Poultry_Diet_Method2,4,4)</f>
        <v>0.19</v>
      </c>
      <c r="Q25" s="15">
        <f>INDEX(X_Table_Poultry_Diet_Method2,4,5)</f>
        <v>0.23</v>
      </c>
      <c r="R25" s="16" t="str">
        <f>$G$14</f>
        <v>fraction</v>
      </c>
    </row>
    <row r="26" spans="1:18" ht="20.100000000000001" customHeight="1" x14ac:dyDescent="0.2">
      <c r="A26" s="6" t="s">
        <v>2</v>
      </c>
    </row>
    <row r="27" spans="1:18" ht="20.100000000000001" customHeight="1" x14ac:dyDescent="0.2">
      <c r="A27" s="5" t="str">
        <f>HYPERLINK("#'4.6.1.1-2 Methane'!A1", "4.6.1.1-2 Manure Methane")</f>
        <v>4.6.1.1-2 Manure Methane</v>
      </c>
      <c r="D27" s="118" t="s">
        <v>383</v>
      </c>
      <c r="N27" s="118" t="s">
        <v>384</v>
      </c>
    </row>
    <row r="28" spans="1:18" ht="20.100000000000001" customHeight="1" x14ac:dyDescent="0.2">
      <c r="A28" s="117" t="str">
        <f>HYPERLINK("#'4.6.1.3-4 Direct N20'!A1", "4.6.1.3-4 Manure Direct N2O")</f>
        <v>4.6.1.3-4 Manure Direct N2O</v>
      </c>
      <c r="D28" s="119" t="s">
        <v>385</v>
      </c>
      <c r="E28" s="119"/>
      <c r="N28" s="119" t="s">
        <v>386</v>
      </c>
      <c r="O28" s="119"/>
    </row>
    <row r="29" spans="1:18" ht="20.100000000000001" customHeight="1" x14ac:dyDescent="0.2">
      <c r="A29" s="5" t="str">
        <f>HYPERLINK("#'4.6.1.5-6 Atmos Dep'!A1", "4.6.1.5-6 Manure Atmos Dep")</f>
        <v>4.6.1.5-6 Manure Atmos Dep</v>
      </c>
      <c r="D29" s="120" t="s">
        <v>297</v>
      </c>
      <c r="E29" s="120" t="s">
        <v>298</v>
      </c>
      <c r="F29" s="120" t="s">
        <v>299</v>
      </c>
      <c r="G29" s="120" t="s">
        <v>300</v>
      </c>
      <c r="N29" s="120" t="s">
        <v>297</v>
      </c>
      <c r="O29" s="120" t="s">
        <v>298</v>
      </c>
      <c r="P29" s="120" t="s">
        <v>299</v>
      </c>
      <c r="Q29" s="120" t="s">
        <v>300</v>
      </c>
    </row>
    <row r="30" spans="1:18" ht="20.100000000000001" customHeight="1" x14ac:dyDescent="0.2">
      <c r="A30" s="5" t="str">
        <f>HYPERLINK("#'4.6.1.7-8 Leaching and runoff'!A1", "4.6.1.7-8 Manure Leaching and runoff")</f>
        <v>4.6.1.7-8 Manure Leaching and runoff</v>
      </c>
      <c r="D30" s="15" cm="1">
        <f t="array" ref="D30">MMS_Poultry_N2ODirect_Equations.VEERG_4_6_1_3__5_NitrogenIntake(D20,D25)</f>
        <v>2.6144000000000002E-3</v>
      </c>
      <c r="E30" s="15" cm="1">
        <f t="array" ref="E30">MMS_Poultry_N2ODirect_Equations.VEERG_4_6_1_3__5_NitrogenIntake(E20,E25)</f>
        <v>3.4223999999999999E-3</v>
      </c>
      <c r="F30" s="15" cm="1">
        <f t="array" ref="F30">MMS_Poultry_N2ODirect_Equations.VEERG_4_6_1_3__5_NitrogenIntake(F20,F25)</f>
        <v>3.1312000000000002E-3</v>
      </c>
      <c r="G30" s="15" cm="1">
        <f t="array" ref="G30">MMS_Poultry_N2ODirect_Equations.VEERG_4_6_1_3__5_NitrogenIntake(G20,G25)</f>
        <v>3.4223999999999999E-3</v>
      </c>
      <c r="H30" s="16" t="str">
        <f>$E$11</f>
        <v>kg N/bird/day</v>
      </c>
      <c r="N30" s="15" cm="1">
        <f t="array" ref="N30">MMS_Poultry_N2ODirect_Equations.VEERG_4_6_1_3__5_NitrogenIntake(N20,N25)</f>
        <v>2.6144000000000002E-3</v>
      </c>
      <c r="O30" s="15" cm="1">
        <f t="array" ref="O30">MMS_Poultry_N2ODirect_Equations.VEERG_4_6_1_3__5_NitrogenIntake(O20,O25)</f>
        <v>3.4223999999999999E-3</v>
      </c>
      <c r="P30" s="15" cm="1">
        <f t="array" ref="P30">MMS_Poultry_N2ODirect_Equations.VEERG_4_6_1_3__5_NitrogenIntake(P20,P25)</f>
        <v>3.1312000000000002E-3</v>
      </c>
      <c r="Q30" s="15" cm="1">
        <f t="array" ref="Q30">MMS_Poultry_N2ODirect_Equations.VEERG_4_6_1_3__5_NitrogenIntake(Q20,Q25)</f>
        <v>3.4223999999999999E-3</v>
      </c>
      <c r="R30" s="16" t="str">
        <f>$E$11</f>
        <v>kg N/bird/day</v>
      </c>
    </row>
    <row r="31" spans="1:18" ht="20.100000000000001" customHeight="1" x14ac:dyDescent="0.2">
      <c r="A31" s="5" t="str">
        <f>HYPERLINK("#'4.6.1.9 Manure applied to soils'!A1", "4.6.1.9 Manure applied to soils")</f>
        <v>4.6.1.9 Manure applied to soils</v>
      </c>
    </row>
    <row r="32" spans="1:18" ht="20.100000000000001" customHeight="1" x14ac:dyDescent="0.2">
      <c r="A32" s="5" t="str">
        <f>HYPERLINK("#'4.6.1.10-11 Soil direct N2O'!A1", "4.6.1.10-11 Soil direct N2O")</f>
        <v>4.6.1.10-11 Soil direct N2O</v>
      </c>
    </row>
    <row r="33" spans="1:21" ht="20.100000000000001" customHeight="1" x14ac:dyDescent="0.2">
      <c r="A33" s="5" t="str">
        <f>HYPERLINK("#'4.6.1.12-13 Soil atmos dep'!A1", "4.6.1.12-13 Soil atmos dep")</f>
        <v>4.6.1.12-13 Soil atmos dep</v>
      </c>
      <c r="C33" s="83"/>
      <c r="D33" s="83"/>
      <c r="E33" s="83"/>
      <c r="F33" s="83"/>
      <c r="G33" s="83"/>
      <c r="H33" s="83"/>
      <c r="I33" s="83"/>
      <c r="J33" s="83"/>
      <c r="K33" s="83"/>
      <c r="M33" s="83"/>
      <c r="N33" s="83"/>
      <c r="O33" s="83"/>
      <c r="P33" s="83"/>
      <c r="Q33" s="83"/>
      <c r="R33" s="83"/>
      <c r="S33" s="83"/>
      <c r="T33" s="83"/>
      <c r="U33" s="83"/>
    </row>
    <row r="34" spans="1:21" ht="20.100000000000001" customHeight="1" x14ac:dyDescent="0.2">
      <c r="A34" s="5" t="str">
        <f>HYPERLINK("#'4.6.1.14-15 Soil leach runoff'!A1", "4.6.1.14-15 Soil leach runoff")</f>
        <v>4.6.1.14-15 Soil leach runoff</v>
      </c>
      <c r="D34" s="2" t="str" cm="1">
        <f t="array" ref="D34">MMS_Poultry_N2ODirect_Equations.VEERG_4_6_1_3__4_NitrogenExcretionPerBird_Title()</f>
        <v>Nitrogen excretion per bird per day</v>
      </c>
    </row>
    <row r="35" spans="1:21" ht="20.100000000000001" customHeight="1" x14ac:dyDescent="0.2">
      <c r="A35" s="5" t="str">
        <f>HYPERLINK("#'8.1.1.1-2 Transport fuel'!A1", "8.1.1.1-2 Transport fuel")</f>
        <v>8.1.1.1-2 Transport fuel</v>
      </c>
      <c r="D35" s="17" t="str" cm="1">
        <f t="array" ref="D35">MMS_Poultry_N2ODirect_Equations.VEERG_4_6_1_3__4_NitrogenExcretionPerBird_Source()</f>
        <v>VEERG 2026: 4.6.1.3, Equation (4)</v>
      </c>
    </row>
    <row r="36" spans="1:21" ht="20.100000000000001" customHeight="1" x14ac:dyDescent="0.2">
      <c r="A36" s="5" t="str">
        <f>HYPERLINK("#'8.2.1.1-2 Stationary fuel'!A1", "8.2.1.1-2 Stationary fuel")</f>
        <v>8.2.1.1-2 Stationary fuel</v>
      </c>
      <c r="D36" s="112" t="s">
        <v>328</v>
      </c>
      <c r="E36" s="112" t="str" cm="1">
        <f t="array" aca="1" ref="E36" ca="1">Common_InputFunctions.Utility_DisplayFunctionName(D53)</f>
        <v>=MMS_Poultry_N2ODirect_Equations.VEERG_4_6_1_3__4_NitrogenExcretionPerBird</v>
      </c>
    </row>
    <row r="37" spans="1:21" ht="20.100000000000001" customHeight="1" x14ac:dyDescent="0.2">
      <c r="A37" s="5" t="str">
        <f>HYPERLINK("#'10.1.1-2 Solid waste treatment'!A1", "10.1.1.1-2 Solid waste")</f>
        <v>10.1.1.1-2 Solid waste</v>
      </c>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D39" s="75" t="s">
        <v>329</v>
      </c>
      <c r="E39" s="1" t="str" cm="1">
        <f t="array" ref="E39">MMS_Poultry_N2ODirect_Equations.VEERG_4_6_1_3__4_NitrogenExcretionPerBird_Variable()</f>
        <v>NE_jk</v>
      </c>
    </row>
    <row r="40" spans="1:21" ht="20.100000000000001" customHeight="1" x14ac:dyDescent="0.2">
      <c r="A40" s="5" t="str">
        <f>HYPERLINK("#'Calcs - Manure sent off-site'!A1", "Calcs - Manure sent off-site")</f>
        <v>Calcs - Manure sent off-site</v>
      </c>
      <c r="D40" s="75" t="s">
        <v>118</v>
      </c>
      <c r="E40" s="9" t="str" cm="1">
        <f t="array" ref="E40">MMS_Poultry_N2ODirect_Equations.VEERG_4_6_1_3__4_NitrogenExcretionPerBird_Unit()</f>
        <v>kg N/bird/day</v>
      </c>
    </row>
    <row r="41" spans="1:21" ht="20.100000000000001" customHeight="1" x14ac:dyDescent="0.2">
      <c r="A41" s="5" t="str">
        <f>HYPERLINK("#'5.1.1.1-2 Inorganic fert N2O'!A1", "5.1.1.1-2 Inorganic fert N2O")</f>
        <v>5.1.1.1-2 Inorganic fert N2O</v>
      </c>
    </row>
    <row r="42" spans="1:21" ht="20.100000000000001" customHeight="1" x14ac:dyDescent="0.2">
      <c r="A42" s="5" t="str">
        <f>HYPERLINK("#'5.1.1.3-4 Inorganic fert CO2'!A1", "5.1.1.3-4 Inorganic fert CO2")</f>
        <v>5.1.1.3-4 Inorganic fert CO2</v>
      </c>
      <c r="D42" s="113" t="str" cm="1">
        <f t="array" ref="D42:E43">_xlfn.CHOOSECOLS(MMS_Poultry_N2ODirect_Equations.VEERG_4_6_1_3__4_NitrogenExcretionPerBird_Arguments(),1,2)</f>
        <v>NI_jk</v>
      </c>
      <c r="E42" s="122" t="str">
        <v>nitrogen intake</v>
      </c>
      <c r="F42" s="123"/>
      <c r="G42" s="113" t="str" cm="1">
        <f t="array" ref="G42:H43">_xlfn.CHOOSECOLS(MMS_Poultry_N2ODirect_Equations.VEERG_4_6_1_3__4_NitrogenExcretionPerBird_Arguments(),3,4)</f>
        <v>kg N/bird/day</v>
      </c>
      <c r="H42" s="115" t="str">
        <v>Calculated from 4.6.1.3 (5)</v>
      </c>
      <c r="I42" s="116" t="str" cm="1">
        <f t="array" aca="1" ref="I42" ca="1">HYPERLINK(Common_InputFunctions.Utility_SourceHyperlink($D$27),$D$27)</f>
        <v>M1_Table_NI_j_k</v>
      </c>
    </row>
    <row r="43" spans="1:21" ht="20.100000000000001" customHeight="1" x14ac:dyDescent="0.2">
      <c r="A43" s="5" t="str">
        <f>HYPERLINK("#'5.2.1.1-2 Organic Fert N2O'!A1", "5.2.1.1-2 Organic Fert N2O")</f>
        <v>5.2.1.1-2 Organic Fert N2O</v>
      </c>
      <c r="D43" s="113" t="str">
        <v>NR_jk</v>
      </c>
      <c r="E43" s="122" t="str">
        <v>nitrogen retention expressed as a fraction of intake</v>
      </c>
      <c r="F43" s="123"/>
      <c r="G43" s="113" t="str">
        <v>fraction</v>
      </c>
      <c r="H43" s="115" t="str">
        <v>Constant</v>
      </c>
      <c r="I43" s="116" t="str" cm="1">
        <f t="array" aca="1" ref="I43" ca="1">HYPERLINK(Common_InputFunctions.Utility_SourceHyperlink($D$45),$D$45)</f>
        <v>Table_NR_j_k</v>
      </c>
    </row>
    <row r="44" spans="1:21" ht="20.100000000000001" customHeight="1" x14ac:dyDescent="0.2">
      <c r="A44" s="5" t="str">
        <f>HYPERLINK("#'5.3.1.1-2 Lime CO2'!A1", "5.3.1.1-2 Lime CO2")</f>
        <v>5.3.1.1-2 Lime CO2</v>
      </c>
    </row>
    <row r="45" spans="1:21" ht="20.100000000000001" customHeight="1" x14ac:dyDescent="0.2">
      <c r="A45" s="5" t="str">
        <f>HYPERLINK("#'5.4.1.1-4 Atmos deposition'!A1", "5.4.1.1-4 Atmos deposition")</f>
        <v>5.4.1.1-4 Atmos deposition</v>
      </c>
      <c r="D45" s="118" t="s">
        <v>387</v>
      </c>
    </row>
    <row r="46" spans="1:21" ht="20.100000000000001" customHeight="1" x14ac:dyDescent="0.2">
      <c r="A46" s="5" t="str">
        <f>HYPERLINK("#'5.5.1.1-2 Leaching and runoff'!A1", "5.5.1.1-2 Leaching and runoff")</f>
        <v>5.5.1.1-2 Leaching and runoff</v>
      </c>
      <c r="D46" s="119" t="s">
        <v>388</v>
      </c>
      <c r="E46" s="119"/>
    </row>
    <row r="47" spans="1:21" ht="20.100000000000001" customHeight="1" x14ac:dyDescent="0.2">
      <c r="D47" s="120" t="s">
        <v>297</v>
      </c>
      <c r="E47" s="120" t="s">
        <v>298</v>
      </c>
      <c r="F47" s="120" t="s">
        <v>299</v>
      </c>
      <c r="G47" s="120" t="s">
        <v>300</v>
      </c>
    </row>
    <row r="48" spans="1:21" ht="20.100000000000001" customHeight="1" x14ac:dyDescent="0.2">
      <c r="D48" s="15">
        <f>'Constants - Poultry'!E12</f>
        <v>0.35</v>
      </c>
      <c r="E48" s="15">
        <f>'Constants - Poultry'!F12</f>
        <v>0.47</v>
      </c>
      <c r="F48" s="15">
        <f>'Constants - Poultry'!G12</f>
        <v>0.32</v>
      </c>
      <c r="G48" s="15">
        <f>'Constants - Poultry'!H12</f>
        <v>0.47</v>
      </c>
      <c r="H48" s="16" t="str">
        <f>$G$43</f>
        <v>fraction</v>
      </c>
    </row>
    <row r="49" spans="1:21" ht="20.100000000000001" customHeight="1" x14ac:dyDescent="0.2">
      <c r="A49" s="80" t="s">
        <v>1</v>
      </c>
    </row>
    <row r="50" spans="1:21" ht="20.100000000000001" customHeight="1" x14ac:dyDescent="0.2">
      <c r="A50" s="5" t="str">
        <f>HYPERLINK("#'Constants - Poultry'!A1", "Constants - Poultry")</f>
        <v>Constants - Poultry</v>
      </c>
      <c r="D50" s="118" t="s">
        <v>389</v>
      </c>
      <c r="N50" s="118" t="s">
        <v>390</v>
      </c>
    </row>
    <row r="51" spans="1:21" ht="20.100000000000001" customHeight="1" x14ac:dyDescent="0.2">
      <c r="A51" s="5" t="str">
        <f>HYPERLINK("#'Constants - Common livestock'!A1", "Constants - Common Livestock")</f>
        <v>Constants - Common Livestock</v>
      </c>
      <c r="D51" s="119" t="s">
        <v>391</v>
      </c>
      <c r="E51" s="119"/>
      <c r="N51" s="119" t="s">
        <v>392</v>
      </c>
      <c r="O51" s="119"/>
    </row>
    <row r="52" spans="1:21" ht="20.100000000000001" customHeight="1" x14ac:dyDescent="0.2">
      <c r="A52" s="5" t="str">
        <f>HYPERLINK("#'Constants - Electricity'!A1", "Constants - Electricity")</f>
        <v>Constants - Electricity</v>
      </c>
      <c r="D52" s="120" t="s">
        <v>297</v>
      </c>
      <c r="E52" s="120" t="s">
        <v>298</v>
      </c>
      <c r="F52" s="120" t="s">
        <v>299</v>
      </c>
      <c r="G52" s="120" t="s">
        <v>300</v>
      </c>
      <c r="N52" s="120" t="s">
        <v>297</v>
      </c>
      <c r="O52" s="120" t="s">
        <v>298</v>
      </c>
      <c r="P52" s="120" t="s">
        <v>299</v>
      </c>
      <c r="Q52" s="120" t="s">
        <v>300</v>
      </c>
    </row>
    <row r="53" spans="1:21" ht="20.100000000000001" customHeight="1" x14ac:dyDescent="0.2">
      <c r="A53" s="5" t="str">
        <f>HYPERLINK("#'Constants - Fertiliser'!A1", "Constants - Fertiliser")</f>
        <v>Constants - Fertiliser</v>
      </c>
      <c r="D53" s="15" cm="1">
        <f t="array" ref="D53">MMS_Poultry_N2ODirect_Equations.VEERG_4_6_1_3__4_NitrogenExcretionPerBird(D30,D48)</f>
        <v>1.6993600000000002E-3</v>
      </c>
      <c r="E53" s="15" cm="1">
        <f t="array" ref="E53">MMS_Poultry_N2ODirect_Equations.VEERG_4_6_1_3__4_NitrogenExcretionPerBird(E30,E48)</f>
        <v>1.813872E-3</v>
      </c>
      <c r="F53" s="15" cm="1">
        <f t="array" ref="F53">MMS_Poultry_N2ODirect_Equations.VEERG_4_6_1_3__4_NitrogenExcretionPerBird(F30,F48)</f>
        <v>2.1292159999999997E-3</v>
      </c>
      <c r="G53" s="15" cm="1">
        <f t="array" ref="G53">MMS_Poultry_N2ODirect_Equations.VEERG_4_6_1_3__4_NitrogenExcretionPerBird(G30,G48)</f>
        <v>1.813872E-3</v>
      </c>
      <c r="H53" s="16" t="str">
        <f>$E$40</f>
        <v>kg N/bird/day</v>
      </c>
      <c r="N53" s="15" cm="1">
        <f t="array" ref="N53">MMS_Poultry_N2ODirect_Equations.VEERG_4_6_1_3__4_NitrogenExcretionPerBird(N30,D48)</f>
        <v>1.6993600000000002E-3</v>
      </c>
      <c r="O53" s="15" cm="1">
        <f t="array" ref="O53">MMS_Poultry_N2ODirect_Equations.VEERG_4_6_1_3__4_NitrogenExcretionPerBird(O30,E48)</f>
        <v>1.813872E-3</v>
      </c>
      <c r="P53" s="15" cm="1">
        <f t="array" ref="P53">MMS_Poultry_N2ODirect_Equations.VEERG_4_6_1_3__4_NitrogenExcretionPerBird(P30,F48)</f>
        <v>2.1292159999999997E-3</v>
      </c>
      <c r="Q53" s="15" cm="1">
        <f t="array" ref="Q53">MMS_Poultry_N2ODirect_Equations.VEERG_4_6_1_3__4_NitrogenExcretionPerBird(Q30,G48)</f>
        <v>1.813872E-3</v>
      </c>
      <c r="R53" s="16" t="str">
        <f>$E$40</f>
        <v>kg N/bird/day</v>
      </c>
    </row>
    <row r="54" spans="1:21" ht="20.100000000000001" customHeight="1" x14ac:dyDescent="0.2">
      <c r="A54" s="5" t="str">
        <f>HYPERLINK("#'Constants - Fuel'!A1", "Constants - Fuel")</f>
        <v>Constants - Fuel</v>
      </c>
    </row>
    <row r="55" spans="1:21" ht="20.100000000000001" customHeight="1" x14ac:dyDescent="0.2">
      <c r="A55" s="5" t="str">
        <f>HYPERLINK("#'Constants - Scope 3'!A1", "Constants - Scope 3")</f>
        <v>Constants - Scope 3</v>
      </c>
    </row>
    <row r="56" spans="1:21" ht="20.100000000000001" customHeight="1" x14ac:dyDescent="0.2">
      <c r="A56" s="5" t="str">
        <f>HYPERLINK("#'Constants - Solid Waste'!A1", "Constants - Solid Waste")</f>
        <v>Constants - Solid Waste</v>
      </c>
      <c r="C56" s="83"/>
      <c r="D56" s="83"/>
      <c r="E56" s="83"/>
      <c r="F56" s="83"/>
      <c r="G56" s="83"/>
      <c r="H56" s="83"/>
      <c r="I56" s="83"/>
      <c r="J56" s="83"/>
      <c r="K56" s="83"/>
      <c r="M56" s="83"/>
      <c r="N56" s="83"/>
      <c r="O56" s="83"/>
      <c r="P56" s="83"/>
      <c r="Q56" s="83"/>
      <c r="R56" s="83"/>
      <c r="S56" s="83"/>
      <c r="T56" s="83"/>
      <c r="U56" s="83"/>
    </row>
    <row r="57" spans="1:21" ht="20.100000000000001" customHeight="1" x14ac:dyDescent="0.2">
      <c r="A57" s="5" t="str">
        <f>HYPERLINK("#'Constants - Common'!A1", "Constants - Common")</f>
        <v>Constants - Common</v>
      </c>
      <c r="D57" s="2" t="str" cm="1">
        <f t="array" ref="D57">MMS_Poultry_N2ODirect_Equations.VEERG_4_6_1_3__3_AnnualNitrogenExcretion_Title()</f>
        <v>Annual nitrogen excretion for each poultry class and subclass</v>
      </c>
    </row>
    <row r="58" spans="1:21" ht="20.100000000000001" customHeight="1" x14ac:dyDescent="0.2">
      <c r="D58" s="17" t="str" cm="1">
        <f t="array" ref="D58">MMS_Poultry_N2ODirect_Equations.VEERG_4_6_1_3__3_AnnualNitrogenExcretion_Source()</f>
        <v>VEERG 2026: 4.6.1.3, Equation (3)</v>
      </c>
    </row>
    <row r="59" spans="1:21" ht="20.100000000000001" customHeight="1" x14ac:dyDescent="0.2">
      <c r="D59" s="112" t="s">
        <v>328</v>
      </c>
      <c r="E59" s="112" t="str" cm="1">
        <f t="array" aca="1" ref="E59" ca="1">Common_InputFunctions.Utility_DisplayFunctionName(D82)</f>
        <v>=MMS_Poultry_N2ODirect_Equations.VEERG_4_6_1_3__3_AnnualNitrogenExcretion</v>
      </c>
    </row>
    <row r="62" spans="1:21" ht="20.100000000000001" customHeight="1" x14ac:dyDescent="0.2">
      <c r="D62" s="75" t="s">
        <v>329</v>
      </c>
      <c r="E62" s="1" t="str" cm="1">
        <f t="array" ref="E62">MMS_Poultry_N2ODirect_Equations.VEERG_4_6_1_3__3_AnnualNitrogenExcretion_Variable()</f>
        <v>AE_jk</v>
      </c>
    </row>
    <row r="63" spans="1:21" ht="20.100000000000001" customHeight="1" x14ac:dyDescent="0.2">
      <c r="D63" s="75" t="s">
        <v>118</v>
      </c>
      <c r="E63" s="9" t="str" cm="1">
        <f t="array" ref="E63">MMS_Poultry_N2ODirect_Equations.VEERG_4_6_1_3__3_AnnualNitrogenExcretion_Unit()</f>
        <v>kg N</v>
      </c>
    </row>
    <row r="65" spans="1:15" ht="20.100000000000001" customHeight="1" x14ac:dyDescent="0.2">
      <c r="D65" s="113" t="str" cm="1">
        <f t="array" ref="D65:E67">_xlfn.CHOOSECOLS(MMS_Poultry_N2ODirect_Equations.VEERG_4_6_1_3__3_AnnualNitrogenExcretion_Arguments(),1,2)</f>
        <v>N_jk</v>
      </c>
      <c r="E65" s="122" t="str">
        <v>number of poultry in each class and subclass</v>
      </c>
      <c r="F65" s="123"/>
      <c r="G65" s="113" t="str" cm="1">
        <f t="array" ref="G65:H67">_xlfn.CHOOSECOLS(MMS_Poultry_N2ODirect_Equations.VEERG_4_6_1_3__3_AnnualNitrogenExcretion_Arguments(),3,4)</f>
        <v>bird</v>
      </c>
      <c r="H65" s="114" t="str">
        <v>Input</v>
      </c>
      <c r="I65" s="116" t="str" cm="1">
        <f t="array" aca="1" ref="I65" ca="1">HYPERLINK(Common_InputFunctions.Utility_SourceHyperlink($D$69),$D$69)</f>
        <v>Table_N_j_k</v>
      </c>
    </row>
    <row r="66" spans="1:15" ht="20.100000000000001" customHeight="1" x14ac:dyDescent="0.2">
      <c r="D66" s="113" t="str">
        <v>NE_jk</v>
      </c>
      <c r="E66" s="122" t="str">
        <v>nitrogen excretion</v>
      </c>
      <c r="F66" s="123"/>
      <c r="G66" s="113" t="str">
        <v>kg N/bird/day</v>
      </c>
      <c r="H66" s="115" t="str">
        <v>Calculated from 4.6.1.3 (4)</v>
      </c>
      <c r="I66" s="116" t="str" cm="1">
        <f t="array" aca="1" ref="I66" ca="1">HYPERLINK(Common_InputFunctions.Utility_SourceHyperlink($D$50),$D$50)</f>
        <v>M1_Table_NE_j_k</v>
      </c>
    </row>
    <row r="67" spans="1:15" ht="20.100000000000001" customHeight="1" x14ac:dyDescent="0.2">
      <c r="D67" s="113" t="str">
        <v>D_jk</v>
      </c>
      <c r="E67" s="122" t="str">
        <v>duration of stay of each class and subclass</v>
      </c>
      <c r="F67" s="123"/>
      <c r="G67" s="113" t="str">
        <v>days</v>
      </c>
      <c r="H67" s="114" t="str">
        <v>Input</v>
      </c>
      <c r="I67" s="116" t="str" cm="1">
        <f t="array" aca="1" ref="I67" ca="1">HYPERLINK(Common_InputFunctions.Utility_SourceHyperlink($D$74),$D$74)</f>
        <v>Table_D_j_k</v>
      </c>
    </row>
    <row r="68" spans="1:15" ht="20.100000000000001" customHeight="1" x14ac:dyDescent="0.2">
      <c r="A68" s="79" t="str">
        <f>HYPERLINK("#A1", "▲ Back to top")</f>
        <v>▲ Back to top</v>
      </c>
    </row>
    <row r="69" spans="1:15" ht="20.100000000000001" customHeight="1" x14ac:dyDescent="0.2">
      <c r="D69" s="118" t="s">
        <v>370</v>
      </c>
    </row>
    <row r="70" spans="1:15" ht="20.100000000000001" customHeight="1" x14ac:dyDescent="0.2">
      <c r="D70" s="119" t="s">
        <v>371</v>
      </c>
      <c r="E70" s="119"/>
    </row>
    <row r="71" spans="1:15" ht="20.100000000000001" customHeight="1" x14ac:dyDescent="0.2">
      <c r="D71" s="78" t="s">
        <v>297</v>
      </c>
      <c r="E71" s="78" t="s">
        <v>298</v>
      </c>
      <c r="F71" s="78" t="s">
        <v>299</v>
      </c>
      <c r="G71" s="78" t="s">
        <v>300</v>
      </c>
    </row>
    <row r="72" spans="1:15" ht="20.100000000000001" customHeight="1" x14ac:dyDescent="0.2">
      <c r="D72" s="15">
        <f>INDEX(X_Table_Poultry_Movement,3,2)</f>
        <v>100</v>
      </c>
      <c r="E72" s="15">
        <f>INDEX(X_Table_Poultry_Movement,3,3)</f>
        <v>100</v>
      </c>
      <c r="F72" s="15">
        <f>INDEX(X_Table_Poultry_Movement,3,4)</f>
        <v>100</v>
      </c>
      <c r="G72" s="15">
        <f>INDEX(X_Table_Poultry_Movement,3,5)</f>
        <v>100</v>
      </c>
      <c r="H72" s="16" t="str">
        <f>$G$65</f>
        <v>bird</v>
      </c>
    </row>
    <row r="74" spans="1:15" ht="20.100000000000001" customHeight="1" x14ac:dyDescent="0.2">
      <c r="D74" s="118" t="s">
        <v>368</v>
      </c>
    </row>
    <row r="75" spans="1:15" ht="20.100000000000001" customHeight="1" x14ac:dyDescent="0.2">
      <c r="D75" s="119" t="s">
        <v>369</v>
      </c>
      <c r="E75" s="119"/>
    </row>
    <row r="76" spans="1:15" ht="20.100000000000001" customHeight="1" x14ac:dyDescent="0.2">
      <c r="D76" s="78" t="s">
        <v>297</v>
      </c>
      <c r="E76" s="78" t="s">
        <v>298</v>
      </c>
      <c r="F76" s="78" t="s">
        <v>299</v>
      </c>
      <c r="G76" s="78" t="s">
        <v>300</v>
      </c>
    </row>
    <row r="77" spans="1:15" ht="20.100000000000001" customHeight="1" x14ac:dyDescent="0.2">
      <c r="D77" s="15">
        <f>INDEX(X_Table_Poultry_Movement,3,2)</f>
        <v>100</v>
      </c>
      <c r="E77" s="15">
        <f>INDEX(X_Table_Poultry_Movement,3,3)</f>
        <v>100</v>
      </c>
      <c r="F77" s="15">
        <f>INDEX(X_Table_Poultry_Movement,3,4)</f>
        <v>100</v>
      </c>
      <c r="G77" s="15">
        <f>INDEX(X_Table_Poultry_Movement,3,5)</f>
        <v>100</v>
      </c>
      <c r="H77" s="16" t="str">
        <f>$G$67</f>
        <v>days</v>
      </c>
    </row>
    <row r="79" spans="1:15" ht="20.100000000000001" customHeight="1" x14ac:dyDescent="0.2">
      <c r="D79" s="118" t="s">
        <v>393</v>
      </c>
      <c r="N79" s="118" t="s">
        <v>394</v>
      </c>
    </row>
    <row r="80" spans="1:15" ht="20.100000000000001" customHeight="1" x14ac:dyDescent="0.2">
      <c r="D80" s="119" t="s">
        <v>395</v>
      </c>
      <c r="E80" s="119"/>
      <c r="N80" s="119" t="s">
        <v>396</v>
      </c>
      <c r="O80" s="119"/>
    </row>
    <row r="81" spans="3:21" ht="20.100000000000001" customHeight="1" x14ac:dyDescent="0.2">
      <c r="D81" s="120" t="s">
        <v>297</v>
      </c>
      <c r="E81" s="120" t="s">
        <v>298</v>
      </c>
      <c r="F81" s="120" t="s">
        <v>299</v>
      </c>
      <c r="G81" s="120" t="s">
        <v>300</v>
      </c>
      <c r="N81" s="120" t="s">
        <v>297</v>
      </c>
      <c r="O81" s="120" t="s">
        <v>298</v>
      </c>
      <c r="P81" s="120" t="s">
        <v>299</v>
      </c>
      <c r="Q81" s="120" t="s">
        <v>300</v>
      </c>
    </row>
    <row r="82" spans="3:21" ht="20.100000000000001" customHeight="1" x14ac:dyDescent="0.2">
      <c r="D82" s="15" cm="1">
        <f t="array" ref="D82">MMS_Poultry_N2ODirect_Equations.VEERG_4_6_1_3__3_AnnualNitrogenExcretion(D72,D53,D77)</f>
        <v>16.993600000000004</v>
      </c>
      <c r="E82" s="15" cm="1">
        <f t="array" ref="E82">MMS_Poultry_N2ODirect_Equations.VEERG_4_6_1_3__3_AnnualNitrogenExcretion(E72,E53,E77)</f>
        <v>18.138719999999999</v>
      </c>
      <c r="F82" s="15" cm="1">
        <f t="array" ref="F82">MMS_Poultry_N2ODirect_Equations.VEERG_4_6_1_3__3_AnnualNitrogenExcretion(F72,F53,F77)</f>
        <v>21.292159999999999</v>
      </c>
      <c r="G82" s="15" cm="1">
        <f t="array" ref="G82">MMS_Poultry_N2ODirect_Equations.VEERG_4_6_1_3__3_AnnualNitrogenExcretion(G72,G53,G77)</f>
        <v>18.138719999999999</v>
      </c>
      <c r="H82" s="16" t="str">
        <f>$E$63</f>
        <v>kg N</v>
      </c>
      <c r="N82" s="15" cm="1">
        <f t="array" ref="N82">MMS_Poultry_N2ODirect_Equations.VEERG_4_6_1_3__3_AnnualNitrogenExcretion(D72,N53,D77)</f>
        <v>16.993600000000004</v>
      </c>
      <c r="O82" s="15" cm="1">
        <f t="array" ref="O82">MMS_Poultry_N2ODirect_Equations.VEERG_4_6_1_3__3_AnnualNitrogenExcretion(E72,O53,E77)</f>
        <v>18.138719999999999</v>
      </c>
      <c r="P82" s="15" cm="1">
        <f t="array" ref="P82">MMS_Poultry_N2ODirect_Equations.VEERG_4_6_1_3__3_AnnualNitrogenExcretion(F72,P53,F77)</f>
        <v>21.292159999999999</v>
      </c>
      <c r="Q82" s="15" cm="1">
        <f t="array" ref="Q82">MMS_Poultry_N2ODirect_Equations.VEERG_4_6_1_3__3_AnnualNitrogenExcretion(G72,Q53,G77)</f>
        <v>18.138719999999999</v>
      </c>
      <c r="R82" s="16" t="str">
        <f>$E$63</f>
        <v>kg N</v>
      </c>
    </row>
    <row r="85" spans="3:21" ht="20.100000000000001" customHeight="1" x14ac:dyDescent="0.2">
      <c r="C85" s="83"/>
      <c r="D85" s="83"/>
      <c r="E85" s="83"/>
      <c r="F85" s="83"/>
      <c r="G85" s="83"/>
      <c r="H85" s="83"/>
      <c r="I85" s="83"/>
      <c r="J85" s="83"/>
      <c r="K85" s="83"/>
      <c r="M85" s="83"/>
      <c r="N85" s="83"/>
      <c r="O85" s="83"/>
      <c r="P85" s="83"/>
      <c r="Q85" s="83"/>
      <c r="R85" s="83"/>
      <c r="S85" s="83"/>
      <c r="T85" s="83"/>
      <c r="U85" s="83"/>
    </row>
    <row r="86" spans="3:21" ht="20.100000000000001" customHeight="1" x14ac:dyDescent="0.2">
      <c r="D86" s="2" t="str" cm="1">
        <f t="array" ref="D86">MMS_Poultry_N2ODirect_Equations.VEERG_4_6_1_3__2_Stage1NitrogenInMMS_Title()</f>
        <v>Nitrogen in treatment stage 1 MMS</v>
      </c>
    </row>
    <row r="87" spans="3:21" ht="20.100000000000001" customHeight="1" x14ac:dyDescent="0.2">
      <c r="D87" s="17" t="str" cm="1">
        <f t="array" ref="D87">MMS_Poultry_N2ODirect_Equations.VEERG_4_6_1_3__2_Stage1NitrogenInMMS_Source()</f>
        <v>VEERG 2026: 4.6.1.3, Equation (2)</v>
      </c>
    </row>
    <row r="88" spans="3:21" ht="20.100000000000001" customHeight="1" x14ac:dyDescent="0.2">
      <c r="D88" s="112" t="s">
        <v>328</v>
      </c>
      <c r="E88" s="112" t="str" cm="1">
        <f t="array" aca="1" ref="E88" ca="1">Common_InputFunctions.Utility_DisplayFunctionName(E108)</f>
        <v>=MMS_Poultry_N2ODirect_Equations.VEERG_4_6_1_3__2_Stage1NitrogenInMMS</v>
      </c>
    </row>
    <row r="91" spans="3:21" ht="20.100000000000001" customHeight="1" x14ac:dyDescent="0.2">
      <c r="D91" s="75" t="s">
        <v>329</v>
      </c>
      <c r="E91" s="1" t="str" cm="1">
        <f t="array" ref="E91">MMS_Poultry_N2ODirect_Equations.VEERG_4_6_1_3__2_Stage1NitrogenInMMS_Variable()</f>
        <v>MN_jkmT1</v>
      </c>
    </row>
    <row r="92" spans="3:21" ht="20.100000000000001" customHeight="1" x14ac:dyDescent="0.2">
      <c r="D92" s="75" t="s">
        <v>118</v>
      </c>
      <c r="E92" s="9" t="str" cm="1">
        <f t="array" ref="E92">MMS_Poultry_N2ODirect_Equations.VEERG_4_6_1_3__2_Stage1NitrogenInMMS_Unit()</f>
        <v>kg N</v>
      </c>
    </row>
    <row r="94" spans="3:21" ht="20.100000000000001" customHeight="1" x14ac:dyDescent="0.2">
      <c r="D94" s="113" t="str" cm="1">
        <f t="array" ref="D94:E95">_xlfn.CHOOSECOLS(MMS_Poultry_N2ODirect_Equations.VEERG_4_6_1_3__2_Stage1NitrogenInMMS_Arguments(),1,2)</f>
        <v>AE_jk</v>
      </c>
      <c r="E94" s="113" t="str">
        <v>total nitrogen excreted by each poultry class and subclass</v>
      </c>
      <c r="F94" s="113"/>
      <c r="G94" s="113" t="str" cm="1">
        <f t="array" ref="G94:H95">_xlfn.CHOOSECOLS(MMS_Poultry_N2ODirect_Equations.VEERG_4_6_1_3__2_Stage1NitrogenInMMS_Arguments(),3,4)</f>
        <v>kg N</v>
      </c>
      <c r="H94" s="115" t="str">
        <v>Calculated from 4.6.1.3 (3)</v>
      </c>
      <c r="I94" s="116" t="str" cm="1">
        <f t="array" aca="1" ref="I94" ca="1">HYPERLINK(Common_InputFunctions.Utility_SourceHyperlink($D$79),$D$79)</f>
        <v>M1_Table_AE_j_k</v>
      </c>
    </row>
    <row r="95" spans="3:21" ht="20.100000000000001" customHeight="1" x14ac:dyDescent="0.2">
      <c r="D95" s="113" t="str">
        <v>MMS_jmT1</v>
      </c>
      <c r="E95" s="113" t="str">
        <v>fraction of manure in each primary system</v>
      </c>
      <c r="F95" s="113"/>
      <c r="G95" s="113" t="str">
        <v>fraction</v>
      </c>
      <c r="H95" s="114" t="str">
        <v>Input</v>
      </c>
      <c r="I95" s="116" t="str" cm="1">
        <f t="array" aca="1" ref="I95" ca="1">HYPERLINK(Common_InputFunctions.Utility_SourceHyperlink($D$97),$D$97)</f>
        <v>Table_MMS_j_m_T-1</v>
      </c>
    </row>
    <row r="97" spans="1:19" ht="20.100000000000001" customHeight="1" x14ac:dyDescent="0.2">
      <c r="D97" s="118" t="s">
        <v>344</v>
      </c>
    </row>
    <row r="98" spans="1:19" ht="20.100000000000001" customHeight="1" x14ac:dyDescent="0.2">
      <c r="A98" s="79" t="str">
        <f>HYPERLINK("#A1", "▲ Back to top")</f>
        <v>▲ Back to top</v>
      </c>
      <c r="D98" s="119" t="s">
        <v>345</v>
      </c>
    </row>
    <row r="99" spans="1:19" ht="20.100000000000001" customHeight="1" x14ac:dyDescent="0.2">
      <c r="D99" s="78" t="s">
        <v>314</v>
      </c>
      <c r="E99" s="78" t="s">
        <v>297</v>
      </c>
      <c r="F99" s="78" t="s">
        <v>298</v>
      </c>
      <c r="G99" s="78" t="s">
        <v>299</v>
      </c>
      <c r="H99" s="78" t="s">
        <v>300</v>
      </c>
    </row>
    <row r="100" spans="1:19" ht="20.100000000000001" customHeight="1" x14ac:dyDescent="0.2">
      <c r="D100" s="15" t="str">
        <f>INDEX(X_Table_Poultry_Stage1MMS,2,1)</f>
        <v>Poultry manure with bedding</v>
      </c>
      <c r="E100" s="15">
        <f>INDEX(X_Table_Poultry_Stage1MMS,2,2)</f>
        <v>0.3</v>
      </c>
      <c r="F100" s="15">
        <f>INDEX(X_Table_Poultry_Stage1MMS,2,3)</f>
        <v>0.3</v>
      </c>
      <c r="G100" s="15">
        <f>INDEX(X_Table_Poultry_Stage1MMS,2,4)</f>
        <v>0.3</v>
      </c>
      <c r="H100" s="15">
        <f>INDEX(X_Table_Poultry_Stage1MMS,2,5)</f>
        <v>0.3</v>
      </c>
      <c r="I100" s="16" t="str">
        <f>$G$95</f>
        <v>fraction</v>
      </c>
    </row>
    <row r="101" spans="1:19" ht="20.100000000000001" customHeight="1" x14ac:dyDescent="0.2">
      <c r="D101" s="15" t="str">
        <f>INDEX(X_Table_Poultry_Stage1MMS,3,1)</f>
        <v>Belt manure removal</v>
      </c>
      <c r="E101" s="15">
        <f>INDEX(X_Table_Poultry_Stage1MMS,3,2)</f>
        <v>0.3</v>
      </c>
      <c r="F101" s="15">
        <f>INDEX(X_Table_Poultry_Stage1MMS,3,3)</f>
        <v>0.3</v>
      </c>
      <c r="G101" s="15">
        <f>INDEX(X_Table_Poultry_Stage1MMS,3,4)</f>
        <v>0.3</v>
      </c>
      <c r="H101" s="15">
        <f>INDEX(X_Table_Poultry_Stage1MMS,3,5)</f>
        <v>0.3</v>
      </c>
      <c r="I101" s="16"/>
    </row>
    <row r="102" spans="1:19" ht="20.100000000000001" customHeight="1" x14ac:dyDescent="0.2">
      <c r="D102" s="15" t="str">
        <f>INDEX(X_Table_Poultry_Stage1MMS,4,1)</f>
        <v>Manure stored in house</v>
      </c>
      <c r="E102" s="15">
        <f>INDEX(X_Table_Poultry_Stage1MMS,4,2)</f>
        <v>0.3</v>
      </c>
      <c r="F102" s="15">
        <f>INDEX(X_Table_Poultry_Stage1MMS,4,3)</f>
        <v>0.3</v>
      </c>
      <c r="G102" s="15">
        <f>INDEX(X_Table_Poultry_Stage1MMS,4,4)</f>
        <v>0.3</v>
      </c>
      <c r="H102" s="15">
        <f>INDEX(X_Table_Poultry_Stage1MMS,4,5)</f>
        <v>0.3</v>
      </c>
      <c r="I102" s="16"/>
    </row>
    <row r="103" spans="1:19" ht="20.100000000000001" customHeight="1" x14ac:dyDescent="0.2">
      <c r="D103" s="15" t="str">
        <f>INDEX(X_Table_Poultry_Stage1MMS,5,1)</f>
        <v>Pasture range and paddock</v>
      </c>
      <c r="E103" s="15">
        <f>INDEX(X_Table_Poultry_Stage1MMS,5,2)</f>
        <v>0.1</v>
      </c>
      <c r="F103" s="15">
        <f>INDEX(X_Table_Poultry_Stage1MMS,5,3)</f>
        <v>0.1</v>
      </c>
      <c r="G103" s="15">
        <f>INDEX(X_Table_Poultry_Stage1MMS,5,4)</f>
        <v>0.1</v>
      </c>
      <c r="H103" s="15">
        <f>INDEX(X_Table_Poultry_Stage1MMS,5,5)</f>
        <v>0.1</v>
      </c>
      <c r="I103" s="16"/>
    </row>
    <row r="105" spans="1:19" ht="20.100000000000001" customHeight="1" x14ac:dyDescent="0.2">
      <c r="D105" s="118" t="s">
        <v>397</v>
      </c>
      <c r="N105" s="118" t="s">
        <v>398</v>
      </c>
    </row>
    <row r="106" spans="1:19" ht="20.100000000000001" customHeight="1" x14ac:dyDescent="0.2">
      <c r="D106" s="119" t="s">
        <v>399</v>
      </c>
      <c r="N106" s="119" t="s">
        <v>400</v>
      </c>
    </row>
    <row r="107" spans="1:19" ht="20.100000000000001" customHeight="1" x14ac:dyDescent="0.2">
      <c r="D107" s="120" t="s">
        <v>314</v>
      </c>
      <c r="E107" s="120" t="s">
        <v>297</v>
      </c>
      <c r="F107" s="120" t="s">
        <v>298</v>
      </c>
      <c r="G107" s="120" t="s">
        <v>299</v>
      </c>
      <c r="H107" s="120" t="s">
        <v>300</v>
      </c>
      <c r="N107" s="120" t="s">
        <v>314</v>
      </c>
      <c r="O107" s="120" t="s">
        <v>297</v>
      </c>
      <c r="P107" s="120" t="s">
        <v>298</v>
      </c>
      <c r="Q107" s="120" t="s">
        <v>299</v>
      </c>
      <c r="R107" s="120" t="s">
        <v>300</v>
      </c>
    </row>
    <row r="108" spans="1:19" ht="20.100000000000001" customHeight="1" x14ac:dyDescent="0.2">
      <c r="D108" s="15" t="str">
        <f>INDEX(X_Table_Poultry_Stage1MMS,2,1)</f>
        <v>Poultry manure with bedding</v>
      </c>
      <c r="E108" s="15" cm="1">
        <f t="array" ref="E108">MMS_Poultry_N2ODirect_Equations.VEERG_4_6_1_3__2_Stage1NitrogenInMMS(D$82,E100)</f>
        <v>5.0980800000000013</v>
      </c>
      <c r="F108" s="15" cm="1">
        <f t="array" ref="F108">MMS_Poultry_N2ODirect_Equations.VEERG_4_6_1_3__2_Stage1NitrogenInMMS(E$82,F100)</f>
        <v>5.4416159999999998</v>
      </c>
      <c r="G108" s="15" cm="1">
        <f t="array" ref="G108">MMS_Poultry_N2ODirect_Equations.VEERG_4_6_1_3__2_Stage1NitrogenInMMS(F$82,G100)</f>
        <v>6.3876479999999995</v>
      </c>
      <c r="H108" s="15" cm="1">
        <f t="array" ref="H108">MMS_Poultry_N2ODirect_Equations.VEERG_4_6_1_3__2_Stage1NitrogenInMMS(G$82,H100)</f>
        <v>5.4416159999999998</v>
      </c>
      <c r="I108" s="16" t="str">
        <f>$E$92</f>
        <v>kg N</v>
      </c>
      <c r="N108" s="15" t="str">
        <f>INDEX(X_Table_Poultry_Stage1MMS,2,1)</f>
        <v>Poultry manure with bedding</v>
      </c>
      <c r="O108" s="15" cm="1">
        <f t="array" ref="O108">MMS_Poultry_N2ODirect_Equations.VEERG_4_6_1_3__2_Stage1NitrogenInMMS(N$82,E100)</f>
        <v>5.0980800000000013</v>
      </c>
      <c r="P108" s="15" cm="1">
        <f t="array" ref="P108">MMS_Poultry_N2ODirect_Equations.VEERG_4_6_1_3__2_Stage1NitrogenInMMS(O$82,F100)</f>
        <v>5.4416159999999998</v>
      </c>
      <c r="Q108" s="15" cm="1">
        <f t="array" ref="Q108">MMS_Poultry_N2ODirect_Equations.VEERG_4_6_1_3__2_Stage1NitrogenInMMS(P$82,G100)</f>
        <v>6.3876479999999995</v>
      </c>
      <c r="R108" s="15" cm="1">
        <f t="array" ref="R108">MMS_Poultry_N2ODirect_Equations.VEERG_4_6_1_3__2_Stage1NitrogenInMMS(Q$82,H100)</f>
        <v>5.4416159999999998</v>
      </c>
      <c r="S108" s="16" t="str">
        <f>$E$92</f>
        <v>kg N</v>
      </c>
    </row>
    <row r="109" spans="1:19" ht="20.100000000000001" customHeight="1" x14ac:dyDescent="0.2">
      <c r="D109" s="15" t="str">
        <f>INDEX(X_Table_Poultry_Stage1MMS,3,1)</f>
        <v>Belt manure removal</v>
      </c>
      <c r="E109" s="15" cm="1">
        <f t="array" ref="E109">MMS_Poultry_N2ODirect_Equations.VEERG_4_6_1_3__2_Stage1NitrogenInMMS(D$82,E101)</f>
        <v>5.0980800000000013</v>
      </c>
      <c r="F109" s="15" cm="1">
        <f t="array" ref="F109">MMS_Poultry_N2ODirect_Equations.VEERG_4_6_1_3__2_Stage1NitrogenInMMS(E$82,F101)</f>
        <v>5.4416159999999998</v>
      </c>
      <c r="G109" s="15" cm="1">
        <f t="array" ref="G109">MMS_Poultry_N2ODirect_Equations.VEERG_4_6_1_3__2_Stage1NitrogenInMMS(F$82,G101)</f>
        <v>6.3876479999999995</v>
      </c>
      <c r="H109" s="15" cm="1">
        <f t="array" ref="H109">MMS_Poultry_N2ODirect_Equations.VEERG_4_6_1_3__2_Stage1NitrogenInMMS(G$82,H101)</f>
        <v>5.4416159999999998</v>
      </c>
      <c r="I109" s="16"/>
      <c r="N109" s="15" t="str">
        <f>INDEX(X_Table_Poultry_Stage1MMS,3,1)</f>
        <v>Belt manure removal</v>
      </c>
      <c r="O109" s="15" cm="1">
        <f t="array" ref="O109">MMS_Poultry_N2ODirect_Equations.VEERG_4_6_1_3__2_Stage1NitrogenInMMS(N$82,E101)</f>
        <v>5.0980800000000013</v>
      </c>
      <c r="P109" s="15" cm="1">
        <f t="array" ref="P109">MMS_Poultry_N2ODirect_Equations.VEERG_4_6_1_3__2_Stage1NitrogenInMMS(O$82,F101)</f>
        <v>5.4416159999999998</v>
      </c>
      <c r="Q109" s="15" cm="1">
        <f t="array" ref="Q109">MMS_Poultry_N2ODirect_Equations.VEERG_4_6_1_3__2_Stage1NitrogenInMMS(P$82,G101)</f>
        <v>6.3876479999999995</v>
      </c>
      <c r="R109" s="15" cm="1">
        <f t="array" ref="R109">MMS_Poultry_N2ODirect_Equations.VEERG_4_6_1_3__2_Stage1NitrogenInMMS(Q$82,H101)</f>
        <v>5.4416159999999998</v>
      </c>
      <c r="S109" s="16"/>
    </row>
    <row r="110" spans="1:19" ht="20.100000000000001" customHeight="1" x14ac:dyDescent="0.2">
      <c r="D110" s="15" t="str">
        <f>INDEX(X_Table_Poultry_Stage1MMS,4,1)</f>
        <v>Manure stored in house</v>
      </c>
      <c r="E110" s="15" cm="1">
        <f t="array" ref="E110">MMS_Poultry_N2ODirect_Equations.VEERG_4_6_1_3__2_Stage1NitrogenInMMS(D$82,E102)</f>
        <v>5.0980800000000013</v>
      </c>
      <c r="F110" s="15" cm="1">
        <f t="array" ref="F110">MMS_Poultry_N2ODirect_Equations.VEERG_4_6_1_3__2_Stage1NitrogenInMMS(E$82,F102)</f>
        <v>5.4416159999999998</v>
      </c>
      <c r="G110" s="15" cm="1">
        <f t="array" ref="G110">MMS_Poultry_N2ODirect_Equations.VEERG_4_6_1_3__2_Stage1NitrogenInMMS(F$82,G102)</f>
        <v>6.3876479999999995</v>
      </c>
      <c r="H110" s="15" cm="1">
        <f t="array" ref="H110">MMS_Poultry_N2ODirect_Equations.VEERG_4_6_1_3__2_Stage1NitrogenInMMS(G$82,H102)</f>
        <v>5.4416159999999998</v>
      </c>
      <c r="I110" s="16"/>
      <c r="N110" s="15" t="str">
        <f>INDEX(X_Table_Poultry_Stage1MMS,4,1)</f>
        <v>Manure stored in house</v>
      </c>
      <c r="O110" s="15" cm="1">
        <f t="array" ref="O110">MMS_Poultry_N2ODirect_Equations.VEERG_4_6_1_3__2_Stage1NitrogenInMMS(N$82,E102)</f>
        <v>5.0980800000000013</v>
      </c>
      <c r="P110" s="15" cm="1">
        <f t="array" ref="P110">MMS_Poultry_N2ODirect_Equations.VEERG_4_6_1_3__2_Stage1NitrogenInMMS(O$82,F102)</f>
        <v>5.4416159999999998</v>
      </c>
      <c r="Q110" s="15" cm="1">
        <f t="array" ref="Q110">MMS_Poultry_N2ODirect_Equations.VEERG_4_6_1_3__2_Stage1NitrogenInMMS(P$82,G102)</f>
        <v>6.3876479999999995</v>
      </c>
      <c r="R110" s="15" cm="1">
        <f t="array" ref="R110">MMS_Poultry_N2ODirect_Equations.VEERG_4_6_1_3__2_Stage1NitrogenInMMS(Q$82,H102)</f>
        <v>5.4416159999999998</v>
      </c>
      <c r="S110" s="16"/>
    </row>
    <row r="111" spans="1:19" ht="20.100000000000001" customHeight="1" x14ac:dyDescent="0.2">
      <c r="D111" s="15" t="str">
        <f>INDEX(X_Table_Poultry_Stage1MMS,5,1)</f>
        <v>Pasture range and paddock</v>
      </c>
      <c r="E111" s="15" cm="1">
        <f t="array" ref="E111">MMS_Poultry_N2ODirect_Equations.VEERG_4_6_1_3__2_Stage1NitrogenInMMS(D$82,E103)</f>
        <v>1.6993600000000004</v>
      </c>
      <c r="F111" s="15" cm="1">
        <f t="array" ref="F111">MMS_Poultry_N2ODirect_Equations.VEERG_4_6_1_3__2_Stage1NitrogenInMMS(E$82,F103)</f>
        <v>1.8138719999999999</v>
      </c>
      <c r="G111" s="15" cm="1">
        <f t="array" ref="G111">MMS_Poultry_N2ODirect_Equations.VEERG_4_6_1_3__2_Stage1NitrogenInMMS(F$82,G103)</f>
        <v>2.129216</v>
      </c>
      <c r="H111" s="15" cm="1">
        <f t="array" ref="H111">MMS_Poultry_N2ODirect_Equations.VEERG_4_6_1_3__2_Stage1NitrogenInMMS(G$82,H103)</f>
        <v>1.8138719999999999</v>
      </c>
      <c r="I111" s="16"/>
      <c r="N111" s="15" t="str">
        <f>INDEX(X_Table_Poultry_Stage1MMS,5,1)</f>
        <v>Pasture range and paddock</v>
      </c>
      <c r="O111" s="15" cm="1">
        <f t="array" ref="O111">MMS_Poultry_N2ODirect_Equations.VEERG_4_6_1_3__2_Stage1NitrogenInMMS(N$82,E103)</f>
        <v>1.6993600000000004</v>
      </c>
      <c r="P111" s="15" cm="1">
        <f t="array" ref="P111">MMS_Poultry_N2ODirect_Equations.VEERG_4_6_1_3__2_Stage1NitrogenInMMS(O$82,F103)</f>
        <v>1.8138719999999999</v>
      </c>
      <c r="Q111" s="15" cm="1">
        <f t="array" ref="Q111">MMS_Poultry_N2ODirect_Equations.VEERG_4_6_1_3__2_Stage1NitrogenInMMS(P$82,G103)</f>
        <v>2.129216</v>
      </c>
      <c r="R111" s="15" cm="1">
        <f t="array" ref="R111">MMS_Poultry_N2ODirect_Equations.VEERG_4_6_1_3__2_Stage1NitrogenInMMS(Q$82,H103)</f>
        <v>1.8138719999999999</v>
      </c>
      <c r="S111" s="16"/>
    </row>
    <row r="114" spans="1:21" ht="20.100000000000001" customHeight="1" x14ac:dyDescent="0.2">
      <c r="C114" s="83"/>
      <c r="D114" s="83"/>
      <c r="E114" s="83"/>
      <c r="F114" s="83"/>
      <c r="G114" s="83"/>
      <c r="H114" s="83"/>
      <c r="I114" s="83"/>
      <c r="J114" s="83"/>
      <c r="K114" s="83"/>
      <c r="M114" s="83"/>
      <c r="N114" s="83"/>
      <c r="O114" s="83"/>
      <c r="P114" s="83"/>
      <c r="Q114" s="83"/>
      <c r="R114" s="83"/>
      <c r="S114" s="83"/>
      <c r="T114" s="83"/>
      <c r="U114" s="83"/>
    </row>
    <row r="115" spans="1:21" ht="20.100000000000001" customHeight="1" x14ac:dyDescent="0.2">
      <c r="D115" s="2" t="str" cm="1">
        <f t="array" ref="D115">MMS_Poultry_N2ODirect_Equations.VEERG_4_6_1_3__7_NitrogenTransferredToStage2MMS_Title()</f>
        <v>Nitrogen transferred to treatment stage 2 MMS</v>
      </c>
    </row>
    <row r="116" spans="1:21" ht="20.100000000000001" customHeight="1" x14ac:dyDescent="0.2">
      <c r="D116" s="17" t="str" cm="1">
        <f t="array" ref="D116">MMS_Poultry_N2ODirect_Equations.VEERG_4_6_1_3__7_NitrogenTransferredToStage2MMS_Source()</f>
        <v>VEERG 2026: 4.6.1.3, Equation (7)</v>
      </c>
    </row>
    <row r="117" spans="1:21" ht="20.100000000000001" customHeight="1" x14ac:dyDescent="0.2">
      <c r="D117" s="112" t="s">
        <v>328</v>
      </c>
      <c r="E117" s="112" t="str" cm="1">
        <f t="array" aca="1" ref="E117" ca="1">Common_InputFunctions.Utility_DisplayFunctionName(E150)</f>
        <v>=MMS_Poultry_N2ODirect_Equations.VEERG_4_6_1_3__7_NitrogenTransferredToStage2MMS</v>
      </c>
    </row>
    <row r="120" spans="1:21" ht="20.100000000000001" customHeight="1" x14ac:dyDescent="0.2">
      <c r="D120" s="75" t="s">
        <v>329</v>
      </c>
      <c r="E120" s="1" t="str" cm="1">
        <f t="array" ref="E120">MMS_Poultry_N2ODirect_Equations.VEERG_4_6_1_3__7_NitrogenTransferredToStage2MMS_Variable()</f>
        <v>NT_jkmT2</v>
      </c>
    </row>
    <row r="121" spans="1:21" ht="20.100000000000001" customHeight="1" x14ac:dyDescent="0.2">
      <c r="D121" s="75" t="s">
        <v>118</v>
      </c>
      <c r="E121" s="9" t="str" cm="1">
        <f t="array" ref="E121">MMS_Poultry_N2ODirect_Equations.VEERG_4_6_1_3__7_NitrogenTransferredToStage2MMS_Unit()</f>
        <v>kg N</v>
      </c>
    </row>
    <row r="123" spans="1:21" ht="20.100000000000001" customHeight="1" x14ac:dyDescent="0.2">
      <c r="D123" s="113" t="str" cm="1">
        <f t="array" ref="D123:E125">_xlfn.CHOOSECOLS(MMS_Poultry_N2ODirect_Equations.VEERG_4_6_1_3__7_NitrogenTransferredToStage2MMS_Arguments(),1,2)</f>
        <v>MN_jkmT1</v>
      </c>
      <c r="E123" s="122" t="str">
        <v>nitrogen in MMS treatment stage 1</v>
      </c>
      <c r="F123" s="123"/>
      <c r="G123" s="113" t="str" cm="1">
        <f t="array" ref="G123:H125">_xlfn.CHOOSECOLS(MMS_Poultry_N2ODirect_Equations.VEERG_4_6_1_3__7_NitrogenTransferredToStage2MMS_Arguments(),3,4)</f>
        <v>kg N</v>
      </c>
      <c r="H123" s="115" t="str">
        <v>Calculated from 4.6.1.3 (6)</v>
      </c>
      <c r="I123" s="116" t="str" cm="1">
        <f t="array" aca="1" ref="I123" ca="1">HYPERLINK(Common_InputFunctions.Utility_SourceHyperlink($D$105),$D$105)</f>
        <v>M1_Table_MN_j_k_m_T-1</v>
      </c>
    </row>
    <row r="124" spans="1:21" ht="20.100000000000001" customHeight="1" x14ac:dyDescent="0.2">
      <c r="D124" s="113" t="str">
        <v>FracGASM_mT1</v>
      </c>
      <c r="E124" s="122" t="str">
        <v>fraction of N volatilised from MMS treatment at stage 1</v>
      </c>
      <c r="F124" s="123"/>
      <c r="G124" s="113" t="str">
        <v>fraction</v>
      </c>
      <c r="H124" s="115" t="str">
        <v>Constant</v>
      </c>
      <c r="I124" s="116" t="str" cm="1">
        <f t="array" aca="1" ref="I124" ca="1">HYPERLINK(Common_InputFunctions.Utility_SourceHyperlink($D$127),$D$127)</f>
        <v>Table_FracGASM_m_T-1</v>
      </c>
    </row>
    <row r="125" spans="1:21" ht="20.100000000000001" customHeight="1" x14ac:dyDescent="0.2">
      <c r="D125" s="113" t="str">
        <v>EF_mT1</v>
      </c>
      <c r="E125" s="122" t="str">
        <v>nitrous oxide emission factor for MMS treatment at stage 1</v>
      </c>
      <c r="F125" s="123"/>
      <c r="G125" s="113" t="str">
        <v>kg N2O-N/kg N</v>
      </c>
      <c r="H125" s="115" t="str">
        <v>Constant</v>
      </c>
      <c r="I125" s="116" t="str" cm="1">
        <f t="array" aca="1" ref="I125" ca="1">HYPERLINK(Common_InputFunctions.Utility_SourceHyperlink($D$135),$D$135)</f>
        <v>Table_EF_m</v>
      </c>
    </row>
    <row r="127" spans="1:21" ht="20.100000000000001" customHeight="1" x14ac:dyDescent="0.2">
      <c r="D127" s="118" t="s">
        <v>401</v>
      </c>
    </row>
    <row r="128" spans="1:21" ht="20.100000000000001" customHeight="1" x14ac:dyDescent="0.2">
      <c r="A128" s="79" t="str">
        <f>HYPERLINK("#A1", "▲ Back to top")</f>
        <v>▲ Back to top</v>
      </c>
      <c r="D128" s="119" t="s">
        <v>402</v>
      </c>
    </row>
    <row r="129" spans="4:6" ht="20.100000000000001" customHeight="1" x14ac:dyDescent="0.2">
      <c r="D129" s="120" t="s">
        <v>314</v>
      </c>
      <c r="E129" s="120" t="s">
        <v>403</v>
      </c>
    </row>
    <row r="130" spans="4:6" ht="20.100000000000001" customHeight="1" x14ac:dyDescent="0.2">
      <c r="D130" s="15" t="str">
        <f>INDEX(X_Table_Poultry_Stage1MMS,2,1)</f>
        <v>Poultry manure with bedding</v>
      </c>
      <c r="E130" s="15" cm="1">
        <f t="array" ref="E130">Common_InputFunctions.Utility_LookupValueInTableNumber(D130, Table_SourceData_Poultry_FracGASM[NIR reference],Table_SourceData_Poultry_FracGASM[FracGASMmT])</f>
        <v>0.3</v>
      </c>
      <c r="F130" s="16" t="str">
        <f>G124</f>
        <v>fraction</v>
      </c>
    </row>
    <row r="131" spans="4:6" ht="20.100000000000001" customHeight="1" x14ac:dyDescent="0.2">
      <c r="D131" s="15" t="str">
        <f>INDEX(X_Table_Poultry_Stage1MMS,3,1)</f>
        <v>Belt manure removal</v>
      </c>
      <c r="E131" s="15" cm="1">
        <f t="array" ref="E131">Common_InputFunctions.Utility_LookupValueInTableNumber(D131, Table_SourceData_Poultry_FracGASM[NIR reference],Table_SourceData_Poultry_FracGASM[FracGASMmT])</f>
        <v>0.05</v>
      </c>
    </row>
    <row r="132" spans="4:6" ht="20.100000000000001" customHeight="1" x14ac:dyDescent="0.2">
      <c r="D132" s="15" t="str">
        <f>INDEX(X_Table_Poultry_Stage1MMS,4,1)</f>
        <v>Manure stored in house</v>
      </c>
      <c r="E132" s="15" cm="1">
        <f t="array" ref="E132">Common_InputFunctions.Utility_LookupValueInTableNumber(D132, Table_SourceData_Poultry_FracGASM[NIR reference],Table_SourceData_Poultry_FracGASM[FracGASMmT])</f>
        <v>0.4</v>
      </c>
    </row>
    <row r="133" spans="4:6" ht="20.100000000000001" customHeight="1" x14ac:dyDescent="0.2">
      <c r="D133" s="15" t="str">
        <f>INDEX(X_Table_Poultry_Stage1MMS,5,1)</f>
        <v>Pasture range and paddock</v>
      </c>
      <c r="E133" s="15" cm="1">
        <f t="array" ref="E133">Common_InputFunctions.Utility_LookupValueInTableNumber(D133, Table_SourceData_Poultry_FracGASM[NIR reference],Table_SourceData_Poultry_FracGASM[FracGASMmT])</f>
        <v>0</v>
      </c>
    </row>
    <row r="135" spans="4:6" ht="20.100000000000001" customHeight="1" x14ac:dyDescent="0.2">
      <c r="D135" s="118" t="s">
        <v>404</v>
      </c>
    </row>
    <row r="136" spans="4:6" ht="20.100000000000001" customHeight="1" x14ac:dyDescent="0.2">
      <c r="D136" s="119" t="s">
        <v>405</v>
      </c>
    </row>
    <row r="137" spans="4:6" ht="20.100000000000001" customHeight="1" x14ac:dyDescent="0.2">
      <c r="D137" s="120" t="s">
        <v>350</v>
      </c>
      <c r="E137" s="120" t="s">
        <v>406</v>
      </c>
    </row>
    <row r="138" spans="4:6" ht="20.100000000000001" customHeight="1" x14ac:dyDescent="0.2">
      <c r="D138" s="15" t="str">
        <f>'Constants - Poultry'!$D$29</f>
        <v>Poultry manure with bedding</v>
      </c>
      <c r="E138" s="15" cm="1">
        <f t="array" ref="E138">Common_InputFunctions.Utility_LookupValueInTableNumber(D138, Table_SourceData_Poultry_EFmT[NIR reference],Table_SourceData_Poultry_EFmT[EFmT])</f>
        <v>1E-3</v>
      </c>
      <c r="F138" s="16" t="str">
        <f>G125</f>
        <v>kg N2O-N/kg N</v>
      </c>
    </row>
    <row r="139" spans="4:6" ht="20.100000000000001" customHeight="1" x14ac:dyDescent="0.2">
      <c r="D139" s="15" t="str">
        <f>'Constants - Poultry'!$D$30</f>
        <v>Belt manure removal</v>
      </c>
      <c r="E139" s="15" cm="1">
        <f t="array" ref="E139">Common_InputFunctions.Utility_LookupValueInTableNumber(D139, Table_SourceData_Poultry_EFmT[NIR reference],Table_SourceData_Poultry_EFmT[EFmT])</f>
        <v>1E-3</v>
      </c>
    </row>
    <row r="140" spans="4:6" ht="20.100000000000001" customHeight="1" x14ac:dyDescent="0.2">
      <c r="D140" s="15" t="str">
        <f>'Constants - Poultry'!$D$31</f>
        <v>Manure stored in house</v>
      </c>
      <c r="E140" s="15" cm="1">
        <f t="array" ref="E140">Common_InputFunctions.Utility_LookupValueInTableNumber(D140, Table_SourceData_Poultry_EFmT[NIR reference],Table_SourceData_Poultry_EFmT[EFmT])</f>
        <v>1E-3</v>
      </c>
    </row>
    <row r="141" spans="4:6" ht="20.100000000000001" customHeight="1" x14ac:dyDescent="0.2">
      <c r="D141" s="15" t="str">
        <f>'Constants - Poultry'!$D$32</f>
        <v>Pasture range and paddock</v>
      </c>
      <c r="E141" s="15" cm="1">
        <f t="array" ref="E141">Common_InputFunctions.Utility_LookupValueInTableNumber(D141, Table_SourceData_Poultry_EFmT[NIR reference],Table_SourceData_Poultry_EFmT[EFmT])</f>
        <v>0.02</v>
      </c>
    </row>
    <row r="142" spans="4:6" ht="20.100000000000001" customHeight="1" x14ac:dyDescent="0.2">
      <c r="D142" s="15" t="str">
        <f>'Constants - Poultry'!$D$33</f>
        <v>Solid storage</v>
      </c>
      <c r="E142" s="15" cm="1">
        <f t="array" ref="E142">Common_InputFunctions.Utility_LookupValueInTableNumber(D142, Table_SourceData_Poultry_EFmT[NIR reference],Table_SourceData_Poultry_EFmT[EFmT])</f>
        <v>5.0000000000000001E-3</v>
      </c>
    </row>
    <row r="143" spans="4:6" ht="20.100000000000001" customHeight="1" x14ac:dyDescent="0.2">
      <c r="D143" s="15" t="str">
        <f>'Constants - Poultry'!$D$34</f>
        <v>Composting (passive windrow)</v>
      </c>
      <c r="E143" s="15" cm="1">
        <f t="array" ref="E143">Common_InputFunctions.Utility_LookupValueInTableNumber(D143, Table_SourceData_Poultry_EFmT[NIR reference],Table_SourceData_Poultry_EFmT[EFmT])</f>
        <v>0.01</v>
      </c>
    </row>
    <row r="144" spans="4:6" ht="20.100000000000001" customHeight="1" x14ac:dyDescent="0.2">
      <c r="D144" s="15" t="str">
        <f>'Constants - Poultry'!$D$35</f>
        <v>Digester / covered lagoons</v>
      </c>
      <c r="E144" s="15" cm="1">
        <f t="array" ref="E144">Common_InputFunctions.Utility_LookupValueInTableNumber(D144, Table_SourceData_Poultry_EFmT[NIR reference],Table_SourceData_Poultry_EFmT[EFmT])</f>
        <v>0</v>
      </c>
    </row>
    <row r="145" spans="1:21" ht="20.100000000000001" customHeight="1" x14ac:dyDescent="0.2">
      <c r="D145" s="15" t="str">
        <f>'Constants - Poultry'!$D$36</f>
        <v>Direct processing</v>
      </c>
      <c r="E145" s="15" cm="1">
        <f t="array" ref="E145">Common_InputFunctions.Utility_LookupValueInTableNumber(D145, Table_SourceData_Poultry_EFmT[NIR reference],Table_SourceData_Poultry_EFmT[EFmT])</f>
        <v>0</v>
      </c>
    </row>
    <row r="147" spans="1:21" ht="20.100000000000001" customHeight="1" x14ac:dyDescent="0.2">
      <c r="D147" s="118" t="s">
        <v>407</v>
      </c>
      <c r="N147" s="118" t="s">
        <v>408</v>
      </c>
    </row>
    <row r="148" spans="1:21" ht="20.100000000000001" customHeight="1" x14ac:dyDescent="0.2">
      <c r="D148" s="119" t="s">
        <v>409</v>
      </c>
      <c r="N148" s="119" t="s">
        <v>410</v>
      </c>
    </row>
    <row r="149" spans="1:21" ht="20.100000000000001" customHeight="1" x14ac:dyDescent="0.2">
      <c r="D149" s="120" t="s">
        <v>314</v>
      </c>
      <c r="E149" s="120" t="s">
        <v>297</v>
      </c>
      <c r="F149" s="120" t="s">
        <v>298</v>
      </c>
      <c r="G149" s="120" t="s">
        <v>299</v>
      </c>
      <c r="H149" s="120" t="s">
        <v>300</v>
      </c>
      <c r="N149" s="120" t="s">
        <v>314</v>
      </c>
      <c r="O149" s="120" t="s">
        <v>297</v>
      </c>
      <c r="P149" s="120" t="s">
        <v>298</v>
      </c>
      <c r="Q149" s="120" t="s">
        <v>299</v>
      </c>
      <c r="R149" s="120" t="s">
        <v>300</v>
      </c>
    </row>
    <row r="150" spans="1:21" ht="20.100000000000001" customHeight="1" x14ac:dyDescent="0.2">
      <c r="D150" s="15" t="str">
        <f>INDEX(X_Table_Poultry_Stage1MMS,2,1)</f>
        <v>Poultry manure with bedding</v>
      </c>
      <c r="E150" s="15" cm="1">
        <f t="array" ref="E150">MMS_Poultry_N2ODirect_Equations.VEERG_4_6_1_3__7_NitrogenTransferredToStage2MMS(E108, _xlfn.XLOOKUP($D150, $D$130:$D$133,$E$130:$E$133), _xlfn.XLOOKUP($D150, $D$138:$D$145,$E$138:$E$145))</f>
        <v>3.5635579200000005</v>
      </c>
      <c r="F150" s="15" cm="1">
        <f t="array" ref="F150">MMS_Poultry_N2ODirect_Equations.VEERG_4_6_1_3__7_NitrogenTransferredToStage2MMS(F108, _xlfn.XLOOKUP($D150, $D$130:$D$133,$E$130:$E$133), _xlfn.XLOOKUP($D150, $D$138:$D$145,$E$138:$E$145))</f>
        <v>3.8036895839999998</v>
      </c>
      <c r="G150" s="15" cm="1">
        <f t="array" ref="G150">MMS_Poultry_N2ODirect_Equations.VEERG_4_6_1_3__7_NitrogenTransferredToStage2MMS(G108, _xlfn.XLOOKUP($D150, $D$130:$D$133,$E$130:$E$133), _xlfn.XLOOKUP($D150, $D$138:$D$145,$E$138:$E$145))</f>
        <v>4.4649659519999991</v>
      </c>
      <c r="H150" s="15" cm="1">
        <f t="array" ref="H150">MMS_Poultry_N2ODirect_Equations.VEERG_4_6_1_3__7_NitrogenTransferredToStage2MMS(H108, _xlfn.XLOOKUP($D150, $D$130:$D$133,$E$130:$E$133), _xlfn.XLOOKUP($D150, $D$138:$D$145,$E$138:$E$145))</f>
        <v>3.8036895839999998</v>
      </c>
      <c r="I150" s="16" t="str">
        <f>$E$121</f>
        <v>kg N</v>
      </c>
      <c r="N150" s="15" t="str">
        <f>INDEX(X_Table_Poultry_Stage1MMS,2,1)</f>
        <v>Poultry manure with bedding</v>
      </c>
      <c r="O150" s="15" cm="1">
        <f t="array" ref="O150">MMS_Poultry_N2ODirect_Equations.VEERG_4_6_1_3__7_NitrogenTransferredToStage2MMS(O108, _xlfn.XLOOKUP($N150, $D$130:$D$133,$E$130:$E$133), _xlfn.XLOOKUP($N150, $D$138:$D$145,$E$138:$E$145))</f>
        <v>3.5635579200000005</v>
      </c>
      <c r="P150" s="15" cm="1">
        <f t="array" ref="P150">MMS_Poultry_N2ODirect_Equations.VEERG_4_6_1_3__7_NitrogenTransferredToStage2MMS(P108, _xlfn.XLOOKUP($N150, $D$130:$D$133,$E$130:$E$133), _xlfn.XLOOKUP($N150, $D$138:$D$145,$E$138:$E$145))</f>
        <v>3.8036895839999998</v>
      </c>
      <c r="Q150" s="15" cm="1">
        <f t="array" ref="Q150">MMS_Poultry_N2ODirect_Equations.VEERG_4_6_1_3__7_NitrogenTransferredToStage2MMS(Q108, _xlfn.XLOOKUP($N150, $D$130:$D$133,$E$130:$E$133), _xlfn.XLOOKUP($N150, $D$138:$D$145,$E$138:$E$145))</f>
        <v>4.4649659519999991</v>
      </c>
      <c r="R150" s="15" cm="1">
        <f t="array" ref="R150">MMS_Poultry_N2ODirect_Equations.VEERG_4_6_1_3__7_NitrogenTransferredToStage2MMS(R108, _xlfn.XLOOKUP($N150, $D$130:$D$133,$E$130:$E$133), _xlfn.XLOOKUP($N150, $D$138:$D$145,$E$138:$E$145))</f>
        <v>3.8036895839999998</v>
      </c>
      <c r="S150" s="16" t="str">
        <f t="shared" ref="S150" si="0">$E$121</f>
        <v>kg N</v>
      </c>
    </row>
    <row r="151" spans="1:21" ht="20.100000000000001" customHeight="1" x14ac:dyDescent="0.2">
      <c r="D151" s="15" t="str">
        <f>INDEX(X_Table_Poultry_Stage1MMS,3,1)</f>
        <v>Belt manure removal</v>
      </c>
      <c r="E151" s="15" cm="1">
        <f t="array" ref="E151">MMS_Poultry_N2ODirect_Equations.VEERG_4_6_1_3__7_NitrogenTransferredToStage2MMS(E109, _xlfn.XLOOKUP($D151, $D$130:$D$133,$E$130:$E$133), _xlfn.XLOOKUP($D151, $D$138:$D$145,$E$138:$E$145))</f>
        <v>4.8380779200000008</v>
      </c>
      <c r="F151" s="15" cm="1">
        <f t="array" ref="F151">MMS_Poultry_N2ODirect_Equations.VEERG_4_6_1_3__7_NitrogenTransferredToStage2MMS(F109, _xlfn.XLOOKUP($D151, $D$130:$D$133,$E$130:$E$133), _xlfn.XLOOKUP($D151, $D$138:$D$145,$E$138:$E$145))</f>
        <v>5.1640935839999997</v>
      </c>
      <c r="G151" s="15" cm="1">
        <f t="array" ref="G151">MMS_Poultry_N2ODirect_Equations.VEERG_4_6_1_3__7_NitrogenTransferredToStage2MMS(G109, _xlfn.XLOOKUP($D151, $D$130:$D$133,$E$130:$E$133), _xlfn.XLOOKUP($D151, $D$138:$D$145,$E$138:$E$145))</f>
        <v>6.0618779519999997</v>
      </c>
      <c r="H151" s="15" cm="1">
        <f t="array" ref="H151">MMS_Poultry_N2ODirect_Equations.VEERG_4_6_1_3__7_NitrogenTransferredToStage2MMS(H109, _xlfn.XLOOKUP($D151, $D$130:$D$133,$E$130:$E$133), _xlfn.XLOOKUP($D151, $D$138:$D$145,$E$138:$E$145))</f>
        <v>5.1640935839999997</v>
      </c>
      <c r="I151" s="16"/>
      <c r="N151" s="15" t="str">
        <f>INDEX(X_Table_Poultry_Stage1MMS,3,1)</f>
        <v>Belt manure removal</v>
      </c>
      <c r="O151" s="15" cm="1">
        <f t="array" ref="O151">MMS_Poultry_N2ODirect_Equations.VEERG_4_6_1_3__7_NitrogenTransferredToStage2MMS(O109, _xlfn.XLOOKUP($N151, $D$130:$D$133,$E$130:$E$133), _xlfn.XLOOKUP($N151, $D$138:$D$145,$E$138:$E$145))</f>
        <v>4.8380779200000008</v>
      </c>
      <c r="P151" s="15" cm="1">
        <f t="array" ref="P151">MMS_Poultry_N2ODirect_Equations.VEERG_4_6_1_3__7_NitrogenTransferredToStage2MMS(P109, _xlfn.XLOOKUP($N151, $D$130:$D$133,$E$130:$E$133), _xlfn.XLOOKUP($N151, $D$138:$D$145,$E$138:$E$145))</f>
        <v>5.1640935839999997</v>
      </c>
      <c r="Q151" s="15" cm="1">
        <f t="array" ref="Q151">MMS_Poultry_N2ODirect_Equations.VEERG_4_6_1_3__7_NitrogenTransferredToStage2MMS(Q109, _xlfn.XLOOKUP($N151, $D$130:$D$133,$E$130:$E$133), _xlfn.XLOOKUP($N151, $D$138:$D$145,$E$138:$E$145))</f>
        <v>6.0618779519999997</v>
      </c>
      <c r="R151" s="15" cm="1">
        <f t="array" ref="R151">MMS_Poultry_N2ODirect_Equations.VEERG_4_6_1_3__7_NitrogenTransferredToStage2MMS(R109, _xlfn.XLOOKUP($N151, $D$130:$D$133,$E$130:$E$133), _xlfn.XLOOKUP($N151, $D$138:$D$145,$E$138:$E$145))</f>
        <v>5.1640935839999997</v>
      </c>
      <c r="S151" s="16"/>
    </row>
    <row r="152" spans="1:21" ht="20.100000000000001" customHeight="1" x14ac:dyDescent="0.2">
      <c r="D152" s="15" t="str">
        <f>INDEX(X_Table_Poultry_Stage1MMS,4,1)</f>
        <v>Manure stored in house</v>
      </c>
      <c r="E152" s="15" cm="1">
        <f t="array" ref="E152">MMS_Poultry_N2ODirect_Equations.VEERG_4_6_1_3__7_NitrogenTransferredToStage2MMS(E110, _xlfn.XLOOKUP($D152, $D$130:$D$133,$E$130:$E$133), _xlfn.XLOOKUP($D152, $D$138:$D$145,$E$138:$E$145))</f>
        <v>3.0537499200000005</v>
      </c>
      <c r="F152" s="15" cm="1">
        <f t="array" ref="F152">MMS_Poultry_N2ODirect_Equations.VEERG_4_6_1_3__7_NitrogenTransferredToStage2MMS(F110, _xlfn.XLOOKUP($D152, $D$130:$D$133,$E$130:$E$133), _xlfn.XLOOKUP($D152, $D$138:$D$145,$E$138:$E$145))</f>
        <v>3.2595279839999995</v>
      </c>
      <c r="G152" s="15" cm="1">
        <f t="array" ref="G152">MMS_Poultry_N2ODirect_Equations.VEERG_4_6_1_3__7_NitrogenTransferredToStage2MMS(G110, _xlfn.XLOOKUP($D152, $D$130:$D$133,$E$130:$E$133), _xlfn.XLOOKUP($D152, $D$138:$D$145,$E$138:$E$145))</f>
        <v>3.8262011519999994</v>
      </c>
      <c r="H152" s="15" cm="1">
        <f t="array" ref="H152">MMS_Poultry_N2ODirect_Equations.VEERG_4_6_1_3__7_NitrogenTransferredToStage2MMS(H110, _xlfn.XLOOKUP($D152, $D$130:$D$133,$E$130:$E$133), _xlfn.XLOOKUP($D152, $D$138:$D$145,$E$138:$E$145))</f>
        <v>3.2595279839999995</v>
      </c>
      <c r="I152" s="16"/>
      <c r="N152" s="15" t="str">
        <f>INDEX(X_Table_Poultry_Stage1MMS,4,1)</f>
        <v>Manure stored in house</v>
      </c>
      <c r="O152" s="15" cm="1">
        <f t="array" ref="O152">MMS_Poultry_N2ODirect_Equations.VEERG_4_6_1_3__7_NitrogenTransferredToStage2MMS(O110, _xlfn.XLOOKUP($N152, $D$130:$D$133,$E$130:$E$133), _xlfn.XLOOKUP($N152, $D$138:$D$145,$E$138:$E$145))</f>
        <v>3.0537499200000005</v>
      </c>
      <c r="P152" s="15" cm="1">
        <f t="array" ref="P152">MMS_Poultry_N2ODirect_Equations.VEERG_4_6_1_3__7_NitrogenTransferredToStage2MMS(P110, _xlfn.XLOOKUP($N152, $D$130:$D$133,$E$130:$E$133), _xlfn.XLOOKUP($N152, $D$138:$D$145,$E$138:$E$145))</f>
        <v>3.2595279839999995</v>
      </c>
      <c r="Q152" s="15" cm="1">
        <f t="array" ref="Q152">MMS_Poultry_N2ODirect_Equations.VEERG_4_6_1_3__7_NitrogenTransferredToStage2MMS(Q110, _xlfn.XLOOKUP($N152, $D$130:$D$133,$E$130:$E$133), _xlfn.XLOOKUP($N152, $D$138:$D$145,$E$138:$E$145))</f>
        <v>3.8262011519999994</v>
      </c>
      <c r="R152" s="15" cm="1">
        <f t="array" ref="R152">MMS_Poultry_N2ODirect_Equations.VEERG_4_6_1_3__7_NitrogenTransferredToStage2MMS(R110, _xlfn.XLOOKUP($N152, $D$130:$D$133,$E$130:$E$133), _xlfn.XLOOKUP($N152, $D$138:$D$145,$E$138:$E$145))</f>
        <v>3.2595279839999995</v>
      </c>
      <c r="S152" s="16"/>
    </row>
    <row r="155" spans="1:21" ht="20.100000000000001" customHeight="1" x14ac:dyDescent="0.2">
      <c r="C155" s="83"/>
      <c r="D155" s="83"/>
      <c r="E155" s="83"/>
      <c r="F155" s="83"/>
      <c r="G155" s="83"/>
      <c r="H155" s="83"/>
      <c r="I155" s="83"/>
      <c r="J155" s="83"/>
      <c r="K155" s="83"/>
      <c r="M155" s="83"/>
      <c r="N155" s="83"/>
      <c r="O155" s="83"/>
      <c r="P155" s="83"/>
      <c r="Q155" s="83"/>
      <c r="R155" s="83"/>
      <c r="S155" s="83"/>
      <c r="T155" s="83"/>
      <c r="U155" s="83"/>
    </row>
    <row r="156" spans="1:21" ht="20.100000000000001" customHeight="1" x14ac:dyDescent="0.2">
      <c r="D156" s="2" t="str" cm="1">
        <f t="array" ref="D156">MMS_Poultry_N2ODirect_Equations.VEERG_4_6_1_3__6_Stage2NitrogenInMMS_Title()</f>
        <v>Nitrogen in treatment stage 2 MMS</v>
      </c>
    </row>
    <row r="157" spans="1:21" ht="20.100000000000001" customHeight="1" x14ac:dyDescent="0.2">
      <c r="D157" s="17" t="str" cm="1">
        <f t="array" ref="D157">MMS_Poultry_N2ODirect_Equations.VEERG_4_6_1_3__6_Stage2NitrogenInMMS_Source()</f>
        <v>VEERG 2026: 4.6.1.3, Equation (6)</v>
      </c>
    </row>
    <row r="158" spans="1:21" ht="20.100000000000001" customHeight="1" x14ac:dyDescent="0.2">
      <c r="A158" s="79" t="str">
        <f>HYPERLINK("#A1", "▲ Back to top")</f>
        <v>▲ Back to top</v>
      </c>
      <c r="D158" s="112" t="s">
        <v>328</v>
      </c>
      <c r="E158" s="112" t="str" cm="1">
        <f t="array" aca="1" ref="E158" ca="1">Common_InputFunctions.Utility_DisplayFunctionName(F189)</f>
        <v>=MMS_Poultry_N2ODirect_Equations.VEERG_4_6_1_3__6_Stage2NitrogenInMMS</v>
      </c>
    </row>
    <row r="161" spans="4:10" ht="20.100000000000001" customHeight="1" x14ac:dyDescent="0.2">
      <c r="D161" s="75" t="s">
        <v>329</v>
      </c>
      <c r="E161" s="1" t="str" cm="1">
        <f t="array" ref="E161">MMS_Poultry_N2ODirect_Equations.VEERG_4_6_1_3__6_Stage2NitrogenInMMS_Variable()</f>
        <v>MN_jkmT2</v>
      </c>
    </row>
    <row r="162" spans="4:10" ht="20.100000000000001" customHeight="1" x14ac:dyDescent="0.2">
      <c r="D162" s="75" t="s">
        <v>118</v>
      </c>
      <c r="E162" s="9" t="str" cm="1">
        <f t="array" ref="E162">MMS_Poultry_N2ODirect_Equations.VEERG_4_6_1_3__6_Stage2NitrogenInMMS_Unit()</f>
        <v>kg N</v>
      </c>
    </row>
    <row r="164" spans="4:10" ht="20.100000000000001" customHeight="1" x14ac:dyDescent="0.2">
      <c r="D164" s="113" t="str" cm="1">
        <f t="array" ref="D164:E165">_xlfn.CHOOSECOLS(MMS_Poultry_N2ODirect_Equations.VEERG_4_6_1_3__6_Stage2NitrogenInMMS_Arguments(),1,2)</f>
        <v>NT_jkmT2</v>
      </c>
      <c r="E164" s="113" t="str">
        <v>nitrogen transferred to secondary treatment MMS</v>
      </c>
      <c r="F164" s="113"/>
      <c r="G164" s="113" t="str" cm="1">
        <f t="array" ref="G164:H165">_xlfn.CHOOSECOLS(MMS_Poultry_N2ODirect_Equations.VEERG_4_6_1_3__6_Stage2NitrogenInMMS_Arguments(),3,4)</f>
        <v>kg N</v>
      </c>
      <c r="H164" s="115" t="str">
        <v>Calculated from 4.6.1.3 (7)</v>
      </c>
      <c r="I164" s="116" t="str" cm="1">
        <f t="array" aca="1" ref="I164" ca="1">HYPERLINK(Common_InputFunctions.Utility_SourceHyperlink($D$147),$D$147)</f>
        <v>M1_Table_NT_j_k_m_T-1</v>
      </c>
    </row>
    <row r="165" spans="4:10" ht="20.100000000000001" customHeight="1" x14ac:dyDescent="0.2">
      <c r="D165" s="113" t="str">
        <v>MMS_mT2</v>
      </c>
      <c r="E165" s="113" t="str">
        <v>fraction of manure in each secondary system</v>
      </c>
      <c r="F165" s="113"/>
      <c r="G165" s="113" t="str">
        <v>fraction</v>
      </c>
      <c r="H165" s="114" t="str">
        <v>Input</v>
      </c>
      <c r="I165" s="116" t="str" cm="1">
        <f t="array" aca="1" ref="I165" ca="1">HYPERLINK(Common_InputFunctions.Utility_SourceHyperlink($D$167),$D$167)</f>
        <v>Table_MMS_j_m_T-2</v>
      </c>
    </row>
    <row r="167" spans="4:10" ht="20.100000000000001" customHeight="1" x14ac:dyDescent="0.2">
      <c r="D167" s="118" t="s">
        <v>364</v>
      </c>
    </row>
    <row r="168" spans="4:10" ht="20.100000000000001" customHeight="1" x14ac:dyDescent="0.2">
      <c r="D168" s="119" t="s">
        <v>365</v>
      </c>
    </row>
    <row r="169" spans="4:10" ht="20.100000000000001" customHeight="1" x14ac:dyDescent="0.2">
      <c r="D169" s="78" t="s">
        <v>314</v>
      </c>
      <c r="E169" s="78" t="s">
        <v>318</v>
      </c>
      <c r="F169" s="78" t="s">
        <v>297</v>
      </c>
      <c r="G169" s="78" t="s">
        <v>298</v>
      </c>
      <c r="H169" s="78" t="s">
        <v>299</v>
      </c>
      <c r="I169" s="78" t="s">
        <v>300</v>
      </c>
    </row>
    <row r="170" spans="4:10" ht="20.100000000000001" customHeight="1" x14ac:dyDescent="0.2">
      <c r="D170" s="15" t="str">
        <f>INDEX(X_Table_Poultry_Stage1MMS,2,1)</f>
        <v>Poultry manure with bedding</v>
      </c>
      <c r="E170" s="15" t="str">
        <f>INDEX(X_Table_Poultry_Stage2MMS_PoultryManureWithBedding,2,1)</f>
        <v>Solid storage</v>
      </c>
      <c r="F170" s="15">
        <f>INDEX(X_Table_Poultry_Stage2MMS_PoultryManureWithBedding,2,2)</f>
        <v>0.2</v>
      </c>
      <c r="G170" s="15">
        <f>INDEX(X_Table_Poultry_Stage2MMS_PoultryManureWithBedding,2,3)</f>
        <v>0.2</v>
      </c>
      <c r="H170" s="15">
        <f>INDEX(X_Table_Poultry_Stage2MMS_PoultryManureWithBedding,2,4)</f>
        <v>0.2</v>
      </c>
      <c r="I170" s="15">
        <f>INDEX(X_Table_Poultry_Stage2MMS_PoultryManureWithBedding,2,5)</f>
        <v>0.2</v>
      </c>
      <c r="J170" s="16" t="str">
        <f>$G$165</f>
        <v>fraction</v>
      </c>
    </row>
    <row r="171" spans="4:10" ht="20.100000000000001" customHeight="1" x14ac:dyDescent="0.2">
      <c r="D171" s="15"/>
      <c r="E171" s="15" t="str">
        <f>INDEX(X_Table_Poultry_Stage2MMS_PoultryManureWithBedding,3,1)</f>
        <v>Composting (passive windrow)</v>
      </c>
      <c r="F171" s="15">
        <f>INDEX(X_Table_Poultry_Stage2MMS_PoultryManureWithBedding,3,2)</f>
        <v>0.2</v>
      </c>
      <c r="G171" s="15">
        <f>INDEX(X_Table_Poultry_Stage2MMS_PoultryManureWithBedding,3,3)</f>
        <v>0.2</v>
      </c>
      <c r="H171" s="15">
        <f>INDEX(X_Table_Poultry_Stage2MMS_PoultryManureWithBedding,3,4)</f>
        <v>0.2</v>
      </c>
      <c r="I171" s="15">
        <f>INDEX(X_Table_Poultry_Stage2MMS_PoultryManureWithBedding,3,5)</f>
        <v>0.2</v>
      </c>
      <c r="J171" s="16"/>
    </row>
    <row r="172" spans="4:10" ht="20.100000000000001" customHeight="1" x14ac:dyDescent="0.2">
      <c r="D172" s="15"/>
      <c r="E172" s="15" t="str">
        <f>INDEX(X_Table_Poultry_Stage2MMS_PoultryManureWithBedding,4,1)</f>
        <v>Digester / covered lagoons</v>
      </c>
      <c r="F172" s="15">
        <f>INDEX(X_Table_Poultry_Stage2MMS_PoultryManureWithBedding,4,2)</f>
        <v>0.2</v>
      </c>
      <c r="G172" s="15">
        <f>INDEX(X_Table_Poultry_Stage2MMS_PoultryManureWithBedding,4,3)</f>
        <v>0.2</v>
      </c>
      <c r="H172" s="15">
        <f>INDEX(X_Table_Poultry_Stage2MMS_PoultryManureWithBedding,4,4)</f>
        <v>0.2</v>
      </c>
      <c r="I172" s="15">
        <f>INDEX(X_Table_Poultry_Stage2MMS_PoultryManureWithBedding,4,5)</f>
        <v>0.2</v>
      </c>
      <c r="J172" s="16"/>
    </row>
    <row r="173" spans="4:10" ht="20.100000000000001" customHeight="1" x14ac:dyDescent="0.2">
      <c r="D173" s="15"/>
      <c r="E173" s="15" t="str">
        <f>INDEX(X_Table_Poultry_Stage2MMS_PoultryManureWithBedding,5,1)</f>
        <v>Direct processing</v>
      </c>
      <c r="F173" s="15">
        <f>INDEX(X_Table_Poultry_Stage2MMS_PoultryManureWithBedding,5,2)</f>
        <v>0.2</v>
      </c>
      <c r="G173" s="15">
        <f>INDEX(X_Table_Poultry_Stage2MMS_PoultryManureWithBedding,5,3)</f>
        <v>0.2</v>
      </c>
      <c r="H173" s="15">
        <f>INDEX(X_Table_Poultry_Stage2MMS_PoultryManureWithBedding,5,4)</f>
        <v>0.2</v>
      </c>
      <c r="I173" s="15">
        <f>INDEX(X_Table_Poultry_Stage2MMS_PoultryManureWithBedding,5,5)</f>
        <v>0.2</v>
      </c>
      <c r="J173" s="16"/>
    </row>
    <row r="174" spans="4:10" ht="20.100000000000001" customHeight="1" x14ac:dyDescent="0.2">
      <c r="D174" s="15"/>
      <c r="E174" s="15" t="str">
        <f>INDEX(X_Table_Poultry_Stage2MMS_PoultryManureWithBedding,6,1)</f>
        <v>Direct application</v>
      </c>
      <c r="F174" s="15">
        <f>INDEX(X_Table_Poultry_Stage2MMS_PoultryManureWithBedding,6,2)</f>
        <v>0.19999999999999996</v>
      </c>
      <c r="G174" s="15">
        <f>INDEX(X_Table_Poultry_Stage2MMS_PoultryManureWithBedding,6,3)</f>
        <v>0.19999999999999996</v>
      </c>
      <c r="H174" s="15">
        <f>INDEX(X_Table_Poultry_Stage2MMS_PoultryManureWithBedding,6,4)</f>
        <v>0.19999999999999996</v>
      </c>
      <c r="I174" s="15">
        <f>INDEX(X_Table_Poultry_Stage2MMS_PoultryManureWithBedding,6,5)</f>
        <v>0.19999999999999996</v>
      </c>
    </row>
    <row r="175" spans="4:10" ht="20.100000000000001" customHeight="1" x14ac:dyDescent="0.2">
      <c r="D175" s="15" t="str">
        <f>INDEX(X_Table_Poultry_Stage1MMS,3,1)</f>
        <v>Belt manure removal</v>
      </c>
      <c r="E175" s="15" t="str">
        <f>INDEX(X_Table_Poultry_Stage2MMS_BeltManureRemoval,2,1)</f>
        <v>Solid storage</v>
      </c>
      <c r="F175" s="15">
        <f>INDEX(X_Table_Poultry_Stage2MMS_BeltManureRemoval,2,2)</f>
        <v>0.2</v>
      </c>
      <c r="G175" s="15">
        <f>INDEX(X_Table_Poultry_Stage2MMS_BeltManureRemoval,2,3)</f>
        <v>0.2</v>
      </c>
      <c r="H175" s="15">
        <f>INDEX(X_Table_Poultry_Stage2MMS_BeltManureRemoval,2,4)</f>
        <v>0.2</v>
      </c>
      <c r="I175" s="15">
        <f>INDEX(X_Table_Poultry_Stage2MMS_BeltManureRemoval,2,5)</f>
        <v>0.2</v>
      </c>
      <c r="J175" s="16"/>
    </row>
    <row r="176" spans="4:10" ht="20.100000000000001" customHeight="1" x14ac:dyDescent="0.2">
      <c r="D176" s="15"/>
      <c r="E176" s="15" t="str">
        <f>INDEX(X_Table_Poultry_Stage2MMS_BeltManureRemoval,3,1)</f>
        <v>Composting (passive windrow)</v>
      </c>
      <c r="F176" s="15">
        <f>INDEX(X_Table_Poultry_Stage2MMS_BeltManureRemoval,3,2)</f>
        <v>0.2</v>
      </c>
      <c r="G176" s="15">
        <f>INDEX(X_Table_Poultry_Stage2MMS_BeltManureRemoval,3,3)</f>
        <v>0.2</v>
      </c>
      <c r="H176" s="15">
        <f>INDEX(X_Table_Poultry_Stage2MMS_BeltManureRemoval,3,4)</f>
        <v>0.2</v>
      </c>
      <c r="I176" s="15">
        <f>INDEX(X_Table_Poultry_Stage2MMS_BeltManureRemoval,3,5)</f>
        <v>0.2</v>
      </c>
      <c r="J176" s="16"/>
    </row>
    <row r="177" spans="1:20" ht="20.100000000000001" customHeight="1" x14ac:dyDescent="0.2">
      <c r="D177" s="15"/>
      <c r="E177" s="15" t="str">
        <f>INDEX(X_Table_Poultry_Stage2MMS_BeltManureRemoval,4,1)</f>
        <v>Digester / covered lagoons</v>
      </c>
      <c r="F177" s="15">
        <f>INDEX(X_Table_Poultry_Stage2MMS_BeltManureRemoval,4,2)</f>
        <v>0.2</v>
      </c>
      <c r="G177" s="15">
        <f>INDEX(X_Table_Poultry_Stage2MMS_BeltManureRemoval,4,3)</f>
        <v>0.2</v>
      </c>
      <c r="H177" s="15">
        <f>INDEX(X_Table_Poultry_Stage2MMS_BeltManureRemoval,4,4)</f>
        <v>0.2</v>
      </c>
      <c r="I177" s="15">
        <f>INDEX(X_Table_Poultry_Stage2MMS_BeltManureRemoval,4,5)</f>
        <v>0.2</v>
      </c>
      <c r="J177" s="16"/>
    </row>
    <row r="178" spans="1:20" ht="20.100000000000001" customHeight="1" x14ac:dyDescent="0.2">
      <c r="D178" s="15"/>
      <c r="E178" s="15" t="str">
        <f>INDEX(X_Table_Poultry_Stage2MMS_BeltManureRemoval,5,1)</f>
        <v>Direct processing</v>
      </c>
      <c r="F178" s="15">
        <f>INDEX(X_Table_Poultry_Stage2MMS_BeltManureRemoval,5,2)</f>
        <v>0.2</v>
      </c>
      <c r="G178" s="15">
        <f>INDEX(X_Table_Poultry_Stage2MMS_BeltManureRemoval,5,3)</f>
        <v>0.2</v>
      </c>
      <c r="H178" s="15">
        <f>INDEX(X_Table_Poultry_Stage2MMS_BeltManureRemoval,5,4)</f>
        <v>0.2</v>
      </c>
      <c r="I178" s="15">
        <f>INDEX(X_Table_Poultry_Stage2MMS_BeltManureRemoval,5,5)</f>
        <v>0.2</v>
      </c>
      <c r="J178" s="16"/>
    </row>
    <row r="179" spans="1:20" ht="20.100000000000001" customHeight="1" x14ac:dyDescent="0.2">
      <c r="D179" s="15"/>
      <c r="E179" s="15" t="str">
        <f>INDEX(X_Table_Poultry_Stage2MMS_BeltManureRemoval,6,1)</f>
        <v>Direct application</v>
      </c>
      <c r="F179" s="15">
        <f>INDEX(X_Table_Poultry_Stage2MMS_BeltManureRemoval,6,2)</f>
        <v>0.19999999999999996</v>
      </c>
      <c r="G179" s="15">
        <f>INDEX(X_Table_Poultry_Stage2MMS_BeltManureRemoval,6,3)</f>
        <v>0.19999999999999996</v>
      </c>
      <c r="H179" s="15">
        <f>INDEX(X_Table_Poultry_Stage2MMS_BeltManureRemoval,6,4)</f>
        <v>0.19999999999999996</v>
      </c>
      <c r="I179" s="15">
        <f>INDEX(X_Table_Poultry_Stage2MMS_BeltManureRemoval,6,5)</f>
        <v>0.19999999999999996</v>
      </c>
    </row>
    <row r="180" spans="1:20" ht="20.100000000000001" customHeight="1" x14ac:dyDescent="0.2">
      <c r="D180" s="15" t="str">
        <f>INDEX(X_Table_Poultry_Stage1MMS,4,1)</f>
        <v>Manure stored in house</v>
      </c>
      <c r="E180" s="15" t="str">
        <f>INDEX(X_Table_Poultry_Stage2MMS_ManureStoredInHouse,2,1)</f>
        <v>Solid storage</v>
      </c>
      <c r="F180" s="15">
        <f>INDEX(X_Table_Poultry_Stage2MMS_ManureStoredInHouse,2,2)</f>
        <v>0.2</v>
      </c>
      <c r="G180" s="15">
        <f>INDEX(X_Table_Poultry_Stage2MMS_ManureStoredInHouse,2,3)</f>
        <v>0.2</v>
      </c>
      <c r="H180" s="15">
        <f>INDEX(X_Table_Poultry_Stage2MMS_ManureStoredInHouse,2,4)</f>
        <v>0.2</v>
      </c>
      <c r="I180" s="15">
        <f>INDEX(X_Table_Poultry_Stage2MMS_ManureStoredInHouse,2,5)</f>
        <v>0.2</v>
      </c>
      <c r="J180" s="16"/>
    </row>
    <row r="181" spans="1:20" ht="20.100000000000001" customHeight="1" x14ac:dyDescent="0.2">
      <c r="D181" s="15"/>
      <c r="E181" s="15" t="str">
        <f>INDEX(X_Table_Poultry_Stage2MMS_ManureStoredInHouse,3,1)</f>
        <v>Composting (passive windrow)</v>
      </c>
      <c r="F181" s="15">
        <f>INDEX(X_Table_Poultry_Stage2MMS_ManureStoredInHouse,3,2)</f>
        <v>0.2</v>
      </c>
      <c r="G181" s="15">
        <f>INDEX(X_Table_Poultry_Stage2MMS_ManureStoredInHouse,3,3)</f>
        <v>0.2</v>
      </c>
      <c r="H181" s="15">
        <f>INDEX(X_Table_Poultry_Stage2MMS_ManureStoredInHouse,3,4)</f>
        <v>0.2</v>
      </c>
      <c r="I181" s="15">
        <f>INDEX(X_Table_Poultry_Stage2MMS_ManureStoredInHouse,3,5)</f>
        <v>0.2</v>
      </c>
      <c r="J181" s="16"/>
    </row>
    <row r="182" spans="1:20" ht="20.100000000000001" customHeight="1" x14ac:dyDescent="0.2">
      <c r="D182" s="15"/>
      <c r="E182" s="15" t="str">
        <f>INDEX(X_Table_Poultry_Stage2MMS_ManureStoredInHouse,4,1)</f>
        <v>Digester / covered lagoons</v>
      </c>
      <c r="F182" s="15">
        <f>INDEX(X_Table_Poultry_Stage2MMS_ManureStoredInHouse,4,2)</f>
        <v>0.2</v>
      </c>
      <c r="G182" s="15">
        <f>INDEX(X_Table_Poultry_Stage2MMS_ManureStoredInHouse,4,3)</f>
        <v>0.2</v>
      </c>
      <c r="H182" s="15">
        <f>INDEX(X_Table_Poultry_Stage2MMS_ManureStoredInHouse,4,4)</f>
        <v>0.2</v>
      </c>
      <c r="I182" s="15">
        <f>INDEX(X_Table_Poultry_Stage2MMS_ManureStoredInHouse,4,5)</f>
        <v>0.2</v>
      </c>
      <c r="J182" s="16"/>
    </row>
    <row r="183" spans="1:20" ht="20.100000000000001" customHeight="1" x14ac:dyDescent="0.2">
      <c r="D183" s="15"/>
      <c r="E183" s="15" t="str">
        <f>INDEX(X_Table_Poultry_Stage2MMS_ManureStoredInHouse,5,1)</f>
        <v>Direct processing</v>
      </c>
      <c r="F183" s="15">
        <f>INDEX(X_Table_Poultry_Stage2MMS_ManureStoredInHouse,5,2)</f>
        <v>0.2</v>
      </c>
      <c r="G183" s="15">
        <f>INDEX(X_Table_Poultry_Stage2MMS_ManureStoredInHouse,5,3)</f>
        <v>0.2</v>
      </c>
      <c r="H183" s="15">
        <f>INDEX(X_Table_Poultry_Stage2MMS_ManureStoredInHouse,5,4)</f>
        <v>0.2</v>
      </c>
      <c r="I183" s="15">
        <f>INDEX(X_Table_Poultry_Stage2MMS_ManureStoredInHouse,5,5)</f>
        <v>0.2</v>
      </c>
      <c r="J183" s="16"/>
    </row>
    <row r="184" spans="1:20" ht="20.100000000000001" customHeight="1" x14ac:dyDescent="0.2">
      <c r="D184" s="15"/>
      <c r="E184" s="15" t="str">
        <f>INDEX(X_Table_Poultry_Stage2MMS_ManureStoredInHouse,6,1)</f>
        <v>Direct application</v>
      </c>
      <c r="F184" s="15">
        <f>INDEX(X_Table_Poultry_Stage2MMS_ManureStoredInHouse,6,2)</f>
        <v>0.19999999999999996</v>
      </c>
      <c r="G184" s="15">
        <f>INDEX(X_Table_Poultry_Stage2MMS_ManureStoredInHouse,6,3)</f>
        <v>0.19999999999999996</v>
      </c>
      <c r="H184" s="15">
        <f>INDEX(X_Table_Poultry_Stage2MMS_ManureStoredInHouse,6,4)</f>
        <v>0.19999999999999996</v>
      </c>
      <c r="I184" s="15">
        <f>INDEX(X_Table_Poultry_Stage2MMS_ManureStoredInHouse,6,5)</f>
        <v>0.19999999999999996</v>
      </c>
    </row>
    <row r="186" spans="1:20" ht="20.100000000000001" customHeight="1" x14ac:dyDescent="0.2">
      <c r="D186" s="118" t="s">
        <v>411</v>
      </c>
      <c r="N186" s="118" t="s">
        <v>412</v>
      </c>
    </row>
    <row r="187" spans="1:20" ht="20.100000000000001" customHeight="1" x14ac:dyDescent="0.2">
      <c r="D187" s="119" t="s">
        <v>413</v>
      </c>
      <c r="N187" s="119" t="s">
        <v>414</v>
      </c>
    </row>
    <row r="188" spans="1:20" ht="20.100000000000001" customHeight="1" x14ac:dyDescent="0.2">
      <c r="A188" s="79" t="str">
        <f>HYPERLINK("#A1", "▲ Back to top")</f>
        <v>▲ Back to top</v>
      </c>
      <c r="D188" s="120" t="s">
        <v>314</v>
      </c>
      <c r="E188" s="120" t="s">
        <v>318</v>
      </c>
      <c r="F188" s="120" t="s">
        <v>297</v>
      </c>
      <c r="G188" s="120" t="s">
        <v>298</v>
      </c>
      <c r="H188" s="120" t="s">
        <v>299</v>
      </c>
      <c r="I188" s="120" t="s">
        <v>300</v>
      </c>
      <c r="N188" s="120" t="s">
        <v>314</v>
      </c>
      <c r="O188" s="120" t="s">
        <v>318</v>
      </c>
      <c r="P188" s="120" t="s">
        <v>297</v>
      </c>
      <c r="Q188" s="120" t="s">
        <v>298</v>
      </c>
      <c r="R188" s="120" t="s">
        <v>299</v>
      </c>
      <c r="S188" s="120" t="s">
        <v>300</v>
      </c>
    </row>
    <row r="189" spans="1:20" ht="20.100000000000001" customHeight="1" x14ac:dyDescent="0.2">
      <c r="D189" s="15" t="str">
        <f>INDEX(X_Table_Poultry_Stage1MMS,2,1)</f>
        <v>Poultry manure with bedding</v>
      </c>
      <c r="E189" s="15" t="str">
        <f>INDEX(X_Table_Poultry_Stage2MMS_PoultryManureWithBedding,2,1)</f>
        <v>Solid storage</v>
      </c>
      <c r="F189" s="15" cm="1">
        <f t="array" ref="F189">MMS_Poultry_N2ODirect_Equations.VEERG_4_6_1_3__6_Stage2NitrogenInMMS(E$150,F170)</f>
        <v>0.71271158400000012</v>
      </c>
      <c r="G189" s="15" cm="1">
        <f t="array" ref="G189">MMS_Poultry_N2ODirect_Equations.VEERG_4_6_1_3__6_Stage2NitrogenInMMS(F$150,G170)</f>
        <v>0.76073791680000002</v>
      </c>
      <c r="H189" s="15" cm="1">
        <f t="array" ref="H189">MMS_Poultry_N2ODirect_Equations.VEERG_4_6_1_3__6_Stage2NitrogenInMMS(G$150,H170)</f>
        <v>0.89299319039999991</v>
      </c>
      <c r="I189" s="15" cm="1">
        <f t="array" ref="I189">MMS_Poultry_N2ODirect_Equations.VEERG_4_6_1_3__6_Stage2NitrogenInMMS(H$150,I170)</f>
        <v>0.76073791680000002</v>
      </c>
      <c r="J189" s="16" t="str">
        <f t="shared" ref="J189" si="1">$E$162</f>
        <v>kg N</v>
      </c>
      <c r="N189" s="15" t="str">
        <f>INDEX(X_Table_Poultry_Stage1MMS,2,1)</f>
        <v>Poultry manure with bedding</v>
      </c>
      <c r="O189" s="15" t="str">
        <f>INDEX(X_Table_Poultry_Stage2MMS_PoultryManureWithBedding,2,1)</f>
        <v>Solid storage</v>
      </c>
      <c r="P189" s="15" cm="1">
        <f t="array" ref="P189">MMS_Poultry_N2ODirect_Equations.VEERG_4_6_1_3__6_Stage2NitrogenInMMS(O$150,F170)</f>
        <v>0.71271158400000012</v>
      </c>
      <c r="Q189" s="15" cm="1">
        <f t="array" ref="Q189">MMS_Poultry_N2ODirect_Equations.VEERG_4_6_1_3__6_Stage2NitrogenInMMS(P$150,G170)</f>
        <v>0.76073791680000002</v>
      </c>
      <c r="R189" s="15" cm="1">
        <f t="array" ref="R189">MMS_Poultry_N2ODirect_Equations.VEERG_4_6_1_3__6_Stage2NitrogenInMMS(Q$150,H170)</f>
        <v>0.89299319039999991</v>
      </c>
      <c r="S189" s="15" cm="1">
        <f t="array" ref="S189">MMS_Poultry_N2ODirect_Equations.VEERG_4_6_1_3__6_Stage2NitrogenInMMS(R$150,I170)</f>
        <v>0.76073791680000002</v>
      </c>
      <c r="T189" s="16" t="str">
        <f t="shared" ref="T189" si="2">$E$162</f>
        <v>kg N</v>
      </c>
    </row>
    <row r="190" spans="1:20" ht="20.100000000000001" customHeight="1" x14ac:dyDescent="0.2">
      <c r="D190" s="15"/>
      <c r="E190" s="15" t="str">
        <f>INDEX(X_Table_Poultry_Stage2MMS_PoultryManureWithBedding,3,1)</f>
        <v>Composting (passive windrow)</v>
      </c>
      <c r="F190" s="15" cm="1">
        <f t="array" ref="F190">MMS_Poultry_N2ODirect_Equations.VEERG_4_6_1_3__6_Stage2NitrogenInMMS(E$150,F171)</f>
        <v>0.71271158400000012</v>
      </c>
      <c r="G190" s="15" cm="1">
        <f t="array" ref="G190">MMS_Poultry_N2ODirect_Equations.VEERG_4_6_1_3__6_Stage2NitrogenInMMS(F$150,G171)</f>
        <v>0.76073791680000002</v>
      </c>
      <c r="H190" s="15" cm="1">
        <f t="array" ref="H190">MMS_Poultry_N2ODirect_Equations.VEERG_4_6_1_3__6_Stage2NitrogenInMMS(G$150,H171)</f>
        <v>0.89299319039999991</v>
      </c>
      <c r="I190" s="15" cm="1">
        <f t="array" ref="I190">MMS_Poultry_N2ODirect_Equations.VEERG_4_6_1_3__6_Stage2NitrogenInMMS(H$150,I171)</f>
        <v>0.76073791680000002</v>
      </c>
      <c r="J190" s="16"/>
      <c r="N190" s="15"/>
      <c r="O190" s="15" t="str">
        <f>INDEX(X_Table_Poultry_Stage2MMS_PoultryManureWithBedding,3,1)</f>
        <v>Composting (passive windrow)</v>
      </c>
      <c r="P190" s="15" cm="1">
        <f t="array" ref="P190">MMS_Poultry_N2ODirect_Equations.VEERG_4_6_1_3__6_Stage2NitrogenInMMS(O$150,F171)</f>
        <v>0.71271158400000012</v>
      </c>
      <c r="Q190" s="15" cm="1">
        <f t="array" ref="Q190">MMS_Poultry_N2ODirect_Equations.VEERG_4_6_1_3__6_Stage2NitrogenInMMS(P$150,G171)</f>
        <v>0.76073791680000002</v>
      </c>
      <c r="R190" s="15" cm="1">
        <f t="array" ref="R190">MMS_Poultry_N2ODirect_Equations.VEERG_4_6_1_3__6_Stage2NitrogenInMMS(Q$150,H171)</f>
        <v>0.89299319039999991</v>
      </c>
      <c r="S190" s="15" cm="1">
        <f t="array" ref="S190">MMS_Poultry_N2ODirect_Equations.VEERG_4_6_1_3__6_Stage2NitrogenInMMS(R$150,I171)</f>
        <v>0.76073791680000002</v>
      </c>
      <c r="T190" s="16"/>
    </row>
    <row r="191" spans="1:20" ht="20.100000000000001" customHeight="1" x14ac:dyDescent="0.2">
      <c r="D191" s="15"/>
      <c r="E191" s="15" t="str">
        <f>INDEX(X_Table_Poultry_Stage2MMS_PoultryManureWithBedding,4,1)</f>
        <v>Digester / covered lagoons</v>
      </c>
      <c r="F191" s="15" cm="1">
        <f t="array" ref="F191">MMS_Poultry_N2ODirect_Equations.VEERG_4_6_1_3__6_Stage2NitrogenInMMS(E$150,F172)</f>
        <v>0.71271158400000012</v>
      </c>
      <c r="G191" s="15" cm="1">
        <f t="array" ref="G191">MMS_Poultry_N2ODirect_Equations.VEERG_4_6_1_3__6_Stage2NitrogenInMMS(F$150,G172)</f>
        <v>0.76073791680000002</v>
      </c>
      <c r="H191" s="15" cm="1">
        <f t="array" ref="H191">MMS_Poultry_N2ODirect_Equations.VEERG_4_6_1_3__6_Stage2NitrogenInMMS(G$150,H172)</f>
        <v>0.89299319039999991</v>
      </c>
      <c r="I191" s="15" cm="1">
        <f t="array" ref="I191">MMS_Poultry_N2ODirect_Equations.VEERG_4_6_1_3__6_Stage2NitrogenInMMS(H$150,I172)</f>
        <v>0.76073791680000002</v>
      </c>
      <c r="J191" s="16"/>
      <c r="N191" s="15"/>
      <c r="O191" s="15" t="str">
        <f>INDEX(X_Table_Poultry_Stage2MMS_PoultryManureWithBedding,4,1)</f>
        <v>Digester / covered lagoons</v>
      </c>
      <c r="P191" s="15" cm="1">
        <f t="array" ref="P191">MMS_Poultry_N2ODirect_Equations.VEERG_4_6_1_3__6_Stage2NitrogenInMMS(O$150,F172)</f>
        <v>0.71271158400000012</v>
      </c>
      <c r="Q191" s="15" cm="1">
        <f t="array" ref="Q191">MMS_Poultry_N2ODirect_Equations.VEERG_4_6_1_3__6_Stage2NitrogenInMMS(P$150,G172)</f>
        <v>0.76073791680000002</v>
      </c>
      <c r="R191" s="15" cm="1">
        <f t="array" ref="R191">MMS_Poultry_N2ODirect_Equations.VEERG_4_6_1_3__6_Stage2NitrogenInMMS(Q$150,H172)</f>
        <v>0.89299319039999991</v>
      </c>
      <c r="S191" s="15" cm="1">
        <f t="array" ref="S191">MMS_Poultry_N2ODirect_Equations.VEERG_4_6_1_3__6_Stage2NitrogenInMMS(R$150,I172)</f>
        <v>0.76073791680000002</v>
      </c>
      <c r="T191" s="16"/>
    </row>
    <row r="192" spans="1:20" ht="20.100000000000001" customHeight="1" x14ac:dyDescent="0.2">
      <c r="D192" s="15"/>
      <c r="E192" s="15" t="str">
        <f>INDEX(X_Table_Poultry_Stage2MMS_PoultryManureWithBedding,5,1)</f>
        <v>Direct processing</v>
      </c>
      <c r="F192" s="15" cm="1">
        <f t="array" ref="F192">MMS_Poultry_N2ODirect_Equations.VEERG_4_6_1_3__6_Stage2NitrogenInMMS(E$150,F173)</f>
        <v>0.71271158400000012</v>
      </c>
      <c r="G192" s="15" cm="1">
        <f t="array" ref="G192">MMS_Poultry_N2ODirect_Equations.VEERG_4_6_1_3__6_Stage2NitrogenInMMS(F$150,G173)</f>
        <v>0.76073791680000002</v>
      </c>
      <c r="H192" s="15" cm="1">
        <f t="array" ref="H192">MMS_Poultry_N2ODirect_Equations.VEERG_4_6_1_3__6_Stage2NitrogenInMMS(G$150,H173)</f>
        <v>0.89299319039999991</v>
      </c>
      <c r="I192" s="15" cm="1">
        <f t="array" ref="I192">MMS_Poultry_N2ODirect_Equations.VEERG_4_6_1_3__6_Stage2NitrogenInMMS(H$150,I173)</f>
        <v>0.76073791680000002</v>
      </c>
      <c r="J192" s="16"/>
      <c r="N192" s="15"/>
      <c r="O192" s="15" t="str">
        <f>INDEX(X_Table_Poultry_Stage2MMS_PoultryManureWithBedding,5,1)</f>
        <v>Direct processing</v>
      </c>
      <c r="P192" s="15" cm="1">
        <f t="array" ref="P192">MMS_Poultry_N2ODirect_Equations.VEERG_4_6_1_3__6_Stage2NitrogenInMMS(O$150,F173)</f>
        <v>0.71271158400000012</v>
      </c>
      <c r="Q192" s="15" cm="1">
        <f t="array" ref="Q192">MMS_Poultry_N2ODirect_Equations.VEERG_4_6_1_3__6_Stage2NitrogenInMMS(P$150,G173)</f>
        <v>0.76073791680000002</v>
      </c>
      <c r="R192" s="15" cm="1">
        <f t="array" ref="R192">MMS_Poultry_N2ODirect_Equations.VEERG_4_6_1_3__6_Stage2NitrogenInMMS(Q$150,H173)</f>
        <v>0.89299319039999991</v>
      </c>
      <c r="S192" s="15" cm="1">
        <f t="array" ref="S192">MMS_Poultry_N2ODirect_Equations.VEERG_4_6_1_3__6_Stage2NitrogenInMMS(R$150,I173)</f>
        <v>0.76073791680000002</v>
      </c>
      <c r="T192" s="16"/>
    </row>
    <row r="193" spans="3:21" ht="20.100000000000001" customHeight="1" x14ac:dyDescent="0.2">
      <c r="D193" s="15"/>
      <c r="E193" s="15" t="str">
        <f>INDEX(X_Table_Poultry_Stage2MMS_PoultryManureWithBedding,6,1)</f>
        <v>Direct application</v>
      </c>
      <c r="F193" s="15" cm="1">
        <f t="array" ref="F193">MMS_Poultry_N2ODirect_Equations.VEERG_4_6_1_3__6_Stage2NitrogenInMMS(E$150,F174)</f>
        <v>0.7127115839999999</v>
      </c>
      <c r="G193" s="15" cm="1">
        <f t="array" ref="G193">MMS_Poultry_N2ODirect_Equations.VEERG_4_6_1_3__6_Stage2NitrogenInMMS(F$150,G174)</f>
        <v>0.7607379167999998</v>
      </c>
      <c r="H193" s="15" cm="1">
        <f t="array" ref="H193">MMS_Poultry_N2ODirect_Equations.VEERG_4_6_1_3__6_Stage2NitrogenInMMS(G$150,H174)</f>
        <v>0.89299319039999958</v>
      </c>
      <c r="I193" s="15" cm="1">
        <f t="array" ref="I193">MMS_Poultry_N2ODirect_Equations.VEERG_4_6_1_3__6_Stage2NitrogenInMMS(H$150,I174)</f>
        <v>0.7607379167999998</v>
      </c>
      <c r="N193" s="15"/>
      <c r="O193" s="15" t="str">
        <f>INDEX(X_Table_Poultry_Stage2MMS_PoultryManureWithBedding,6,1)</f>
        <v>Direct application</v>
      </c>
      <c r="P193" s="15" cm="1">
        <f t="array" ref="P193">MMS_Poultry_N2ODirect_Equations.VEERG_4_6_1_3__6_Stage2NitrogenInMMS(O$150,F174)</f>
        <v>0.7127115839999999</v>
      </c>
      <c r="Q193" s="15" cm="1">
        <f t="array" ref="Q193">MMS_Poultry_N2ODirect_Equations.VEERG_4_6_1_3__6_Stage2NitrogenInMMS(P$150,G174)</f>
        <v>0.7607379167999998</v>
      </c>
      <c r="R193" s="15" cm="1">
        <f t="array" ref="R193">MMS_Poultry_N2ODirect_Equations.VEERG_4_6_1_3__6_Stage2NitrogenInMMS(Q$150,H174)</f>
        <v>0.89299319039999958</v>
      </c>
      <c r="S193" s="15" cm="1">
        <f t="array" ref="S193">MMS_Poultry_N2ODirect_Equations.VEERG_4_6_1_3__6_Stage2NitrogenInMMS(R$150,I174)</f>
        <v>0.7607379167999998</v>
      </c>
    </row>
    <row r="194" spans="3:21" ht="20.100000000000001" customHeight="1" x14ac:dyDescent="0.2">
      <c r="D194" s="15" t="str">
        <f>INDEX(X_Table_Poultry_Stage1MMS,3,1)</f>
        <v>Belt manure removal</v>
      </c>
      <c r="E194" s="15" t="str">
        <f>INDEX(X_Table_Poultry_Stage2MMS_BeltManureRemoval,2,1)</f>
        <v>Solid storage</v>
      </c>
      <c r="F194" s="15" cm="1">
        <f t="array" ref="F194">MMS_Poultry_N2ODirect_Equations.VEERG_4_6_1_3__6_Stage2NitrogenInMMS(E$151,F175)</f>
        <v>0.96761558400000025</v>
      </c>
      <c r="G194" s="15" cm="1">
        <f t="array" ref="G194">MMS_Poultry_N2ODirect_Equations.VEERG_4_6_1_3__6_Stage2NitrogenInMMS(F$151,G175)</f>
        <v>1.0328187168</v>
      </c>
      <c r="H194" s="15" cm="1">
        <f t="array" ref="H194">MMS_Poultry_N2ODirect_Equations.VEERG_4_6_1_3__6_Stage2NitrogenInMMS(G$151,H175)</f>
        <v>1.2123755904</v>
      </c>
      <c r="I194" s="15" cm="1">
        <f t="array" ref="I194">MMS_Poultry_N2ODirect_Equations.VEERG_4_6_1_3__6_Stage2NitrogenInMMS(H$151,I175)</f>
        <v>1.0328187168</v>
      </c>
      <c r="J194" s="16"/>
      <c r="N194" s="15" t="str">
        <f>INDEX(X_Table_Poultry_Stage1MMS,3,1)</f>
        <v>Belt manure removal</v>
      </c>
      <c r="O194" s="15" t="str">
        <f>INDEX(X_Table_Poultry_Stage2MMS_BeltManureRemoval,2,1)</f>
        <v>Solid storage</v>
      </c>
      <c r="P194" s="15" cm="1">
        <f t="array" ref="P194">MMS_Poultry_N2ODirect_Equations.VEERG_4_6_1_3__6_Stage2NitrogenInMMS(O$151,F175)</f>
        <v>0.96761558400000025</v>
      </c>
      <c r="Q194" s="15" cm="1">
        <f t="array" ref="Q194">MMS_Poultry_N2ODirect_Equations.VEERG_4_6_1_3__6_Stage2NitrogenInMMS(P$151,G175)</f>
        <v>1.0328187168</v>
      </c>
      <c r="R194" s="15" cm="1">
        <f t="array" ref="R194">MMS_Poultry_N2ODirect_Equations.VEERG_4_6_1_3__6_Stage2NitrogenInMMS(Q$151,H175)</f>
        <v>1.2123755904</v>
      </c>
      <c r="S194" s="15" cm="1">
        <f t="array" ref="S194">MMS_Poultry_N2ODirect_Equations.VEERG_4_6_1_3__6_Stage2NitrogenInMMS(R$151,I175)</f>
        <v>1.0328187168</v>
      </c>
      <c r="T194" s="16"/>
    </row>
    <row r="195" spans="3:21" ht="20.100000000000001" customHeight="1" x14ac:dyDescent="0.2">
      <c r="D195" s="15"/>
      <c r="E195" s="15" t="str">
        <f>INDEX(X_Table_Poultry_Stage2MMS_BeltManureRemoval,3,1)</f>
        <v>Composting (passive windrow)</v>
      </c>
      <c r="F195" s="15" cm="1">
        <f t="array" ref="F195">MMS_Poultry_N2ODirect_Equations.VEERG_4_6_1_3__6_Stage2NitrogenInMMS(E$151,F176)</f>
        <v>0.96761558400000025</v>
      </c>
      <c r="G195" s="15" cm="1">
        <f t="array" ref="G195">MMS_Poultry_N2ODirect_Equations.VEERG_4_6_1_3__6_Stage2NitrogenInMMS(F$151,G176)</f>
        <v>1.0328187168</v>
      </c>
      <c r="H195" s="15" cm="1">
        <f t="array" ref="H195">MMS_Poultry_N2ODirect_Equations.VEERG_4_6_1_3__6_Stage2NitrogenInMMS(G$151,H176)</f>
        <v>1.2123755904</v>
      </c>
      <c r="I195" s="15" cm="1">
        <f t="array" ref="I195">MMS_Poultry_N2ODirect_Equations.VEERG_4_6_1_3__6_Stage2NitrogenInMMS(H$151,I176)</f>
        <v>1.0328187168</v>
      </c>
      <c r="J195" s="16"/>
      <c r="N195" s="15"/>
      <c r="O195" s="15" t="str">
        <f>INDEX(X_Table_Poultry_Stage2MMS_BeltManureRemoval,3,1)</f>
        <v>Composting (passive windrow)</v>
      </c>
      <c r="P195" s="15" cm="1">
        <f t="array" ref="P195">MMS_Poultry_N2ODirect_Equations.VEERG_4_6_1_3__6_Stage2NitrogenInMMS(O$151,F176)</f>
        <v>0.96761558400000025</v>
      </c>
      <c r="Q195" s="15" cm="1">
        <f t="array" ref="Q195">MMS_Poultry_N2ODirect_Equations.VEERG_4_6_1_3__6_Stage2NitrogenInMMS(P$151,G176)</f>
        <v>1.0328187168</v>
      </c>
      <c r="R195" s="15" cm="1">
        <f t="array" ref="R195">MMS_Poultry_N2ODirect_Equations.VEERG_4_6_1_3__6_Stage2NitrogenInMMS(Q$151,H176)</f>
        <v>1.2123755904</v>
      </c>
      <c r="S195" s="15" cm="1">
        <f t="array" ref="S195">MMS_Poultry_N2ODirect_Equations.VEERG_4_6_1_3__6_Stage2NitrogenInMMS(R$151,I176)</f>
        <v>1.0328187168</v>
      </c>
      <c r="T195" s="16"/>
    </row>
    <row r="196" spans="3:21" ht="20.100000000000001" customHeight="1" x14ac:dyDescent="0.2">
      <c r="D196" s="15"/>
      <c r="E196" s="15" t="str">
        <f>INDEX(X_Table_Poultry_Stage2MMS_BeltManureRemoval,4,1)</f>
        <v>Digester / covered lagoons</v>
      </c>
      <c r="F196" s="15" cm="1">
        <f t="array" ref="F196">MMS_Poultry_N2ODirect_Equations.VEERG_4_6_1_3__6_Stage2NitrogenInMMS(E$151,F177)</f>
        <v>0.96761558400000025</v>
      </c>
      <c r="G196" s="15" cm="1">
        <f t="array" ref="G196">MMS_Poultry_N2ODirect_Equations.VEERG_4_6_1_3__6_Stage2NitrogenInMMS(F$151,G177)</f>
        <v>1.0328187168</v>
      </c>
      <c r="H196" s="15" cm="1">
        <f t="array" ref="H196">MMS_Poultry_N2ODirect_Equations.VEERG_4_6_1_3__6_Stage2NitrogenInMMS(G$151,H177)</f>
        <v>1.2123755904</v>
      </c>
      <c r="I196" s="15" cm="1">
        <f t="array" ref="I196">MMS_Poultry_N2ODirect_Equations.VEERG_4_6_1_3__6_Stage2NitrogenInMMS(H$151,I177)</f>
        <v>1.0328187168</v>
      </c>
      <c r="J196" s="16"/>
      <c r="N196" s="15"/>
      <c r="O196" s="15" t="str">
        <f>INDEX(X_Table_Poultry_Stage2MMS_BeltManureRemoval,4,1)</f>
        <v>Digester / covered lagoons</v>
      </c>
      <c r="P196" s="15" cm="1">
        <f t="array" ref="P196">MMS_Poultry_N2ODirect_Equations.VEERG_4_6_1_3__6_Stage2NitrogenInMMS(O$151,F177)</f>
        <v>0.96761558400000025</v>
      </c>
      <c r="Q196" s="15" cm="1">
        <f t="array" ref="Q196">MMS_Poultry_N2ODirect_Equations.VEERG_4_6_1_3__6_Stage2NitrogenInMMS(P$151,G177)</f>
        <v>1.0328187168</v>
      </c>
      <c r="R196" s="15" cm="1">
        <f t="array" ref="R196">MMS_Poultry_N2ODirect_Equations.VEERG_4_6_1_3__6_Stage2NitrogenInMMS(Q$151,H177)</f>
        <v>1.2123755904</v>
      </c>
      <c r="S196" s="15" cm="1">
        <f t="array" ref="S196">MMS_Poultry_N2ODirect_Equations.VEERG_4_6_1_3__6_Stage2NitrogenInMMS(R$151,I177)</f>
        <v>1.0328187168</v>
      </c>
      <c r="T196" s="16"/>
    </row>
    <row r="197" spans="3:21" ht="20.100000000000001" customHeight="1" x14ac:dyDescent="0.2">
      <c r="D197" s="15"/>
      <c r="E197" s="15" t="str">
        <f>INDEX(X_Table_Poultry_Stage2MMS_BeltManureRemoval,5,1)</f>
        <v>Direct processing</v>
      </c>
      <c r="F197" s="15" cm="1">
        <f t="array" ref="F197">MMS_Poultry_N2ODirect_Equations.VEERG_4_6_1_3__6_Stage2NitrogenInMMS(E$151,F178)</f>
        <v>0.96761558400000025</v>
      </c>
      <c r="G197" s="15" cm="1">
        <f t="array" ref="G197">MMS_Poultry_N2ODirect_Equations.VEERG_4_6_1_3__6_Stage2NitrogenInMMS(F$151,G178)</f>
        <v>1.0328187168</v>
      </c>
      <c r="H197" s="15" cm="1">
        <f t="array" ref="H197">MMS_Poultry_N2ODirect_Equations.VEERG_4_6_1_3__6_Stage2NitrogenInMMS(G$151,H178)</f>
        <v>1.2123755904</v>
      </c>
      <c r="I197" s="15" cm="1">
        <f t="array" ref="I197">MMS_Poultry_N2ODirect_Equations.VEERG_4_6_1_3__6_Stage2NitrogenInMMS(H$151,I178)</f>
        <v>1.0328187168</v>
      </c>
      <c r="J197" s="16"/>
      <c r="N197" s="15"/>
      <c r="O197" s="15" t="str">
        <f>INDEX(X_Table_Poultry_Stage2MMS_BeltManureRemoval,5,1)</f>
        <v>Direct processing</v>
      </c>
      <c r="P197" s="15" cm="1">
        <f t="array" ref="P197">MMS_Poultry_N2ODirect_Equations.VEERG_4_6_1_3__6_Stage2NitrogenInMMS(O$151,F178)</f>
        <v>0.96761558400000025</v>
      </c>
      <c r="Q197" s="15" cm="1">
        <f t="array" ref="Q197">MMS_Poultry_N2ODirect_Equations.VEERG_4_6_1_3__6_Stage2NitrogenInMMS(P$151,G178)</f>
        <v>1.0328187168</v>
      </c>
      <c r="R197" s="15" cm="1">
        <f t="array" ref="R197">MMS_Poultry_N2ODirect_Equations.VEERG_4_6_1_3__6_Stage2NitrogenInMMS(Q$151,H178)</f>
        <v>1.2123755904</v>
      </c>
      <c r="S197" s="15" cm="1">
        <f t="array" ref="S197">MMS_Poultry_N2ODirect_Equations.VEERG_4_6_1_3__6_Stage2NitrogenInMMS(R$151,I178)</f>
        <v>1.0328187168</v>
      </c>
      <c r="T197" s="16"/>
    </row>
    <row r="198" spans="3:21" ht="20.100000000000001" customHeight="1" x14ac:dyDescent="0.2">
      <c r="D198" s="15"/>
      <c r="E198" s="15" t="str">
        <f>INDEX(X_Table_Poultry_Stage2MMS_BeltManureRemoval,6,1)</f>
        <v>Direct application</v>
      </c>
      <c r="F198" s="15" cm="1">
        <f t="array" ref="F198">MMS_Poultry_N2ODirect_Equations.VEERG_4_6_1_3__6_Stage2NitrogenInMMS(E$151,F179)</f>
        <v>0.96761558399999992</v>
      </c>
      <c r="G198" s="15" cm="1">
        <f t="array" ref="G198">MMS_Poultry_N2ODirect_Equations.VEERG_4_6_1_3__6_Stage2NitrogenInMMS(F$151,G179)</f>
        <v>1.0328187167999998</v>
      </c>
      <c r="H198" s="15" cm="1">
        <f t="array" ref="H198">MMS_Poultry_N2ODirect_Equations.VEERG_4_6_1_3__6_Stage2NitrogenInMMS(G$151,H179)</f>
        <v>1.2123755903999998</v>
      </c>
      <c r="I198" s="15" cm="1">
        <f t="array" ref="I198">MMS_Poultry_N2ODirect_Equations.VEERG_4_6_1_3__6_Stage2NitrogenInMMS(H$151,I179)</f>
        <v>1.0328187167999998</v>
      </c>
      <c r="N198" s="15"/>
      <c r="O198" s="15" t="str">
        <f>INDEX(X_Table_Poultry_Stage2MMS_BeltManureRemoval,6,1)</f>
        <v>Direct application</v>
      </c>
      <c r="P198" s="15" cm="1">
        <f t="array" ref="P198">MMS_Poultry_N2ODirect_Equations.VEERG_4_6_1_3__6_Stage2NitrogenInMMS(O$151,F179)</f>
        <v>0.96761558399999992</v>
      </c>
      <c r="Q198" s="15" cm="1">
        <f t="array" ref="Q198">MMS_Poultry_N2ODirect_Equations.VEERG_4_6_1_3__6_Stage2NitrogenInMMS(P$151,G179)</f>
        <v>1.0328187167999998</v>
      </c>
      <c r="R198" s="15" cm="1">
        <f t="array" ref="R198">MMS_Poultry_N2ODirect_Equations.VEERG_4_6_1_3__6_Stage2NitrogenInMMS(Q$151,H179)</f>
        <v>1.2123755903999998</v>
      </c>
      <c r="S198" s="15" cm="1">
        <f t="array" ref="S198">MMS_Poultry_N2ODirect_Equations.VEERG_4_6_1_3__6_Stage2NitrogenInMMS(R$151,I179)</f>
        <v>1.0328187167999998</v>
      </c>
    </row>
    <row r="199" spans="3:21" ht="20.100000000000001" customHeight="1" x14ac:dyDescent="0.2">
      <c r="D199" s="15" t="str">
        <f>INDEX(X_Table_Poultry_Stage1MMS,4,1)</f>
        <v>Manure stored in house</v>
      </c>
      <c r="E199" s="15" t="str">
        <f>INDEX(X_Table_Poultry_Stage2MMS_ManureStoredInHouse,2,1)</f>
        <v>Solid storage</v>
      </c>
      <c r="F199" s="15" cm="1">
        <f t="array" ref="F199">MMS_Poultry_N2ODirect_Equations.VEERG_4_6_1_3__6_Stage2NitrogenInMMS(E$152,F180)</f>
        <v>0.61074998400000013</v>
      </c>
      <c r="G199" s="15" cm="1">
        <f t="array" ref="G199">MMS_Poultry_N2ODirect_Equations.VEERG_4_6_1_3__6_Stage2NitrogenInMMS(F$152,G180)</f>
        <v>0.65190559679999993</v>
      </c>
      <c r="H199" s="15" cm="1">
        <f t="array" ref="H199">MMS_Poultry_N2ODirect_Equations.VEERG_4_6_1_3__6_Stage2NitrogenInMMS(G$152,H180)</f>
        <v>0.76524023039999989</v>
      </c>
      <c r="I199" s="15" cm="1">
        <f t="array" ref="I199">MMS_Poultry_N2ODirect_Equations.VEERG_4_6_1_3__6_Stage2NitrogenInMMS(H$152,I180)</f>
        <v>0.65190559679999993</v>
      </c>
      <c r="J199" s="16"/>
      <c r="N199" s="15" t="str">
        <f>INDEX(X_Table_Poultry_Stage1MMS,4,1)</f>
        <v>Manure stored in house</v>
      </c>
      <c r="O199" s="15" t="str">
        <f>INDEX(X_Table_Poultry_Stage2MMS_ManureStoredInHouse,2,1)</f>
        <v>Solid storage</v>
      </c>
      <c r="P199" s="15" cm="1">
        <f t="array" ref="P199">MMS_Poultry_N2ODirect_Equations.VEERG_4_6_1_3__6_Stage2NitrogenInMMS(O$152,F180)</f>
        <v>0.61074998400000013</v>
      </c>
      <c r="Q199" s="15" cm="1">
        <f t="array" ref="Q199">MMS_Poultry_N2ODirect_Equations.VEERG_4_6_1_3__6_Stage2NitrogenInMMS(P$152,G180)</f>
        <v>0.65190559679999993</v>
      </c>
      <c r="R199" s="15" cm="1">
        <f t="array" ref="R199">MMS_Poultry_N2ODirect_Equations.VEERG_4_6_1_3__6_Stage2NitrogenInMMS(Q$152,H180)</f>
        <v>0.76524023039999989</v>
      </c>
      <c r="S199" s="15" cm="1">
        <f t="array" ref="S199">MMS_Poultry_N2ODirect_Equations.VEERG_4_6_1_3__6_Stage2NitrogenInMMS(R$152,I180)</f>
        <v>0.65190559679999993</v>
      </c>
      <c r="T199" s="16"/>
    </row>
    <row r="200" spans="3:21" ht="20.100000000000001" customHeight="1" x14ac:dyDescent="0.2">
      <c r="D200" s="15"/>
      <c r="E200" s="15" t="str">
        <f>INDEX(X_Table_Poultry_Stage2MMS_ManureStoredInHouse,3,1)</f>
        <v>Composting (passive windrow)</v>
      </c>
      <c r="F200" s="15" cm="1">
        <f t="array" ref="F200">MMS_Poultry_N2ODirect_Equations.VEERG_4_6_1_3__6_Stage2NitrogenInMMS(E$152,F181)</f>
        <v>0.61074998400000013</v>
      </c>
      <c r="G200" s="15" cm="1">
        <f t="array" ref="G200">MMS_Poultry_N2ODirect_Equations.VEERG_4_6_1_3__6_Stage2NitrogenInMMS(F$152,G181)</f>
        <v>0.65190559679999993</v>
      </c>
      <c r="H200" s="15" cm="1">
        <f t="array" ref="H200">MMS_Poultry_N2ODirect_Equations.VEERG_4_6_1_3__6_Stage2NitrogenInMMS(G$152,H181)</f>
        <v>0.76524023039999989</v>
      </c>
      <c r="I200" s="15" cm="1">
        <f t="array" ref="I200">MMS_Poultry_N2ODirect_Equations.VEERG_4_6_1_3__6_Stage2NitrogenInMMS(H$152,I181)</f>
        <v>0.65190559679999993</v>
      </c>
      <c r="J200" s="16"/>
      <c r="N200" s="15"/>
      <c r="O200" s="15" t="str">
        <f>INDEX(X_Table_Poultry_Stage2MMS_ManureStoredInHouse,3,1)</f>
        <v>Composting (passive windrow)</v>
      </c>
      <c r="P200" s="15" cm="1">
        <f t="array" ref="P200">MMS_Poultry_N2ODirect_Equations.VEERG_4_6_1_3__6_Stage2NitrogenInMMS(O$152,F181)</f>
        <v>0.61074998400000013</v>
      </c>
      <c r="Q200" s="15" cm="1">
        <f t="array" ref="Q200">MMS_Poultry_N2ODirect_Equations.VEERG_4_6_1_3__6_Stage2NitrogenInMMS(P$152,G181)</f>
        <v>0.65190559679999993</v>
      </c>
      <c r="R200" s="15" cm="1">
        <f t="array" ref="R200">MMS_Poultry_N2ODirect_Equations.VEERG_4_6_1_3__6_Stage2NitrogenInMMS(Q$152,H181)</f>
        <v>0.76524023039999989</v>
      </c>
      <c r="S200" s="15" cm="1">
        <f t="array" ref="S200">MMS_Poultry_N2ODirect_Equations.VEERG_4_6_1_3__6_Stage2NitrogenInMMS(R$152,I181)</f>
        <v>0.65190559679999993</v>
      </c>
      <c r="T200" s="16"/>
    </row>
    <row r="201" spans="3:21" ht="20.100000000000001" customHeight="1" x14ac:dyDescent="0.2">
      <c r="D201" s="15"/>
      <c r="E201" s="15" t="str">
        <f>INDEX(X_Table_Poultry_Stage2MMS_ManureStoredInHouse,4,1)</f>
        <v>Digester / covered lagoons</v>
      </c>
      <c r="F201" s="15" cm="1">
        <f t="array" ref="F201">MMS_Poultry_N2ODirect_Equations.VEERG_4_6_1_3__6_Stage2NitrogenInMMS(E$152,F182)</f>
        <v>0.61074998400000013</v>
      </c>
      <c r="G201" s="15" cm="1">
        <f t="array" ref="G201">MMS_Poultry_N2ODirect_Equations.VEERG_4_6_1_3__6_Stage2NitrogenInMMS(F$152,G182)</f>
        <v>0.65190559679999993</v>
      </c>
      <c r="H201" s="15" cm="1">
        <f t="array" ref="H201">MMS_Poultry_N2ODirect_Equations.VEERG_4_6_1_3__6_Stage2NitrogenInMMS(G$152,H182)</f>
        <v>0.76524023039999989</v>
      </c>
      <c r="I201" s="15" cm="1">
        <f t="array" ref="I201">MMS_Poultry_N2ODirect_Equations.VEERG_4_6_1_3__6_Stage2NitrogenInMMS(H$152,I182)</f>
        <v>0.65190559679999993</v>
      </c>
      <c r="J201" s="16"/>
      <c r="N201" s="15"/>
      <c r="O201" s="15" t="str">
        <f>INDEX(X_Table_Poultry_Stage2MMS_ManureStoredInHouse,4,1)</f>
        <v>Digester / covered lagoons</v>
      </c>
      <c r="P201" s="15" cm="1">
        <f t="array" ref="P201">MMS_Poultry_N2ODirect_Equations.VEERG_4_6_1_3__6_Stage2NitrogenInMMS(O$152,F182)</f>
        <v>0.61074998400000013</v>
      </c>
      <c r="Q201" s="15" cm="1">
        <f t="array" ref="Q201">MMS_Poultry_N2ODirect_Equations.VEERG_4_6_1_3__6_Stage2NitrogenInMMS(P$152,G182)</f>
        <v>0.65190559679999993</v>
      </c>
      <c r="R201" s="15" cm="1">
        <f t="array" ref="R201">MMS_Poultry_N2ODirect_Equations.VEERG_4_6_1_3__6_Stage2NitrogenInMMS(Q$152,H182)</f>
        <v>0.76524023039999989</v>
      </c>
      <c r="S201" s="15" cm="1">
        <f t="array" ref="S201">MMS_Poultry_N2ODirect_Equations.VEERG_4_6_1_3__6_Stage2NitrogenInMMS(R$152,I182)</f>
        <v>0.65190559679999993</v>
      </c>
      <c r="T201" s="16"/>
    </row>
    <row r="202" spans="3:21" ht="20.100000000000001" customHeight="1" x14ac:dyDescent="0.2">
      <c r="D202" s="15"/>
      <c r="E202" s="15" t="str">
        <f>INDEX(X_Table_Poultry_Stage2MMS_ManureStoredInHouse,5,1)</f>
        <v>Direct processing</v>
      </c>
      <c r="F202" s="15" cm="1">
        <f t="array" ref="F202">MMS_Poultry_N2ODirect_Equations.VEERG_4_6_1_3__6_Stage2NitrogenInMMS(E$152,F183)</f>
        <v>0.61074998400000013</v>
      </c>
      <c r="G202" s="15" cm="1">
        <f t="array" ref="G202">MMS_Poultry_N2ODirect_Equations.VEERG_4_6_1_3__6_Stage2NitrogenInMMS(F$152,G183)</f>
        <v>0.65190559679999993</v>
      </c>
      <c r="H202" s="15" cm="1">
        <f t="array" ref="H202">MMS_Poultry_N2ODirect_Equations.VEERG_4_6_1_3__6_Stage2NitrogenInMMS(G$152,H183)</f>
        <v>0.76524023039999989</v>
      </c>
      <c r="I202" s="15" cm="1">
        <f t="array" ref="I202">MMS_Poultry_N2ODirect_Equations.VEERG_4_6_1_3__6_Stage2NitrogenInMMS(H$152,I183)</f>
        <v>0.65190559679999993</v>
      </c>
      <c r="J202" s="16"/>
      <c r="N202" s="15"/>
      <c r="O202" s="15" t="str">
        <f>INDEX(X_Table_Poultry_Stage2MMS_ManureStoredInHouse,5,1)</f>
        <v>Direct processing</v>
      </c>
      <c r="P202" s="15" cm="1">
        <f t="array" ref="P202">MMS_Poultry_N2ODirect_Equations.VEERG_4_6_1_3__6_Stage2NitrogenInMMS(O$152,F183)</f>
        <v>0.61074998400000013</v>
      </c>
      <c r="Q202" s="15" cm="1">
        <f t="array" ref="Q202">MMS_Poultry_N2ODirect_Equations.VEERG_4_6_1_3__6_Stage2NitrogenInMMS(P$152,G183)</f>
        <v>0.65190559679999993</v>
      </c>
      <c r="R202" s="15" cm="1">
        <f t="array" ref="R202">MMS_Poultry_N2ODirect_Equations.VEERG_4_6_1_3__6_Stage2NitrogenInMMS(Q$152,H183)</f>
        <v>0.76524023039999989</v>
      </c>
      <c r="S202" s="15" cm="1">
        <f t="array" ref="S202">MMS_Poultry_N2ODirect_Equations.VEERG_4_6_1_3__6_Stage2NitrogenInMMS(R$152,I183)</f>
        <v>0.65190559679999993</v>
      </c>
      <c r="T202" s="16"/>
    </row>
    <row r="203" spans="3:21" ht="20.100000000000001" customHeight="1" x14ac:dyDescent="0.2">
      <c r="D203" s="15"/>
      <c r="E203" s="15" t="str">
        <f>INDEX(X_Table_Poultry_Stage2MMS_ManureStoredInHouse,6,1)</f>
        <v>Direct application</v>
      </c>
      <c r="F203" s="15" cm="1">
        <f t="array" ref="F203">MMS_Poultry_N2ODirect_Equations.VEERG_4_6_1_3__6_Stage2NitrogenInMMS(E$152,F184)</f>
        <v>0.61074998399999991</v>
      </c>
      <c r="G203" s="15" cm="1">
        <f t="array" ref="G203">MMS_Poultry_N2ODirect_Equations.VEERG_4_6_1_3__6_Stage2NitrogenInMMS(F$152,G184)</f>
        <v>0.65190559679999971</v>
      </c>
      <c r="H203" s="15" cm="1">
        <f t="array" ref="H203">MMS_Poultry_N2ODirect_Equations.VEERG_4_6_1_3__6_Stage2NitrogenInMMS(G$152,H184)</f>
        <v>0.76524023039999967</v>
      </c>
      <c r="I203" s="15" cm="1">
        <f t="array" ref="I203">MMS_Poultry_N2ODirect_Equations.VEERG_4_6_1_3__6_Stage2NitrogenInMMS(H$152,I184)</f>
        <v>0.65190559679999971</v>
      </c>
      <c r="N203" s="15"/>
      <c r="O203" s="15" t="str">
        <f>INDEX(X_Table_Poultry_Stage2MMS_ManureStoredInHouse,6,1)</f>
        <v>Direct application</v>
      </c>
      <c r="P203" s="15" cm="1">
        <f t="array" ref="P203">MMS_Poultry_N2ODirect_Equations.VEERG_4_6_1_3__6_Stage2NitrogenInMMS(O$152,F184)</f>
        <v>0.61074998399999991</v>
      </c>
      <c r="Q203" s="15" cm="1">
        <f t="array" ref="Q203">MMS_Poultry_N2ODirect_Equations.VEERG_4_6_1_3__6_Stage2NitrogenInMMS(P$152,G184)</f>
        <v>0.65190559679999971</v>
      </c>
      <c r="R203" s="15" cm="1">
        <f t="array" ref="R203">MMS_Poultry_N2ODirect_Equations.VEERG_4_6_1_3__6_Stage2NitrogenInMMS(Q$152,H184)</f>
        <v>0.76524023039999967</v>
      </c>
      <c r="S203" s="15" cm="1">
        <f t="array" ref="S203">MMS_Poultry_N2ODirect_Equations.VEERG_4_6_1_3__6_Stage2NitrogenInMMS(R$152,I184)</f>
        <v>0.65190559679999971</v>
      </c>
    </row>
    <row r="206" spans="3:21" ht="20.100000000000001" customHeight="1" x14ac:dyDescent="0.2">
      <c r="C206" s="83"/>
      <c r="D206" s="83"/>
      <c r="E206" s="83"/>
      <c r="F206" s="83"/>
      <c r="G206" s="83"/>
      <c r="H206" s="83"/>
      <c r="I206" s="83"/>
      <c r="J206" s="83"/>
      <c r="K206" s="83"/>
      <c r="M206" s="83"/>
      <c r="N206" s="83"/>
      <c r="O206" s="83"/>
      <c r="P206" s="83"/>
      <c r="Q206" s="83"/>
      <c r="R206" s="83"/>
      <c r="S206" s="83"/>
      <c r="T206" s="83"/>
      <c r="U206" s="83"/>
    </row>
    <row r="207" spans="3:21" ht="20.100000000000001" customHeight="1" x14ac:dyDescent="0.2">
      <c r="D207" s="2" t="str" cm="1">
        <f t="array" ref="D207">MMS_Poultry_N2ODirect_Equations.VEERG_4_6_1_3__1_TotalAnnualDirectNitrousOxideEmissionsFromMMS_Title()</f>
        <v>Total annual direct nitrous oxide emissions from manure management systems</v>
      </c>
    </row>
    <row r="208" spans="3:21" ht="20.100000000000001" customHeight="1" x14ac:dyDescent="0.2">
      <c r="D208" s="17" t="str" cm="1">
        <f t="array" ref="D208">MMS_Poultry_N2ODirect_Equations.VEERG_4_6_1_3__1_TotalAnnualDirectNitrousOxideEmissionsFromMMS_Source()</f>
        <v>VEERG 2026: 4.6.1.3, Equation (1)</v>
      </c>
    </row>
    <row r="209" spans="1:19" ht="20.100000000000001" customHeight="1" x14ac:dyDescent="0.2">
      <c r="D209" s="112" t="s">
        <v>328</v>
      </c>
      <c r="E209" s="112" t="str" cm="1">
        <f t="array" aca="1" ref="E209" ca="1">Common_InputFunctions.Utility_DisplayFunctionName(F225)</f>
        <v>=MMS_Poultry_N2ODirect_Equations.VEERG_4_6_1_3__1_TotalAnnualDirectNitrousOxideEmissionsFromMMS</v>
      </c>
    </row>
    <row r="212" spans="1:19" ht="20.100000000000001" customHeight="1" x14ac:dyDescent="0.2">
      <c r="D212" s="75" t="s">
        <v>329</v>
      </c>
      <c r="E212" s="1" t="str" cm="1">
        <f t="array" ref="E212">MMS_Poultry_N2ODirect_Equations.VEERG_4_6_1_3__1_TotalAnnualDirectNitrousOxideEmissionsFromMMS_Variable()</f>
        <v>E_N2Odir</v>
      </c>
    </row>
    <row r="213" spans="1:19" ht="20.100000000000001" customHeight="1" x14ac:dyDescent="0.2">
      <c r="D213" s="75" t="s">
        <v>118</v>
      </c>
      <c r="E213" s="9" t="str" cm="1">
        <f t="array" ref="E213">MMS_Poultry_N2ODirect_Equations.VEERG_4_6_1_3__1_TotalAnnualDirectNitrousOxideEmissionsFromMMS_Unit()</f>
        <v>t N2O</v>
      </c>
    </row>
    <row r="215" spans="1:19" ht="20.100000000000001" customHeight="1" x14ac:dyDescent="0.2">
      <c r="D215" s="113" t="str" cm="1">
        <f t="array" ref="D215:E217">_xlfn.CHOOSECOLS(MMS_Poultry_N2ODirect_Equations.VEERG_4_6_1_3__1_TotalAnnualDirectNitrousOxideEmissionsFromMMS_Arguments(),1,2)</f>
        <v>MN_jkmT</v>
      </c>
      <c r="E215" s="122" t="str">
        <v>nitrogen per poultry class, subclass, MMS and treatment stage</v>
      </c>
      <c r="F215" s="123"/>
      <c r="G215" s="113" t="str" cm="1">
        <f t="array" ref="G215:H217">_xlfn.CHOOSECOLS(MMS_Poultry_N2ODirect_Equations.VEERG_4_6_1_3__1_TotalAnnualDirectNitrousOxideEmissionsFromMMS_Arguments(),3,4)</f>
        <v>kg N</v>
      </c>
      <c r="H215" s="115" t="str">
        <v>Calculated from 4.6.1.3 (2)(6)</v>
      </c>
      <c r="I215" s="116" t="str" cm="1">
        <f t="array" aca="1" ref="I215" ca="1">HYPERLINK(Common_InputFunctions.Utility_SourceHyperlink($D$105),$D$105)</f>
        <v>M1_Table_MN_j_k_m_T-1</v>
      </c>
      <c r="J215" s="116" t="str" cm="1">
        <f t="array" aca="1" ref="J215" ca="1">HYPERLINK(Common_InputFunctions.Utility_SourceHyperlink($D$186),$D$186)</f>
        <v>M1_Table_MN_j_k_m_T-2</v>
      </c>
    </row>
    <row r="216" spans="1:19" ht="20.100000000000001" customHeight="1" x14ac:dyDescent="0.2">
      <c r="D216" s="113" t="str">
        <v>EF_jm</v>
      </c>
      <c r="E216" s="122" t="str">
        <v>nitrous oxide emission factor for MMS</v>
      </c>
      <c r="F216" s="123"/>
      <c r="G216" s="113" t="str">
        <v>kg N2O-N/kg N</v>
      </c>
      <c r="H216" s="115" t="str">
        <v>Constant</v>
      </c>
      <c r="I216" s="116" t="str" cm="1">
        <f t="array" aca="1" ref="I216" ca="1">HYPERLINK(Common_InputFunctions.Utility_SourceHyperlink($D$135),$D$135)</f>
        <v>Table_EF_m</v>
      </c>
      <c r="J216" s="116"/>
    </row>
    <row r="217" spans="1:19" ht="20.100000000000001" customHeight="1" x14ac:dyDescent="0.2">
      <c r="D217" s="113" t="str">
        <v>C_N2O</v>
      </c>
      <c r="E217" s="122" t="str">
        <v>factor to convert elemental mass of nitrous oxide to molecular mass</v>
      </c>
      <c r="F217" s="123"/>
      <c r="G217" s="113" t="str">
        <v>ratio</v>
      </c>
      <c r="H217" s="115" t="str">
        <v>Constant</v>
      </c>
      <c r="I217" s="113">
        <f>Common_InputFunctions.Utility_LookupValueInTableNumber("N2O",Table_GasToMolecularConversionFactor[Gas],Table_GasToMolecularConversionFactor[Conversion factor combined])</f>
        <v>1.5714285714285714</v>
      </c>
      <c r="J217" s="113"/>
    </row>
    <row r="218" spans="1:19" ht="20.100000000000001" customHeight="1" x14ac:dyDescent="0.2">
      <c r="A218" s="79" t="str">
        <f>HYPERLINK("#A1", "▲ Back to top")</f>
        <v>▲ Back to top</v>
      </c>
    </row>
    <row r="219" spans="1:19" ht="20.100000000000001" customHeight="1" x14ac:dyDescent="0.2">
      <c r="D219" s="131" t="s">
        <v>415</v>
      </c>
      <c r="E219" s="43"/>
      <c r="F219" s="43"/>
      <c r="G219" s="44"/>
    </row>
    <row r="220" spans="1:19" ht="20.100000000000001" customHeight="1" x14ac:dyDescent="0.2">
      <c r="D220" s="45" t="s">
        <v>416</v>
      </c>
      <c r="E220" s="46"/>
      <c r="F220" s="46"/>
      <c r="G220" s="47"/>
    </row>
    <row r="222" spans="1:19" ht="20.100000000000001" customHeight="1" x14ac:dyDescent="0.2">
      <c r="D222" s="118" t="s">
        <v>417</v>
      </c>
      <c r="N222" s="118" t="s">
        <v>418</v>
      </c>
    </row>
    <row r="223" spans="1:19" ht="20.100000000000001" customHeight="1" x14ac:dyDescent="0.2">
      <c r="D223" s="119" t="s">
        <v>419</v>
      </c>
      <c r="N223" s="119" t="s">
        <v>420</v>
      </c>
    </row>
    <row r="224" spans="1:19" ht="20.100000000000001" customHeight="1" x14ac:dyDescent="0.2">
      <c r="D224" s="120" t="s">
        <v>314</v>
      </c>
      <c r="E224" s="120" t="s">
        <v>318</v>
      </c>
      <c r="F224" s="120" t="s">
        <v>297</v>
      </c>
      <c r="G224" s="120" t="s">
        <v>298</v>
      </c>
      <c r="H224" s="120" t="s">
        <v>299</v>
      </c>
      <c r="I224" s="120" t="s">
        <v>300</v>
      </c>
      <c r="N224" s="120" t="s">
        <v>314</v>
      </c>
      <c r="O224" s="120" t="s">
        <v>318</v>
      </c>
      <c r="P224" s="120" t="s">
        <v>297</v>
      </c>
      <c r="Q224" s="120" t="s">
        <v>298</v>
      </c>
      <c r="R224" s="120" t="s">
        <v>299</v>
      </c>
      <c r="S224" s="120" t="s">
        <v>300</v>
      </c>
    </row>
    <row r="225" spans="4:20" ht="20.100000000000001" customHeight="1" x14ac:dyDescent="0.2">
      <c r="D225" s="15" t="str">
        <f>INDEX(X_Table_Poultry_Stage1MMS,2,1)</f>
        <v>Poultry manure with bedding</v>
      </c>
      <c r="E225" s="15" t="s">
        <v>124</v>
      </c>
      <c r="F225" s="15" cm="1">
        <f t="array" ref="F225">MMS_Poultry_N2ODirect_Equations.VEERG_4_6_1_3__1_TotalAnnualDirectNitrousOxideEmissionsFromMMS(E108, _xlfn.XLOOKUP($D225, $D$138:$D$145,$E$138:$E$145), $I$217)</f>
        <v>8.0112685714285736E-6</v>
      </c>
      <c r="G225" s="15" cm="1">
        <f t="array" ref="G225">MMS_Poultry_N2ODirect_Equations.VEERG_4_6_1_3__1_TotalAnnualDirectNitrousOxideEmissionsFromMMS(F108, _xlfn.XLOOKUP($D225, $D$138:$D$145,$E$138:$E$145), $I$217)</f>
        <v>8.5511108571428573E-6</v>
      </c>
      <c r="H225" s="15" cm="1">
        <f t="array" ref="H225">MMS_Poultry_N2ODirect_Equations.VEERG_4_6_1_3__1_TotalAnnualDirectNitrousOxideEmissionsFromMMS(G108, _xlfn.XLOOKUP($D225, $D$138:$D$145,$E$138:$E$145), $I$217)</f>
        <v>1.0037732571428572E-5</v>
      </c>
      <c r="I225" s="15" cm="1">
        <f t="array" ref="I225">MMS_Poultry_N2ODirect_Equations.VEERG_4_6_1_3__1_TotalAnnualDirectNitrousOxideEmissionsFromMMS(H108, _xlfn.XLOOKUP($D225, $D$138:$D$145,$E$138:$E$145), $I$217)</f>
        <v>8.5511108571428573E-6</v>
      </c>
      <c r="J225" s="16" t="str">
        <f>$E$213</f>
        <v>t N2O</v>
      </c>
      <c r="N225" s="15" t="str">
        <f>INDEX(X_Table_Poultry_Stage1MMS,2,1)</f>
        <v>Poultry manure with bedding</v>
      </c>
      <c r="O225" s="15" t="s">
        <v>124</v>
      </c>
      <c r="P225" s="15" cm="1">
        <f t="array" ref="P225">MMS_Poultry_N2ODirect_Equations.VEERG_4_6_1_3__1_TotalAnnualDirectNitrousOxideEmissionsFromMMS(O108, _xlfn.XLOOKUP($N225, $D$138:$D$145,$E$138:$E$145), $I$217)</f>
        <v>8.0112685714285736E-6</v>
      </c>
      <c r="Q225" s="15" cm="1">
        <f t="array" ref="Q225">MMS_Poultry_N2ODirect_Equations.VEERG_4_6_1_3__1_TotalAnnualDirectNitrousOxideEmissionsFromMMS(P108, _xlfn.XLOOKUP($N225, $D$138:$D$145,$E$138:$E$145), $I$217)</f>
        <v>8.5511108571428573E-6</v>
      </c>
      <c r="R225" s="15" cm="1">
        <f t="array" ref="R225">MMS_Poultry_N2ODirect_Equations.VEERG_4_6_1_3__1_TotalAnnualDirectNitrousOxideEmissionsFromMMS(Q108, _xlfn.XLOOKUP($N225, $D$138:$D$145,$E$138:$E$145), $I$217)</f>
        <v>1.0037732571428572E-5</v>
      </c>
      <c r="S225" s="15" cm="1">
        <f t="array" ref="S225">MMS_Poultry_N2ODirect_Equations.VEERG_4_6_1_3__1_TotalAnnualDirectNitrousOxideEmissionsFromMMS(R108, _xlfn.XLOOKUP($N225, $D$138:$D$145,$E$138:$E$145), $I$217)</f>
        <v>8.5511108571428573E-6</v>
      </c>
      <c r="T225" s="16" t="str">
        <f>$E$213</f>
        <v>t N2O</v>
      </c>
    </row>
    <row r="226" spans="4:20" ht="20.100000000000001" customHeight="1" x14ac:dyDescent="0.2">
      <c r="D226" s="15" t="str">
        <f>INDEX(X_Table_Poultry_Stage1MMS,3,1)</f>
        <v>Belt manure removal</v>
      </c>
      <c r="E226" s="15" t="s">
        <v>124</v>
      </c>
      <c r="F226" s="15" cm="1">
        <f t="array" ref="F226">MMS_Poultry_N2ODirect_Equations.VEERG_4_6_1_3__1_TotalAnnualDirectNitrousOxideEmissionsFromMMS(E109, _xlfn.XLOOKUP($D226, $D$138:$D$145,$E$138:$E$145), $I$217)</f>
        <v>8.0112685714285736E-6</v>
      </c>
      <c r="G226" s="15" cm="1">
        <f t="array" ref="G226">MMS_Poultry_N2ODirect_Equations.VEERG_4_6_1_3__1_TotalAnnualDirectNitrousOxideEmissionsFromMMS(F109, _xlfn.XLOOKUP($D226, $D$138:$D$145,$E$138:$E$145), $I$217)</f>
        <v>8.5511108571428573E-6</v>
      </c>
      <c r="H226" s="15" cm="1">
        <f t="array" ref="H226">MMS_Poultry_N2ODirect_Equations.VEERG_4_6_1_3__1_TotalAnnualDirectNitrousOxideEmissionsFromMMS(G109, _xlfn.XLOOKUP($D226, $D$138:$D$145,$E$138:$E$145), $I$217)</f>
        <v>1.0037732571428572E-5</v>
      </c>
      <c r="I226" s="15" cm="1">
        <f t="array" ref="I226">MMS_Poultry_N2ODirect_Equations.VEERG_4_6_1_3__1_TotalAnnualDirectNitrousOxideEmissionsFromMMS(H109, _xlfn.XLOOKUP($D226, $D$138:$D$145,$E$138:$E$145), $I$217)</f>
        <v>8.5511108571428573E-6</v>
      </c>
      <c r="J226" s="16"/>
      <c r="N226" s="15" t="str">
        <f>INDEX(X_Table_Poultry_Stage1MMS,3,1)</f>
        <v>Belt manure removal</v>
      </c>
      <c r="O226" s="15" t="s">
        <v>124</v>
      </c>
      <c r="P226" s="15" cm="1">
        <f t="array" ref="P226">MMS_Poultry_N2ODirect_Equations.VEERG_4_6_1_3__1_TotalAnnualDirectNitrousOxideEmissionsFromMMS(O109, _xlfn.XLOOKUP($N226, $D$138:$D$145,$E$138:$E$145), $I$217)</f>
        <v>8.0112685714285736E-6</v>
      </c>
      <c r="Q226" s="15" cm="1">
        <f t="array" ref="Q226">MMS_Poultry_N2ODirect_Equations.VEERG_4_6_1_3__1_TotalAnnualDirectNitrousOxideEmissionsFromMMS(P109, _xlfn.XLOOKUP($N226, $D$138:$D$145,$E$138:$E$145), $I$217)</f>
        <v>8.5511108571428573E-6</v>
      </c>
      <c r="R226" s="15" cm="1">
        <f t="array" ref="R226">MMS_Poultry_N2ODirect_Equations.VEERG_4_6_1_3__1_TotalAnnualDirectNitrousOxideEmissionsFromMMS(Q109, _xlfn.XLOOKUP($N226, $D$138:$D$145,$E$138:$E$145), $I$217)</f>
        <v>1.0037732571428572E-5</v>
      </c>
      <c r="S226" s="15" cm="1">
        <f t="array" ref="S226">MMS_Poultry_N2ODirect_Equations.VEERG_4_6_1_3__1_TotalAnnualDirectNitrousOxideEmissionsFromMMS(R109, _xlfn.XLOOKUP($N226, $D$138:$D$145,$E$138:$E$145), $I$217)</f>
        <v>8.5511108571428573E-6</v>
      </c>
      <c r="T226" s="16"/>
    </row>
    <row r="227" spans="4:20" ht="20.100000000000001" customHeight="1" x14ac:dyDescent="0.2">
      <c r="D227" s="15" t="str">
        <f>INDEX(X_Table_Poultry_Stage1MMS,4,1)</f>
        <v>Manure stored in house</v>
      </c>
      <c r="E227" s="15" t="s">
        <v>124</v>
      </c>
      <c r="F227" s="15" cm="1">
        <f t="array" ref="F227">MMS_Poultry_N2ODirect_Equations.VEERG_4_6_1_3__1_TotalAnnualDirectNitrousOxideEmissionsFromMMS(E110, _xlfn.XLOOKUP($D227, $D$138:$D$145,$E$138:$E$145), $I$217)</f>
        <v>8.0112685714285736E-6</v>
      </c>
      <c r="G227" s="15" cm="1">
        <f t="array" ref="G227">MMS_Poultry_N2ODirect_Equations.VEERG_4_6_1_3__1_TotalAnnualDirectNitrousOxideEmissionsFromMMS(F110, _xlfn.XLOOKUP($D227, $D$138:$D$145,$E$138:$E$145), $I$217)</f>
        <v>8.5511108571428573E-6</v>
      </c>
      <c r="H227" s="15" cm="1">
        <f t="array" ref="H227">MMS_Poultry_N2ODirect_Equations.VEERG_4_6_1_3__1_TotalAnnualDirectNitrousOxideEmissionsFromMMS(G110, _xlfn.XLOOKUP($D227, $D$138:$D$145,$E$138:$E$145), $I$217)</f>
        <v>1.0037732571428572E-5</v>
      </c>
      <c r="I227" s="15" cm="1">
        <f t="array" ref="I227">MMS_Poultry_N2ODirect_Equations.VEERG_4_6_1_3__1_TotalAnnualDirectNitrousOxideEmissionsFromMMS(H110, _xlfn.XLOOKUP($D227, $D$138:$D$145,$E$138:$E$145), $I$217)</f>
        <v>8.5511108571428573E-6</v>
      </c>
      <c r="J227" s="16"/>
      <c r="N227" s="15" t="str">
        <f>INDEX(X_Table_Poultry_Stage1MMS,4,1)</f>
        <v>Manure stored in house</v>
      </c>
      <c r="O227" s="15" t="s">
        <v>124</v>
      </c>
      <c r="P227" s="15" cm="1">
        <f t="array" ref="P227">MMS_Poultry_N2ODirect_Equations.VEERG_4_6_1_3__1_TotalAnnualDirectNitrousOxideEmissionsFromMMS(O110, _xlfn.XLOOKUP($N227, $D$138:$D$145,$E$138:$E$145), $I$217)</f>
        <v>8.0112685714285736E-6</v>
      </c>
      <c r="Q227" s="15" cm="1">
        <f t="array" ref="Q227">MMS_Poultry_N2ODirect_Equations.VEERG_4_6_1_3__1_TotalAnnualDirectNitrousOxideEmissionsFromMMS(P110, _xlfn.XLOOKUP($N227, $D$138:$D$145,$E$138:$E$145), $I$217)</f>
        <v>8.5511108571428573E-6</v>
      </c>
      <c r="R227" s="15" cm="1">
        <f t="array" ref="R227">MMS_Poultry_N2ODirect_Equations.VEERG_4_6_1_3__1_TotalAnnualDirectNitrousOxideEmissionsFromMMS(Q110, _xlfn.XLOOKUP($N227, $D$138:$D$145,$E$138:$E$145), $I$217)</f>
        <v>1.0037732571428572E-5</v>
      </c>
      <c r="S227" s="15" cm="1">
        <f t="array" ref="S227">MMS_Poultry_N2ODirect_Equations.VEERG_4_6_1_3__1_TotalAnnualDirectNitrousOxideEmissionsFromMMS(R110, _xlfn.XLOOKUP($N227, $D$138:$D$145,$E$138:$E$145), $I$217)</f>
        <v>8.5511108571428573E-6</v>
      </c>
      <c r="T227" s="16"/>
    </row>
    <row r="228" spans="4:20" ht="20.100000000000001" customHeight="1" x14ac:dyDescent="0.2">
      <c r="D228" s="15" t="str">
        <f>INDEX(X_Table_Poultry_Stage1MMS,5,1)</f>
        <v>Pasture range and paddock</v>
      </c>
      <c r="E228" s="15" t="s">
        <v>124</v>
      </c>
      <c r="F228" s="15" cm="1">
        <f t="array" ref="F228">MMS_Poultry_N2ODirect_Equations.VEERG_4_6_1_3__1_TotalAnnualDirectNitrousOxideEmissionsFromMMS(E111, _xlfn.XLOOKUP($D228, $D$138:$D$145,$E$138:$E$145), $I$217)</f>
        <v>5.3408457142857159E-5</v>
      </c>
      <c r="G228" s="15" cm="1">
        <f t="array" ref="G228">MMS_Poultry_N2ODirect_Equations.VEERG_4_6_1_3__1_TotalAnnualDirectNitrousOxideEmissionsFromMMS(F111, _xlfn.XLOOKUP($D228, $D$138:$D$145,$E$138:$E$145), $I$217)</f>
        <v>5.700740571428572E-5</v>
      </c>
      <c r="H228" s="15" cm="1">
        <f t="array" ref="H228">MMS_Poultry_N2ODirect_Equations.VEERG_4_6_1_3__1_TotalAnnualDirectNitrousOxideEmissionsFromMMS(G111, _xlfn.XLOOKUP($D228, $D$138:$D$145,$E$138:$E$145), $I$217)</f>
        <v>6.6918217142857147E-5</v>
      </c>
      <c r="I228" s="15" cm="1">
        <f t="array" ref="I228">MMS_Poultry_N2ODirect_Equations.VEERG_4_6_1_3__1_TotalAnnualDirectNitrousOxideEmissionsFromMMS(H111, _xlfn.XLOOKUP($D228, $D$138:$D$145,$E$138:$E$145), $I$217)</f>
        <v>5.700740571428572E-5</v>
      </c>
      <c r="J228" s="16"/>
      <c r="N228" s="15" t="str">
        <f>INDEX(X_Table_Poultry_Stage1MMS,5,1)</f>
        <v>Pasture range and paddock</v>
      </c>
      <c r="O228" s="15" t="s">
        <v>124</v>
      </c>
      <c r="P228" s="15" cm="1">
        <f t="array" ref="P228">MMS_Poultry_N2ODirect_Equations.VEERG_4_6_1_3__1_TotalAnnualDirectNitrousOxideEmissionsFromMMS(O111, _xlfn.XLOOKUP($N228, $D$138:$D$145,$E$138:$E$145), $I$217)</f>
        <v>5.3408457142857159E-5</v>
      </c>
      <c r="Q228" s="15" cm="1">
        <f t="array" ref="Q228">MMS_Poultry_N2ODirect_Equations.VEERG_4_6_1_3__1_TotalAnnualDirectNitrousOxideEmissionsFromMMS(P111, _xlfn.XLOOKUP($N228, $D$138:$D$145,$E$138:$E$145), $I$217)</f>
        <v>5.700740571428572E-5</v>
      </c>
      <c r="R228" s="15" cm="1">
        <f t="array" ref="R228">MMS_Poultry_N2ODirect_Equations.VEERG_4_6_1_3__1_TotalAnnualDirectNitrousOxideEmissionsFromMMS(Q111, _xlfn.XLOOKUP($N228, $D$138:$D$145,$E$138:$E$145), $I$217)</f>
        <v>6.6918217142857147E-5</v>
      </c>
      <c r="S228" s="15" cm="1">
        <f t="array" ref="S228">MMS_Poultry_N2ODirect_Equations.VEERG_4_6_1_3__1_TotalAnnualDirectNitrousOxideEmissionsFromMMS(R111, _xlfn.XLOOKUP($N228, $D$138:$D$145,$E$138:$E$145), $I$217)</f>
        <v>5.700740571428572E-5</v>
      </c>
      <c r="T228" s="16"/>
    </row>
    <row r="229" spans="4:20" ht="20.100000000000001" customHeight="1" x14ac:dyDescent="0.2">
      <c r="D229" s="15" t="str">
        <f>INDEX(X_Table_Poultry_Stage1MMS,2,1)</f>
        <v>Poultry manure with bedding</v>
      </c>
      <c r="E229" s="15" t="str">
        <f>INDEX(X_Table_Poultry_Stage2MMS_PoultryManureWithBedding,2,1)</f>
        <v>Solid storage</v>
      </c>
      <c r="F229" s="15" cm="1">
        <f t="array" ref="F229">MMS_Poultry_N2ODirect_Equations.VEERG_4_6_1_3__1_TotalAnnualDirectNitrousOxideEmissionsFromMMS(F189, _xlfn.XLOOKUP($E229, $D$138:$D$145,$E$138:$E$145), $I$217)</f>
        <v>5.5998767314285723E-6</v>
      </c>
      <c r="G229" s="15" cm="1">
        <f t="array" ref="G229">MMS_Poultry_N2ODirect_Equations.VEERG_4_6_1_3__1_TotalAnnualDirectNitrousOxideEmissionsFromMMS(G189, _xlfn.XLOOKUP($E229, $D$138:$D$145,$E$138:$E$145), $I$217)</f>
        <v>5.9772264891428572E-6</v>
      </c>
      <c r="H229" s="15" cm="1">
        <f t="array" ref="H229">MMS_Poultry_N2ODirect_Equations.VEERG_4_6_1_3__1_TotalAnnualDirectNitrousOxideEmissionsFromMMS(H189, _xlfn.XLOOKUP($E229, $D$138:$D$145,$E$138:$E$145), $I$217)</f>
        <v>7.0163750674285713E-6</v>
      </c>
      <c r="I229" s="15" cm="1">
        <f t="array" ref="I229">MMS_Poultry_N2ODirect_Equations.VEERG_4_6_1_3__1_TotalAnnualDirectNitrousOxideEmissionsFromMMS(I189, _xlfn.XLOOKUP($E229, $D$138:$D$145,$E$138:$E$145), $I$217)</f>
        <v>5.9772264891428572E-6</v>
      </c>
      <c r="J229" s="16"/>
      <c r="N229" s="15" t="str">
        <f>INDEX(X_Table_Poultry_Stage1MMS,2,1)</f>
        <v>Poultry manure with bedding</v>
      </c>
      <c r="O229" s="15" t="str">
        <f>INDEX(X_Table_Poultry_Stage2MMS_PoultryManureWithBedding,2,1)</f>
        <v>Solid storage</v>
      </c>
      <c r="P229" s="15" cm="1">
        <f t="array" ref="P229">MMS_Poultry_N2ODirect_Equations.VEERG_4_6_1_3__1_TotalAnnualDirectNitrousOxideEmissionsFromMMS(P189, _xlfn.XLOOKUP($O229, $D$138:$D$145,$E$138:$E$145), $I$217)</f>
        <v>5.5998767314285723E-6</v>
      </c>
      <c r="Q229" s="15" cm="1">
        <f t="array" ref="Q229">MMS_Poultry_N2ODirect_Equations.VEERG_4_6_1_3__1_TotalAnnualDirectNitrousOxideEmissionsFromMMS(Q189, _xlfn.XLOOKUP($O229, $D$138:$D$145,$E$138:$E$145), $I$217)</f>
        <v>5.9772264891428572E-6</v>
      </c>
      <c r="R229" s="15" cm="1">
        <f t="array" ref="R229">MMS_Poultry_N2ODirect_Equations.VEERG_4_6_1_3__1_TotalAnnualDirectNitrousOxideEmissionsFromMMS(R189, _xlfn.XLOOKUP($O229, $D$138:$D$145,$E$138:$E$145), $I$217)</f>
        <v>7.0163750674285713E-6</v>
      </c>
      <c r="S229" s="15" cm="1">
        <f t="array" ref="S229">MMS_Poultry_N2ODirect_Equations.VEERG_4_6_1_3__1_TotalAnnualDirectNitrousOxideEmissionsFromMMS(S189, _xlfn.XLOOKUP($O229, $D$138:$D$145,$E$138:$E$145), $I$217)</f>
        <v>5.9772264891428572E-6</v>
      </c>
      <c r="T229" s="16"/>
    </row>
    <row r="230" spans="4:20" ht="20.100000000000001" customHeight="1" x14ac:dyDescent="0.2">
      <c r="D230" s="15"/>
      <c r="E230" s="15" t="str">
        <f>INDEX(X_Table_Poultry_Stage2MMS_PoultryManureWithBedding,3,1)</f>
        <v>Composting (passive windrow)</v>
      </c>
      <c r="F230" s="15" cm="1">
        <f t="array" ref="F230">MMS_Poultry_N2ODirect_Equations.VEERG_4_6_1_3__1_TotalAnnualDirectNitrousOxideEmissionsFromMMS(F190, _xlfn.XLOOKUP($E230, $D$138:$D$145,$E$138:$E$145), $I$217)</f>
        <v>1.1199753462857145E-5</v>
      </c>
      <c r="G230" s="15" cm="1">
        <f t="array" ref="G230">MMS_Poultry_N2ODirect_Equations.VEERG_4_6_1_3__1_TotalAnnualDirectNitrousOxideEmissionsFromMMS(G190, _xlfn.XLOOKUP($E230, $D$138:$D$145,$E$138:$E$145), $I$217)</f>
        <v>1.1954452978285714E-5</v>
      </c>
      <c r="H230" s="15" cm="1">
        <f t="array" ref="H230">MMS_Poultry_N2ODirect_Equations.VEERG_4_6_1_3__1_TotalAnnualDirectNitrousOxideEmissionsFromMMS(H190, _xlfn.XLOOKUP($E230, $D$138:$D$145,$E$138:$E$145), $I$217)</f>
        <v>1.4032750134857143E-5</v>
      </c>
      <c r="I230" s="15" cm="1">
        <f t="array" ref="I230">MMS_Poultry_N2ODirect_Equations.VEERG_4_6_1_3__1_TotalAnnualDirectNitrousOxideEmissionsFromMMS(I190, _xlfn.XLOOKUP($E230, $D$138:$D$145,$E$138:$E$145), $I$217)</f>
        <v>1.1954452978285714E-5</v>
      </c>
      <c r="J230" s="16"/>
      <c r="N230" s="15"/>
      <c r="O230" s="15" t="str">
        <f>INDEX(X_Table_Poultry_Stage2MMS_PoultryManureWithBedding,3,1)</f>
        <v>Composting (passive windrow)</v>
      </c>
      <c r="P230" s="15" cm="1">
        <f t="array" ref="P230">MMS_Poultry_N2ODirect_Equations.VEERG_4_6_1_3__1_TotalAnnualDirectNitrousOxideEmissionsFromMMS(P190, _xlfn.XLOOKUP($O230, $D$138:$D$145,$E$138:$E$145), $I$217)</f>
        <v>1.1199753462857145E-5</v>
      </c>
      <c r="Q230" s="15" cm="1">
        <f t="array" ref="Q230">MMS_Poultry_N2ODirect_Equations.VEERG_4_6_1_3__1_TotalAnnualDirectNitrousOxideEmissionsFromMMS(Q190, _xlfn.XLOOKUP($O230, $D$138:$D$145,$E$138:$E$145), $I$217)</f>
        <v>1.1954452978285714E-5</v>
      </c>
      <c r="R230" s="15" cm="1">
        <f t="array" ref="R230">MMS_Poultry_N2ODirect_Equations.VEERG_4_6_1_3__1_TotalAnnualDirectNitrousOxideEmissionsFromMMS(R190, _xlfn.XLOOKUP($O230, $D$138:$D$145,$E$138:$E$145), $I$217)</f>
        <v>1.4032750134857143E-5</v>
      </c>
      <c r="S230" s="15" cm="1">
        <f t="array" ref="S230">MMS_Poultry_N2ODirect_Equations.VEERG_4_6_1_3__1_TotalAnnualDirectNitrousOxideEmissionsFromMMS(S190, _xlfn.XLOOKUP($O230, $D$138:$D$145,$E$138:$E$145), $I$217)</f>
        <v>1.1954452978285714E-5</v>
      </c>
      <c r="T230" s="16"/>
    </row>
    <row r="231" spans="4:20" ht="20.100000000000001" customHeight="1" x14ac:dyDescent="0.2">
      <c r="D231" s="15"/>
      <c r="E231" s="15" t="str">
        <f>INDEX(X_Table_Poultry_Stage2MMS_PoultryManureWithBedding,4,1)</f>
        <v>Digester / covered lagoons</v>
      </c>
      <c r="F231" s="15" cm="1">
        <f t="array" ref="F231">MMS_Poultry_N2ODirect_Equations.VEERG_4_6_1_3__1_TotalAnnualDirectNitrousOxideEmissionsFromMMS(F191, _xlfn.XLOOKUP($E231, $D$138:$D$145,$E$138:$E$145), $I$217)</f>
        <v>0</v>
      </c>
      <c r="G231" s="15" cm="1">
        <f t="array" ref="G231">MMS_Poultry_N2ODirect_Equations.VEERG_4_6_1_3__1_TotalAnnualDirectNitrousOxideEmissionsFromMMS(G191, _xlfn.XLOOKUP($E231, $D$138:$D$145,$E$138:$E$145), $I$217)</f>
        <v>0</v>
      </c>
      <c r="H231" s="15" cm="1">
        <f t="array" ref="H231">MMS_Poultry_N2ODirect_Equations.VEERG_4_6_1_3__1_TotalAnnualDirectNitrousOxideEmissionsFromMMS(H191, _xlfn.XLOOKUP($E231, $D$138:$D$145,$E$138:$E$145), $I$217)</f>
        <v>0</v>
      </c>
      <c r="I231" s="15" cm="1">
        <f t="array" ref="I231">MMS_Poultry_N2ODirect_Equations.VEERG_4_6_1_3__1_TotalAnnualDirectNitrousOxideEmissionsFromMMS(I191, _xlfn.XLOOKUP($E231, $D$138:$D$145,$E$138:$E$145), $I$217)</f>
        <v>0</v>
      </c>
      <c r="J231" s="16"/>
      <c r="N231" s="15"/>
      <c r="O231" s="15" t="str">
        <f>INDEX(X_Table_Poultry_Stage2MMS_PoultryManureWithBedding,4,1)</f>
        <v>Digester / covered lagoons</v>
      </c>
      <c r="P231" s="15" cm="1">
        <f t="array" ref="P231">MMS_Poultry_N2ODirect_Equations.VEERG_4_6_1_3__1_TotalAnnualDirectNitrousOxideEmissionsFromMMS(P191, _xlfn.XLOOKUP($O231, $D$138:$D$145,$E$138:$E$145), $I$217)</f>
        <v>0</v>
      </c>
      <c r="Q231" s="15" cm="1">
        <f t="array" ref="Q231">MMS_Poultry_N2ODirect_Equations.VEERG_4_6_1_3__1_TotalAnnualDirectNitrousOxideEmissionsFromMMS(Q191, _xlfn.XLOOKUP($O231, $D$138:$D$145,$E$138:$E$145), $I$217)</f>
        <v>0</v>
      </c>
      <c r="R231" s="15" cm="1">
        <f t="array" ref="R231">MMS_Poultry_N2ODirect_Equations.VEERG_4_6_1_3__1_TotalAnnualDirectNitrousOxideEmissionsFromMMS(R191, _xlfn.XLOOKUP($O231, $D$138:$D$145,$E$138:$E$145), $I$217)</f>
        <v>0</v>
      </c>
      <c r="S231" s="15" cm="1">
        <f t="array" ref="S231">MMS_Poultry_N2ODirect_Equations.VEERG_4_6_1_3__1_TotalAnnualDirectNitrousOxideEmissionsFromMMS(S191, _xlfn.XLOOKUP($O231, $D$138:$D$145,$E$138:$E$145), $I$217)</f>
        <v>0</v>
      </c>
      <c r="T231" s="16"/>
    </row>
    <row r="232" spans="4:20" ht="20.100000000000001" customHeight="1" x14ac:dyDescent="0.2">
      <c r="D232" s="15"/>
      <c r="E232" s="15" t="str">
        <f>INDEX(X_Table_Poultry_Stage2MMS_PoultryManureWithBedding,5,1)</f>
        <v>Direct processing</v>
      </c>
      <c r="F232" s="15" cm="1">
        <f t="array" ref="F232">MMS_Poultry_N2ODirect_Equations.VEERG_4_6_1_3__1_TotalAnnualDirectNitrousOxideEmissionsFromMMS(F192, _xlfn.XLOOKUP($E232, $D$138:$D$145,$E$138:$E$145), $I$217)</f>
        <v>0</v>
      </c>
      <c r="G232" s="15" cm="1">
        <f t="array" ref="G232">MMS_Poultry_N2ODirect_Equations.VEERG_4_6_1_3__1_TotalAnnualDirectNitrousOxideEmissionsFromMMS(G192, _xlfn.XLOOKUP($E232, $D$138:$D$145,$E$138:$E$145), $I$217)</f>
        <v>0</v>
      </c>
      <c r="H232" s="15" cm="1">
        <f t="array" ref="H232">MMS_Poultry_N2ODirect_Equations.VEERG_4_6_1_3__1_TotalAnnualDirectNitrousOxideEmissionsFromMMS(H192, _xlfn.XLOOKUP($E232, $D$138:$D$145,$E$138:$E$145), $I$217)</f>
        <v>0</v>
      </c>
      <c r="I232" s="15" cm="1">
        <f t="array" ref="I232">MMS_Poultry_N2ODirect_Equations.VEERG_4_6_1_3__1_TotalAnnualDirectNitrousOxideEmissionsFromMMS(I192, _xlfn.XLOOKUP($E232, $D$138:$D$145,$E$138:$E$145), $I$217)</f>
        <v>0</v>
      </c>
      <c r="J232" s="16"/>
      <c r="N232" s="15"/>
      <c r="O232" s="15" t="str">
        <f>INDEX(X_Table_Poultry_Stage2MMS_PoultryManureWithBedding,5,1)</f>
        <v>Direct processing</v>
      </c>
      <c r="P232" s="15" cm="1">
        <f t="array" ref="P232">MMS_Poultry_N2ODirect_Equations.VEERG_4_6_1_3__1_TotalAnnualDirectNitrousOxideEmissionsFromMMS(P192, _xlfn.XLOOKUP($O232, $D$138:$D$145,$E$138:$E$145), $I$217)</f>
        <v>0</v>
      </c>
      <c r="Q232" s="15" cm="1">
        <f t="array" ref="Q232">MMS_Poultry_N2ODirect_Equations.VEERG_4_6_1_3__1_TotalAnnualDirectNitrousOxideEmissionsFromMMS(Q192, _xlfn.XLOOKUP($O232, $D$138:$D$145,$E$138:$E$145), $I$217)</f>
        <v>0</v>
      </c>
      <c r="R232" s="15" cm="1">
        <f t="array" ref="R232">MMS_Poultry_N2ODirect_Equations.VEERG_4_6_1_3__1_TotalAnnualDirectNitrousOxideEmissionsFromMMS(R192, _xlfn.XLOOKUP($O232, $D$138:$D$145,$E$138:$E$145), $I$217)</f>
        <v>0</v>
      </c>
      <c r="S232" s="15" cm="1">
        <f t="array" ref="S232">MMS_Poultry_N2ODirect_Equations.VEERG_4_6_1_3__1_TotalAnnualDirectNitrousOxideEmissionsFromMMS(S192, _xlfn.XLOOKUP($O232, $D$138:$D$145,$E$138:$E$145), $I$217)</f>
        <v>0</v>
      </c>
      <c r="T232" s="16"/>
    </row>
    <row r="233" spans="4:20" ht="20.100000000000001" customHeight="1" x14ac:dyDescent="0.2">
      <c r="D233" s="15"/>
      <c r="E233" s="15" t="str">
        <f>INDEX(X_Table_Poultry_Stage2MMS_PoultryManureWithBedding,6,1)</f>
        <v>Direct application</v>
      </c>
      <c r="F233" s="15" t="s">
        <v>124</v>
      </c>
      <c r="G233" s="15" t="s">
        <v>124</v>
      </c>
      <c r="H233" s="15" t="s">
        <v>124</v>
      </c>
      <c r="I233" s="15" t="s">
        <v>124</v>
      </c>
      <c r="N233" s="15"/>
      <c r="O233" s="15" t="str">
        <f>INDEX(X_Table_Poultry_Stage2MMS_PoultryManureWithBedding,6,1)</f>
        <v>Direct application</v>
      </c>
      <c r="P233" s="15" t="s">
        <v>124</v>
      </c>
      <c r="Q233" s="15" t="s">
        <v>124</v>
      </c>
      <c r="R233" s="15" t="s">
        <v>124</v>
      </c>
      <c r="S233" s="15" t="s">
        <v>124</v>
      </c>
    </row>
    <row r="234" spans="4:20" ht="20.100000000000001" customHeight="1" x14ac:dyDescent="0.2">
      <c r="D234" s="15" t="str">
        <f>INDEX(X_Table_Poultry_Stage1MMS,3,1)</f>
        <v>Belt manure removal</v>
      </c>
      <c r="E234" s="15" t="str">
        <f>INDEX(X_Table_Poultry_Stage2MMS_BeltManureRemoval,2,1)</f>
        <v>Solid storage</v>
      </c>
      <c r="F234" s="15" cm="1">
        <f t="array" ref="F234">MMS_Poultry_N2ODirect_Equations.VEERG_4_6_1_3__1_TotalAnnualDirectNitrousOxideEmissionsFromMMS(F194, _xlfn.XLOOKUP($E234, $D$138:$D$145,$E$138:$E$145), $I$217)</f>
        <v>7.6026938742857157E-6</v>
      </c>
      <c r="G234" s="15" cm="1">
        <f t="array" ref="G234">MMS_Poultry_N2ODirect_Equations.VEERG_4_6_1_3__1_TotalAnnualDirectNitrousOxideEmissionsFromMMS(G194, _xlfn.XLOOKUP($E234, $D$138:$D$145,$E$138:$E$145), $I$217)</f>
        <v>8.1150042034285711E-6</v>
      </c>
      <c r="H234" s="15" cm="1">
        <f t="array" ref="H234">MMS_Poultry_N2ODirect_Equations.VEERG_4_6_1_3__1_TotalAnnualDirectNitrousOxideEmissionsFromMMS(H194, _xlfn.XLOOKUP($E234, $D$138:$D$145,$E$138:$E$145), $I$217)</f>
        <v>9.5258082102857138E-6</v>
      </c>
      <c r="I234" s="15" cm="1">
        <f t="array" ref="I234">MMS_Poultry_N2ODirect_Equations.VEERG_4_6_1_3__1_TotalAnnualDirectNitrousOxideEmissionsFromMMS(I194, _xlfn.XLOOKUP($E234, $D$138:$D$145,$E$138:$E$145), $I$217)</f>
        <v>8.1150042034285711E-6</v>
      </c>
      <c r="J234" s="16"/>
      <c r="N234" s="15" t="str">
        <f>INDEX(X_Table_Poultry_Stage1MMS,3,1)</f>
        <v>Belt manure removal</v>
      </c>
      <c r="O234" s="15" t="str">
        <f>INDEX(X_Table_Poultry_Stage2MMS_BeltManureRemoval,2,1)</f>
        <v>Solid storage</v>
      </c>
      <c r="P234" s="15" cm="1">
        <f t="array" ref="P234">MMS_Poultry_N2ODirect_Equations.VEERG_4_6_1_3__1_TotalAnnualDirectNitrousOxideEmissionsFromMMS(P194, _xlfn.XLOOKUP($O234, $D$138:$D$145,$E$138:$E$145), $I$217)</f>
        <v>7.6026938742857157E-6</v>
      </c>
      <c r="Q234" s="15" cm="1">
        <f t="array" ref="Q234">MMS_Poultry_N2ODirect_Equations.VEERG_4_6_1_3__1_TotalAnnualDirectNitrousOxideEmissionsFromMMS(Q194, _xlfn.XLOOKUP($O234, $D$138:$D$145,$E$138:$E$145), $I$217)</f>
        <v>8.1150042034285711E-6</v>
      </c>
      <c r="R234" s="15" cm="1">
        <f t="array" ref="R234">MMS_Poultry_N2ODirect_Equations.VEERG_4_6_1_3__1_TotalAnnualDirectNitrousOxideEmissionsFromMMS(R194, _xlfn.XLOOKUP($O234, $D$138:$D$145,$E$138:$E$145), $I$217)</f>
        <v>9.5258082102857138E-6</v>
      </c>
      <c r="S234" s="15" cm="1">
        <f t="array" ref="S234">MMS_Poultry_N2ODirect_Equations.VEERG_4_6_1_3__1_TotalAnnualDirectNitrousOxideEmissionsFromMMS(S194, _xlfn.XLOOKUP($O234, $D$138:$D$145,$E$138:$E$145), $I$217)</f>
        <v>8.1150042034285711E-6</v>
      </c>
      <c r="T234" s="16"/>
    </row>
    <row r="235" spans="4:20" ht="20.100000000000001" customHeight="1" x14ac:dyDescent="0.2">
      <c r="D235" s="15"/>
      <c r="E235" s="15" t="str">
        <f>INDEX(X_Table_Poultry_Stage2MMS_BeltManureRemoval,3,1)</f>
        <v>Composting (passive windrow)</v>
      </c>
      <c r="F235" s="15" cm="1">
        <f t="array" ref="F235">MMS_Poultry_N2ODirect_Equations.VEERG_4_6_1_3__1_TotalAnnualDirectNitrousOxideEmissionsFromMMS(F195, _xlfn.XLOOKUP($E235, $D$138:$D$145,$E$138:$E$145), $I$217)</f>
        <v>1.5205387748571431E-5</v>
      </c>
      <c r="G235" s="15" cm="1">
        <f t="array" ref="G235">MMS_Poultry_N2ODirect_Equations.VEERG_4_6_1_3__1_TotalAnnualDirectNitrousOxideEmissionsFromMMS(G195, _xlfn.XLOOKUP($E235, $D$138:$D$145,$E$138:$E$145), $I$217)</f>
        <v>1.6230008406857142E-5</v>
      </c>
      <c r="H235" s="15" cm="1">
        <f t="array" ref="H235">MMS_Poultry_N2ODirect_Equations.VEERG_4_6_1_3__1_TotalAnnualDirectNitrousOxideEmissionsFromMMS(H195, _xlfn.XLOOKUP($E235, $D$138:$D$145,$E$138:$E$145), $I$217)</f>
        <v>1.9051616420571428E-5</v>
      </c>
      <c r="I235" s="15" cm="1">
        <f t="array" ref="I235">MMS_Poultry_N2ODirect_Equations.VEERG_4_6_1_3__1_TotalAnnualDirectNitrousOxideEmissionsFromMMS(I195, _xlfn.XLOOKUP($E235, $D$138:$D$145,$E$138:$E$145), $I$217)</f>
        <v>1.6230008406857142E-5</v>
      </c>
      <c r="J235" s="16"/>
      <c r="N235" s="15"/>
      <c r="O235" s="15" t="str">
        <f>INDEX(X_Table_Poultry_Stage2MMS_BeltManureRemoval,3,1)</f>
        <v>Composting (passive windrow)</v>
      </c>
      <c r="P235" s="15" cm="1">
        <f t="array" ref="P235">MMS_Poultry_N2ODirect_Equations.VEERG_4_6_1_3__1_TotalAnnualDirectNitrousOxideEmissionsFromMMS(P195, _xlfn.XLOOKUP($O235, $D$138:$D$145,$E$138:$E$145), $I$217)</f>
        <v>1.5205387748571431E-5</v>
      </c>
      <c r="Q235" s="15" cm="1">
        <f t="array" ref="Q235">MMS_Poultry_N2ODirect_Equations.VEERG_4_6_1_3__1_TotalAnnualDirectNitrousOxideEmissionsFromMMS(Q195, _xlfn.XLOOKUP($O235, $D$138:$D$145,$E$138:$E$145), $I$217)</f>
        <v>1.6230008406857142E-5</v>
      </c>
      <c r="R235" s="15" cm="1">
        <f t="array" ref="R235">MMS_Poultry_N2ODirect_Equations.VEERG_4_6_1_3__1_TotalAnnualDirectNitrousOxideEmissionsFromMMS(R195, _xlfn.XLOOKUP($O235, $D$138:$D$145,$E$138:$E$145), $I$217)</f>
        <v>1.9051616420571428E-5</v>
      </c>
      <c r="S235" s="15" cm="1">
        <f t="array" ref="S235">MMS_Poultry_N2ODirect_Equations.VEERG_4_6_1_3__1_TotalAnnualDirectNitrousOxideEmissionsFromMMS(S195, _xlfn.XLOOKUP($O235, $D$138:$D$145,$E$138:$E$145), $I$217)</f>
        <v>1.6230008406857142E-5</v>
      </c>
      <c r="T235" s="16"/>
    </row>
    <row r="236" spans="4:20" ht="20.100000000000001" customHeight="1" x14ac:dyDescent="0.2">
      <c r="D236" s="15"/>
      <c r="E236" s="15" t="str">
        <f>INDEX(X_Table_Poultry_Stage2MMS_BeltManureRemoval,4,1)</f>
        <v>Digester / covered lagoons</v>
      </c>
      <c r="F236" s="15" cm="1">
        <f t="array" ref="F236">MMS_Poultry_N2ODirect_Equations.VEERG_4_6_1_3__1_TotalAnnualDirectNitrousOxideEmissionsFromMMS(F196, _xlfn.XLOOKUP($E236, $D$138:$D$145,$E$138:$E$145), $I$217)</f>
        <v>0</v>
      </c>
      <c r="G236" s="15" cm="1">
        <f t="array" ref="G236">MMS_Poultry_N2ODirect_Equations.VEERG_4_6_1_3__1_TotalAnnualDirectNitrousOxideEmissionsFromMMS(G196, _xlfn.XLOOKUP($E236, $D$138:$D$145,$E$138:$E$145), $I$217)</f>
        <v>0</v>
      </c>
      <c r="H236" s="15" cm="1">
        <f t="array" ref="H236">MMS_Poultry_N2ODirect_Equations.VEERG_4_6_1_3__1_TotalAnnualDirectNitrousOxideEmissionsFromMMS(H196, _xlfn.XLOOKUP($E236, $D$138:$D$145,$E$138:$E$145), $I$217)</f>
        <v>0</v>
      </c>
      <c r="I236" s="15" cm="1">
        <f t="array" ref="I236">MMS_Poultry_N2ODirect_Equations.VEERG_4_6_1_3__1_TotalAnnualDirectNitrousOxideEmissionsFromMMS(I196, _xlfn.XLOOKUP($E236, $D$138:$D$145,$E$138:$E$145), $I$217)</f>
        <v>0</v>
      </c>
      <c r="J236" s="16"/>
      <c r="N236" s="15"/>
      <c r="O236" s="15" t="str">
        <f>INDEX(X_Table_Poultry_Stage2MMS_BeltManureRemoval,4,1)</f>
        <v>Digester / covered lagoons</v>
      </c>
      <c r="P236" s="15" cm="1">
        <f t="array" ref="P236">MMS_Poultry_N2ODirect_Equations.VEERG_4_6_1_3__1_TotalAnnualDirectNitrousOxideEmissionsFromMMS(P196, _xlfn.XLOOKUP($O236, $D$138:$D$145,$E$138:$E$145), $I$217)</f>
        <v>0</v>
      </c>
      <c r="Q236" s="15" cm="1">
        <f t="array" ref="Q236">MMS_Poultry_N2ODirect_Equations.VEERG_4_6_1_3__1_TotalAnnualDirectNitrousOxideEmissionsFromMMS(Q196, _xlfn.XLOOKUP($O236, $D$138:$D$145,$E$138:$E$145), $I$217)</f>
        <v>0</v>
      </c>
      <c r="R236" s="15" cm="1">
        <f t="array" ref="R236">MMS_Poultry_N2ODirect_Equations.VEERG_4_6_1_3__1_TotalAnnualDirectNitrousOxideEmissionsFromMMS(R196, _xlfn.XLOOKUP($O236, $D$138:$D$145,$E$138:$E$145), $I$217)</f>
        <v>0</v>
      </c>
      <c r="S236" s="15" cm="1">
        <f t="array" ref="S236">MMS_Poultry_N2ODirect_Equations.VEERG_4_6_1_3__1_TotalAnnualDirectNitrousOxideEmissionsFromMMS(S196, _xlfn.XLOOKUP($O236, $D$138:$D$145,$E$138:$E$145), $I$217)</f>
        <v>0</v>
      </c>
      <c r="T236" s="16"/>
    </row>
    <row r="237" spans="4:20" ht="20.100000000000001" customHeight="1" x14ac:dyDescent="0.2">
      <c r="D237" s="15"/>
      <c r="E237" s="15" t="str">
        <f>INDEX(X_Table_Poultry_Stage2MMS_BeltManureRemoval,5,1)</f>
        <v>Direct processing</v>
      </c>
      <c r="F237" s="15" cm="1">
        <f t="array" ref="F237">MMS_Poultry_N2ODirect_Equations.VEERG_4_6_1_3__1_TotalAnnualDirectNitrousOxideEmissionsFromMMS(F197, _xlfn.XLOOKUP($E237, $D$138:$D$145,$E$138:$E$145), $I$217)</f>
        <v>0</v>
      </c>
      <c r="G237" s="15" cm="1">
        <f t="array" ref="G237">MMS_Poultry_N2ODirect_Equations.VEERG_4_6_1_3__1_TotalAnnualDirectNitrousOxideEmissionsFromMMS(G197, _xlfn.XLOOKUP($E237, $D$138:$D$145,$E$138:$E$145), $I$217)</f>
        <v>0</v>
      </c>
      <c r="H237" s="15" cm="1">
        <f t="array" ref="H237">MMS_Poultry_N2ODirect_Equations.VEERG_4_6_1_3__1_TotalAnnualDirectNitrousOxideEmissionsFromMMS(H197, _xlfn.XLOOKUP($E237, $D$138:$D$145,$E$138:$E$145), $I$217)</f>
        <v>0</v>
      </c>
      <c r="I237" s="15" cm="1">
        <f t="array" ref="I237">MMS_Poultry_N2ODirect_Equations.VEERG_4_6_1_3__1_TotalAnnualDirectNitrousOxideEmissionsFromMMS(I197, _xlfn.XLOOKUP($E237, $D$138:$D$145,$E$138:$E$145), $I$217)</f>
        <v>0</v>
      </c>
      <c r="J237" s="16"/>
      <c r="N237" s="15"/>
      <c r="O237" s="15" t="str">
        <f>INDEX(X_Table_Poultry_Stage2MMS_BeltManureRemoval,5,1)</f>
        <v>Direct processing</v>
      </c>
      <c r="P237" s="15" cm="1">
        <f t="array" ref="P237">MMS_Poultry_N2ODirect_Equations.VEERG_4_6_1_3__1_TotalAnnualDirectNitrousOxideEmissionsFromMMS(P197, _xlfn.XLOOKUP($O237, $D$138:$D$145,$E$138:$E$145), $I$217)</f>
        <v>0</v>
      </c>
      <c r="Q237" s="15" cm="1">
        <f t="array" ref="Q237">MMS_Poultry_N2ODirect_Equations.VEERG_4_6_1_3__1_TotalAnnualDirectNitrousOxideEmissionsFromMMS(Q197, _xlfn.XLOOKUP($O237, $D$138:$D$145,$E$138:$E$145), $I$217)</f>
        <v>0</v>
      </c>
      <c r="R237" s="15" cm="1">
        <f t="array" ref="R237">MMS_Poultry_N2ODirect_Equations.VEERG_4_6_1_3__1_TotalAnnualDirectNitrousOxideEmissionsFromMMS(R197, _xlfn.XLOOKUP($O237, $D$138:$D$145,$E$138:$E$145), $I$217)</f>
        <v>0</v>
      </c>
      <c r="S237" s="15" cm="1">
        <f t="array" ref="S237">MMS_Poultry_N2ODirect_Equations.VEERG_4_6_1_3__1_TotalAnnualDirectNitrousOxideEmissionsFromMMS(S197, _xlfn.XLOOKUP($O237, $D$138:$D$145,$E$138:$E$145), $I$217)</f>
        <v>0</v>
      </c>
      <c r="T237" s="16"/>
    </row>
    <row r="238" spans="4:20" ht="20.100000000000001" customHeight="1" x14ac:dyDescent="0.2">
      <c r="D238" s="15"/>
      <c r="E238" s="15" t="str">
        <f>INDEX(X_Table_Poultry_Stage2MMS_BeltManureRemoval,6,1)</f>
        <v>Direct application</v>
      </c>
      <c r="F238" s="15" t="s">
        <v>124</v>
      </c>
      <c r="G238" s="15" t="s">
        <v>124</v>
      </c>
      <c r="H238" s="15" t="s">
        <v>124</v>
      </c>
      <c r="I238" s="15" t="s">
        <v>124</v>
      </c>
      <c r="N238" s="15"/>
      <c r="O238" s="15" t="str">
        <f>INDEX(X_Table_Poultry_Stage2MMS_BeltManureRemoval,6,1)</f>
        <v>Direct application</v>
      </c>
      <c r="P238" s="15" t="s">
        <v>124</v>
      </c>
      <c r="Q238" s="15" t="s">
        <v>124</v>
      </c>
      <c r="R238" s="15" t="s">
        <v>124</v>
      </c>
      <c r="S238" s="15" t="s">
        <v>124</v>
      </c>
    </row>
    <row r="239" spans="4:20" ht="20.100000000000001" customHeight="1" x14ac:dyDescent="0.2">
      <c r="D239" s="15" t="str">
        <f>INDEX(X_Table_Poultry_Stage1MMS,4,1)</f>
        <v>Manure stored in house</v>
      </c>
      <c r="E239" s="15" t="str">
        <f>INDEX(X_Table_Poultry_Stage2MMS_ManureStoredInHouse,2,1)</f>
        <v>Solid storage</v>
      </c>
      <c r="F239" s="15" cm="1">
        <f t="array" ref="F239">MMS_Poultry_N2ODirect_Equations.VEERG_4_6_1_3__1_TotalAnnualDirectNitrousOxideEmissionsFromMMS(F199, _xlfn.XLOOKUP($E239, $D$138:$D$145,$E$138:$E$145), $I$217)</f>
        <v>4.7987498742857158E-6</v>
      </c>
      <c r="G239" s="15" cm="1">
        <f t="array" ref="G239">MMS_Poultry_N2ODirect_Equations.VEERG_4_6_1_3__1_TotalAnnualDirectNitrousOxideEmissionsFromMMS(G199, _xlfn.XLOOKUP($E239, $D$138:$D$145,$E$138:$E$145), $I$217)</f>
        <v>5.1221154034285713E-6</v>
      </c>
      <c r="H239" s="15" cm="1">
        <f t="array" ref="H239">MMS_Poultry_N2ODirect_Equations.VEERG_4_6_1_3__1_TotalAnnualDirectNitrousOxideEmissionsFromMMS(H199, _xlfn.XLOOKUP($E239, $D$138:$D$145,$E$138:$E$145), $I$217)</f>
        <v>6.0126018102857129E-6</v>
      </c>
      <c r="I239" s="15" cm="1">
        <f t="array" ref="I239">MMS_Poultry_N2ODirect_Equations.VEERG_4_6_1_3__1_TotalAnnualDirectNitrousOxideEmissionsFromMMS(I199, _xlfn.XLOOKUP($E239, $D$138:$D$145,$E$138:$E$145), $I$217)</f>
        <v>5.1221154034285713E-6</v>
      </c>
      <c r="J239" s="16"/>
      <c r="N239" s="15" t="str">
        <f>INDEX(X_Table_Poultry_Stage1MMS,4,1)</f>
        <v>Manure stored in house</v>
      </c>
      <c r="O239" s="15" t="str">
        <f>INDEX(X_Table_Poultry_Stage2MMS_ManureStoredInHouse,2,1)</f>
        <v>Solid storage</v>
      </c>
      <c r="P239" s="15" cm="1">
        <f t="array" ref="P239">MMS_Poultry_N2ODirect_Equations.VEERG_4_6_1_3__1_TotalAnnualDirectNitrousOxideEmissionsFromMMS(P199, _xlfn.XLOOKUP($O239, $D$138:$D$145,$E$138:$E$145), $I$217)</f>
        <v>4.7987498742857158E-6</v>
      </c>
      <c r="Q239" s="15" cm="1">
        <f t="array" ref="Q239">MMS_Poultry_N2ODirect_Equations.VEERG_4_6_1_3__1_TotalAnnualDirectNitrousOxideEmissionsFromMMS(Q199, _xlfn.XLOOKUP($O239, $D$138:$D$145,$E$138:$E$145), $I$217)</f>
        <v>5.1221154034285713E-6</v>
      </c>
      <c r="R239" s="15" cm="1">
        <f t="array" ref="R239">MMS_Poultry_N2ODirect_Equations.VEERG_4_6_1_3__1_TotalAnnualDirectNitrousOxideEmissionsFromMMS(R199, _xlfn.XLOOKUP($O239, $D$138:$D$145,$E$138:$E$145), $I$217)</f>
        <v>6.0126018102857129E-6</v>
      </c>
      <c r="S239" s="15" cm="1">
        <f t="array" ref="S239">MMS_Poultry_N2ODirect_Equations.VEERG_4_6_1_3__1_TotalAnnualDirectNitrousOxideEmissionsFromMMS(S199, _xlfn.XLOOKUP($O239, $D$138:$D$145,$E$138:$E$145), $I$217)</f>
        <v>5.1221154034285713E-6</v>
      </c>
      <c r="T239" s="16"/>
    </row>
    <row r="240" spans="4:20" ht="20.100000000000001" customHeight="1" x14ac:dyDescent="0.2">
      <c r="D240" s="15"/>
      <c r="E240" s="15" t="str">
        <f>INDEX(X_Table_Poultry_Stage2MMS_ManureStoredInHouse,3,1)</f>
        <v>Composting (passive windrow)</v>
      </c>
      <c r="F240" s="15" cm="1">
        <f t="array" ref="F240">MMS_Poultry_N2ODirect_Equations.VEERG_4_6_1_3__1_TotalAnnualDirectNitrousOxideEmissionsFromMMS(F200, _xlfn.XLOOKUP($E240, $D$138:$D$145,$E$138:$E$145), $I$217)</f>
        <v>9.5974997485714317E-6</v>
      </c>
      <c r="G240" s="15" cm="1">
        <f t="array" ref="G240">MMS_Poultry_N2ODirect_Equations.VEERG_4_6_1_3__1_TotalAnnualDirectNitrousOxideEmissionsFromMMS(G200, _xlfn.XLOOKUP($E240, $D$138:$D$145,$E$138:$E$145), $I$217)</f>
        <v>1.0244230806857143E-5</v>
      </c>
      <c r="H240" s="15" cm="1">
        <f t="array" ref="H240">MMS_Poultry_N2ODirect_Equations.VEERG_4_6_1_3__1_TotalAnnualDirectNitrousOxideEmissionsFromMMS(H200, _xlfn.XLOOKUP($E240, $D$138:$D$145,$E$138:$E$145), $I$217)</f>
        <v>1.2025203620571426E-5</v>
      </c>
      <c r="I240" s="15" cm="1">
        <f t="array" ref="I240">MMS_Poultry_N2ODirect_Equations.VEERG_4_6_1_3__1_TotalAnnualDirectNitrousOxideEmissionsFromMMS(I200, _xlfn.XLOOKUP($E240, $D$138:$D$145,$E$138:$E$145), $I$217)</f>
        <v>1.0244230806857143E-5</v>
      </c>
      <c r="J240" s="16"/>
      <c r="N240" s="15"/>
      <c r="O240" s="15" t="str">
        <f>INDEX(X_Table_Poultry_Stage2MMS_ManureStoredInHouse,3,1)</f>
        <v>Composting (passive windrow)</v>
      </c>
      <c r="P240" s="15" cm="1">
        <f t="array" ref="P240">MMS_Poultry_N2ODirect_Equations.VEERG_4_6_1_3__1_TotalAnnualDirectNitrousOxideEmissionsFromMMS(P200, _xlfn.XLOOKUP($O240, $D$138:$D$145,$E$138:$E$145), $I$217)</f>
        <v>9.5974997485714317E-6</v>
      </c>
      <c r="Q240" s="15" cm="1">
        <f t="array" ref="Q240">MMS_Poultry_N2ODirect_Equations.VEERG_4_6_1_3__1_TotalAnnualDirectNitrousOxideEmissionsFromMMS(Q200, _xlfn.XLOOKUP($O240, $D$138:$D$145,$E$138:$E$145), $I$217)</f>
        <v>1.0244230806857143E-5</v>
      </c>
      <c r="R240" s="15" cm="1">
        <f t="array" ref="R240">MMS_Poultry_N2ODirect_Equations.VEERG_4_6_1_3__1_TotalAnnualDirectNitrousOxideEmissionsFromMMS(R200, _xlfn.XLOOKUP($O240, $D$138:$D$145,$E$138:$E$145), $I$217)</f>
        <v>1.2025203620571426E-5</v>
      </c>
      <c r="S240" s="15" cm="1">
        <f t="array" ref="S240">MMS_Poultry_N2ODirect_Equations.VEERG_4_6_1_3__1_TotalAnnualDirectNitrousOxideEmissionsFromMMS(S200, _xlfn.XLOOKUP($O240, $D$138:$D$145,$E$138:$E$145), $I$217)</f>
        <v>1.0244230806857143E-5</v>
      </c>
      <c r="T240" s="16"/>
    </row>
    <row r="241" spans="1:20" ht="20.100000000000001" customHeight="1" x14ac:dyDescent="0.2">
      <c r="D241" s="15"/>
      <c r="E241" s="15" t="str">
        <f>INDEX(X_Table_Poultry_Stage2MMS_ManureStoredInHouse,4,1)</f>
        <v>Digester / covered lagoons</v>
      </c>
      <c r="F241" s="15" cm="1">
        <f t="array" ref="F241">MMS_Poultry_N2ODirect_Equations.VEERG_4_6_1_3__1_TotalAnnualDirectNitrousOxideEmissionsFromMMS(F201, _xlfn.XLOOKUP($E241, $D$138:$D$145,$E$138:$E$145), $I$217)</f>
        <v>0</v>
      </c>
      <c r="G241" s="15" cm="1">
        <f t="array" ref="G241">MMS_Poultry_N2ODirect_Equations.VEERG_4_6_1_3__1_TotalAnnualDirectNitrousOxideEmissionsFromMMS(G201, _xlfn.XLOOKUP($E241, $D$138:$D$145,$E$138:$E$145), $I$217)</f>
        <v>0</v>
      </c>
      <c r="H241" s="15" cm="1">
        <f t="array" ref="H241">MMS_Poultry_N2ODirect_Equations.VEERG_4_6_1_3__1_TotalAnnualDirectNitrousOxideEmissionsFromMMS(H201, _xlfn.XLOOKUP($E241, $D$138:$D$145,$E$138:$E$145), $I$217)</f>
        <v>0</v>
      </c>
      <c r="I241" s="15" cm="1">
        <f t="array" ref="I241">MMS_Poultry_N2ODirect_Equations.VEERG_4_6_1_3__1_TotalAnnualDirectNitrousOxideEmissionsFromMMS(I201, _xlfn.XLOOKUP($E241, $D$138:$D$145,$E$138:$E$145), $I$217)</f>
        <v>0</v>
      </c>
      <c r="J241" s="16"/>
      <c r="N241" s="15"/>
      <c r="O241" s="15" t="str">
        <f>INDEX(X_Table_Poultry_Stage2MMS_ManureStoredInHouse,4,1)</f>
        <v>Digester / covered lagoons</v>
      </c>
      <c r="P241" s="15" cm="1">
        <f t="array" ref="P241">MMS_Poultry_N2ODirect_Equations.VEERG_4_6_1_3__1_TotalAnnualDirectNitrousOxideEmissionsFromMMS(P201, _xlfn.XLOOKUP($O241, $D$138:$D$145,$E$138:$E$145), $I$217)</f>
        <v>0</v>
      </c>
      <c r="Q241" s="15" cm="1">
        <f t="array" ref="Q241">MMS_Poultry_N2ODirect_Equations.VEERG_4_6_1_3__1_TotalAnnualDirectNitrousOxideEmissionsFromMMS(Q201, _xlfn.XLOOKUP($O241, $D$138:$D$145,$E$138:$E$145), $I$217)</f>
        <v>0</v>
      </c>
      <c r="R241" s="15" cm="1">
        <f t="array" ref="R241">MMS_Poultry_N2ODirect_Equations.VEERG_4_6_1_3__1_TotalAnnualDirectNitrousOxideEmissionsFromMMS(R201, _xlfn.XLOOKUP($O241, $D$138:$D$145,$E$138:$E$145), $I$217)</f>
        <v>0</v>
      </c>
      <c r="S241" s="15" cm="1">
        <f t="array" ref="S241">MMS_Poultry_N2ODirect_Equations.VEERG_4_6_1_3__1_TotalAnnualDirectNitrousOxideEmissionsFromMMS(S201, _xlfn.XLOOKUP($O241, $D$138:$D$145,$E$138:$E$145), $I$217)</f>
        <v>0</v>
      </c>
      <c r="T241" s="16"/>
    </row>
    <row r="242" spans="1:20" ht="20.100000000000001" customHeight="1" x14ac:dyDescent="0.2">
      <c r="D242" s="15"/>
      <c r="E242" s="15" t="str">
        <f>INDEX(X_Table_Poultry_Stage2MMS_ManureStoredInHouse,5,1)</f>
        <v>Direct processing</v>
      </c>
      <c r="F242" s="15" cm="1">
        <f t="array" ref="F242">MMS_Poultry_N2ODirect_Equations.VEERG_4_6_1_3__1_TotalAnnualDirectNitrousOxideEmissionsFromMMS(F202, _xlfn.XLOOKUP($E242, $D$138:$D$145,$E$138:$E$145), $I$217)</f>
        <v>0</v>
      </c>
      <c r="G242" s="15" cm="1">
        <f t="array" ref="G242">MMS_Poultry_N2ODirect_Equations.VEERG_4_6_1_3__1_TotalAnnualDirectNitrousOxideEmissionsFromMMS(G202, _xlfn.XLOOKUP($E242, $D$138:$D$145,$E$138:$E$145), $I$217)</f>
        <v>0</v>
      </c>
      <c r="H242" s="15" cm="1">
        <f t="array" ref="H242">MMS_Poultry_N2ODirect_Equations.VEERG_4_6_1_3__1_TotalAnnualDirectNitrousOxideEmissionsFromMMS(H202, _xlfn.XLOOKUP($E242, $D$138:$D$145,$E$138:$E$145), $I$217)</f>
        <v>0</v>
      </c>
      <c r="I242" s="15" cm="1">
        <f t="array" ref="I242">MMS_Poultry_N2ODirect_Equations.VEERG_4_6_1_3__1_TotalAnnualDirectNitrousOxideEmissionsFromMMS(I202, _xlfn.XLOOKUP($E242, $D$138:$D$145,$E$138:$E$145), $I$217)</f>
        <v>0</v>
      </c>
      <c r="J242" s="16"/>
      <c r="N242" s="15"/>
      <c r="O242" s="15" t="str">
        <f>INDEX(X_Table_Poultry_Stage2MMS_ManureStoredInHouse,5,1)</f>
        <v>Direct processing</v>
      </c>
      <c r="P242" s="15" cm="1">
        <f t="array" ref="P242">MMS_Poultry_N2ODirect_Equations.VEERG_4_6_1_3__1_TotalAnnualDirectNitrousOxideEmissionsFromMMS(P202, _xlfn.XLOOKUP($O242, $D$138:$D$145,$E$138:$E$145), $I$217)</f>
        <v>0</v>
      </c>
      <c r="Q242" s="15" cm="1">
        <f t="array" ref="Q242">MMS_Poultry_N2ODirect_Equations.VEERG_4_6_1_3__1_TotalAnnualDirectNitrousOxideEmissionsFromMMS(Q202, _xlfn.XLOOKUP($O242, $D$138:$D$145,$E$138:$E$145), $I$217)</f>
        <v>0</v>
      </c>
      <c r="R242" s="15" cm="1">
        <f t="array" ref="R242">MMS_Poultry_N2ODirect_Equations.VEERG_4_6_1_3__1_TotalAnnualDirectNitrousOxideEmissionsFromMMS(R202, _xlfn.XLOOKUP($O242, $D$138:$D$145,$E$138:$E$145), $I$217)</f>
        <v>0</v>
      </c>
      <c r="S242" s="15" cm="1">
        <f t="array" ref="S242">MMS_Poultry_N2ODirect_Equations.VEERG_4_6_1_3__1_TotalAnnualDirectNitrousOxideEmissionsFromMMS(S202, _xlfn.XLOOKUP($O242, $D$138:$D$145,$E$138:$E$145), $I$217)</f>
        <v>0</v>
      </c>
      <c r="T242" s="16"/>
    </row>
    <row r="243" spans="1:20" ht="20.100000000000001" customHeight="1" x14ac:dyDescent="0.2">
      <c r="D243" s="15"/>
      <c r="E243" s="15" t="str">
        <f>INDEX(X_Table_Poultry_Stage2MMS_ManureStoredInHouse,6,1)</f>
        <v>Direct application</v>
      </c>
      <c r="F243" s="15" t="s">
        <v>124</v>
      </c>
      <c r="G243" s="15" t="s">
        <v>124</v>
      </c>
      <c r="H243" s="15" t="s">
        <v>124</v>
      </c>
      <c r="I243" s="15" t="s">
        <v>124</v>
      </c>
      <c r="N243" s="15"/>
      <c r="O243" s="15" t="str">
        <f>INDEX(X_Table_Poultry_Stage2MMS_ManureStoredInHouse,6,1)</f>
        <v>Direct application</v>
      </c>
      <c r="P243" s="15" t="s">
        <v>124</v>
      </c>
      <c r="Q243" s="15" t="s">
        <v>124</v>
      </c>
      <c r="R243" s="15" t="s">
        <v>124</v>
      </c>
      <c r="S243" s="15" t="s">
        <v>124</v>
      </c>
    </row>
    <row r="245" spans="1:20" ht="20.100000000000001" customHeight="1" x14ac:dyDescent="0.2">
      <c r="D245" s="85" t="s">
        <v>421</v>
      </c>
      <c r="E245" s="86">
        <f>SUM(F225:I243)</f>
        <v>5.7674954756571411E-4</v>
      </c>
      <c r="F245" s="95" t="str">
        <f>$E$213</f>
        <v>t N2O</v>
      </c>
      <c r="N245" s="85" t="s">
        <v>421</v>
      </c>
      <c r="O245" s="86">
        <f>SUM(P225:S243)</f>
        <v>5.7674954756571411E-4</v>
      </c>
      <c r="P245" s="95" t="str">
        <f>$E$213</f>
        <v>t N2O</v>
      </c>
    </row>
    <row r="247" spans="1:20" ht="20.100000000000001" customHeight="1" x14ac:dyDescent="0.2">
      <c r="D247" s="126" t="str" cm="1">
        <f t="array" ref="D247:E248">Common_Equations.Common_ConvertN2OToCO2e_Arguments()</f>
        <v>EN2O</v>
      </c>
      <c r="E247" s="129" t="str">
        <v>Nitrous oxide emissions (t N2O)</v>
      </c>
      <c r="F247" s="130"/>
      <c r="G247" s="15">
        <f>VEERG_4_6_1_3__1_TotalAnnualDirectNitrousOxideEmissionsFromMMS_Result_Method1</f>
        <v>5.7674954756571411E-4</v>
      </c>
      <c r="N247" s="126" t="str" cm="1">
        <f t="array" ref="N247:O248">Common_Equations.Common_ConvertN2OToCO2e_Arguments()</f>
        <v>EN2O</v>
      </c>
      <c r="O247" s="129" t="str">
        <v>Nitrous oxide emissions (t N2O)</v>
      </c>
      <c r="P247" s="130"/>
      <c r="Q247" s="15">
        <f>VEERG_4_6_1_3__1_TotalAnnualDirectNitrousOxideEmissionsFromMMS_Result_Method2</f>
        <v>5.7674954756571411E-4</v>
      </c>
    </row>
    <row r="248" spans="1:20" ht="20.100000000000001" customHeight="1" x14ac:dyDescent="0.2">
      <c r="A248" s="79" t="str">
        <f>HYPERLINK("#A1", "▲ Back to top")</f>
        <v>▲ Back to top</v>
      </c>
      <c r="D248" s="126" t="str">
        <v>GWPN2O</v>
      </c>
      <c r="E248" s="129" t="str">
        <v>Global warming potential for nitrous oxide (t CO2-e / t N2O)</v>
      </c>
      <c r="F248" s="130"/>
      <c r="G248" s="15">
        <f>Common_InputFunctions.Utility_LookupValueInTableNumber("N2O", Table_GWPData[Gas],Table_GWPData[CO2-e factor])</f>
        <v>265</v>
      </c>
      <c r="N248" s="126" t="str">
        <v>GWPN2O</v>
      </c>
      <c r="O248" s="129" t="str">
        <v>Global warming potential for nitrous oxide (t CO2-e / t N2O)</v>
      </c>
      <c r="P248" s="130"/>
      <c r="Q248" s="15">
        <f>Common_InputFunctions.Utility_LookupValueInTableNumber("N2O", Table_GWPData[Gas],Table_GWPData[CO2-e factor])</f>
        <v>265</v>
      </c>
    </row>
    <row r="250" spans="1:20" ht="20.100000000000001" customHeight="1" x14ac:dyDescent="0.2">
      <c r="D250" s="83" t="s">
        <v>377</v>
      </c>
      <c r="E250" s="83" cm="1">
        <f t="array" ref="E250">Common_Equations.Common_ConvertN2OToCO2e(G247,G248)</f>
        <v>0.15283863010491425</v>
      </c>
      <c r="F250" s="89" t="str" cm="1">
        <f t="array" ref="F250">Common_Equations.Common_ConvertN2OToCO2e_Unit()</f>
        <v>t CO2e</v>
      </c>
      <c r="N250" s="83" t="s">
        <v>377</v>
      </c>
      <c r="O250" s="83" cm="1">
        <f t="array" ref="O250">Common_Equations.Common_ConvertN2OToCO2e(Q247,Q248)</f>
        <v>0.15283863010491425</v>
      </c>
      <c r="P250" s="89" t="str" cm="1">
        <f t="array" ref="P250">Common_Equations.Common_ConvertN2OToCO2e_Unit()</f>
        <v>t CO2e</v>
      </c>
    </row>
  </sheetData>
  <dataValidations count="1">
    <dataValidation operator="equal" allowBlank="1" showInputMessage="1" showErrorMessage="1" sqref="E18 O23 E33 J101 J106 F168:I168 U126 O85 U103 E23 O33 O18 E28 O28 E46 E51 O51 E56 O56 E70 E75 E80 O80 E85 O114 E114 O155 E155 I167:J167 F187:I187 I186:J186 P187:S187 S186:T186 O206 E206" xr:uid="{0E4180FC-80B9-4DD4-B141-94FC83C59792}"/>
  </dataValidations>
  <pageMargins left="0.7" right="0.7" top="0.75" bottom="0.75" header="0.3" footer="0.3"/>
  <pageSetup paperSize="9"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9CF47-0384-4DAE-A82C-0D3A28A3314B}">
  <sheetPr>
    <tabColor rgb="FF008000"/>
  </sheetPr>
  <dimension ref="A1:U101"/>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422</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MMS_Poultry_AtmosphericDeposition_Equations.VEERG_4_6_1_5__2_TotalNitrogenVolatilisedFromMMS_Title()</f>
        <v>Total nitrogen volatilised from manure management systems</v>
      </c>
    </row>
    <row r="6" spans="1:21" ht="20.100000000000001" customHeight="1" x14ac:dyDescent="0.2">
      <c r="D6" s="17" t="str" cm="1">
        <f t="array" ref="D6">MMS_Poultry_AtmosphericDeposition_Equations.VEERG_4_6_1_5__2_TotalNitrogenVolatilisedFromMMS_Source()</f>
        <v>VEERG 2026: 4.6.1.5, Equation (2)</v>
      </c>
    </row>
    <row r="7" spans="1:21" ht="20.100000000000001" customHeight="1" x14ac:dyDescent="0.2">
      <c r="D7" s="112" t="s">
        <v>328</v>
      </c>
      <c r="E7" s="112" t="str" cm="1">
        <f t="array" aca="1" ref="E7" ca="1">Common_InputFunctions.Utility_DisplayFunctionName(F57)</f>
        <v>=MMS_Poultry_AtmosphericDeposition_Equations.VEERG_4_6_1_5__2_TotalNitrogenVolatilisedFromMMS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MMS_Poultry_AtmosphericDeposition_Equations.VEERG_4_6_1_5__2_TotalNitrogenVolatilisedFromMMS_Variable()</f>
        <v>MMS_ATMOS</v>
      </c>
    </row>
    <row r="11" spans="1:21" ht="20.100000000000001" customHeight="1" x14ac:dyDescent="0.2">
      <c r="A11" s="5" t="str">
        <f>HYPERLINK("#'Input - Poultry'!A1", "Poultry")</f>
        <v>Poultry</v>
      </c>
      <c r="D11" s="75" t="s">
        <v>118</v>
      </c>
      <c r="E11" s="9" t="str" cm="1">
        <f t="array" ref="E11">MMS_Poultry_AtmosphericDeposition_Equations.VEERG_4_6_1_5__2_TotalNitrogenVolatilisedFromMMS_Unit()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4">_xlfn.CHOOSECOLS(MMS_Poultry_AtmosphericDeposition_Equations.VEERG_4_6_1_5__2_TotalNitrogenVolatilisedFromMMS_Arguments(),1,2)</f>
        <v>MN_jkmT</v>
      </c>
      <c r="E13" s="122" t="str">
        <v>nitrogen in each treatment stage MMS (excluding MN_jkm13T2)</v>
      </c>
      <c r="F13" s="123"/>
      <c r="G13" s="113" t="str" cm="1">
        <f t="array" ref="G13:H14">_xlfn.CHOOSECOLS(MMS_Poultry_AtmosphericDeposition_Equations.VEERG_4_6_1_5__2_TotalNitrogenVolatilisedFromMMS_Arguments(),3,4)</f>
        <v>kg N</v>
      </c>
      <c r="H13" s="115" t="str">
        <v>Calculated from 4.6.1.3 (2)(6)</v>
      </c>
      <c r="I13" s="116" t="str" cm="1">
        <f t="array" aca="1" ref="I13" ca="1">HYPERLINK(Common_InputFunctions.Utility_SourceHyperlink($D$19),$D$19)</f>
        <v>M1_Table_MN_j_k_m_T</v>
      </c>
    </row>
    <row r="14" spans="1:21" ht="20.100000000000001" customHeight="1" x14ac:dyDescent="0.2">
      <c r="A14" s="5" t="str">
        <f>HYPERLINK("#'Input - Fuel'!A1", "Fuel")</f>
        <v>Fuel</v>
      </c>
      <c r="D14" s="113" t="str">
        <v>FracGASM_mT</v>
      </c>
      <c r="E14" s="122" t="str">
        <v>fraction of N volatilised in each MMS</v>
      </c>
      <c r="F14" s="123"/>
      <c r="G14" s="113" t="str">
        <v>(kg NH3-N + NOx-N)/kg N</v>
      </c>
      <c r="H14" s="115" t="str">
        <v>Constant</v>
      </c>
      <c r="I14" s="116" t="str" cm="1">
        <f t="array" aca="1" ref="I14" ca="1">HYPERLINK(Common_InputFunctions.Utility_SourceHyperlink($D$42),$D$42)</f>
        <v>Table_FracGASM_m_T</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31" t="s">
        <v>423</v>
      </c>
      <c r="E16" s="43"/>
      <c r="F16" s="43"/>
      <c r="G16" s="44"/>
    </row>
    <row r="17" spans="1:20" ht="20.100000000000001" customHeight="1" x14ac:dyDescent="0.2">
      <c r="A17" s="5" t="str">
        <f>HYPERLINK("#'Input - Livestock farm Inputs'!A1", "Livestock farm Inputs")</f>
        <v>Livestock farm Inputs</v>
      </c>
      <c r="D17" s="45" t="s">
        <v>416</v>
      </c>
      <c r="E17" s="46"/>
      <c r="F17" s="46"/>
      <c r="G17" s="47"/>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8" t="s">
        <v>424</v>
      </c>
      <c r="N19" s="118" t="s">
        <v>425</v>
      </c>
    </row>
    <row r="20" spans="1:20" ht="20.100000000000001" customHeight="1" x14ac:dyDescent="0.2">
      <c r="A20" s="5" t="str">
        <f>HYPERLINK("#'Input - Manure sent off-site'!A1", "Manure sent off-site")</f>
        <v>Manure sent off-site</v>
      </c>
      <c r="D20" s="119" t="s">
        <v>426</v>
      </c>
      <c r="N20" s="119" t="s">
        <v>427</v>
      </c>
    </row>
    <row r="21" spans="1:20" ht="20.100000000000001" customHeight="1" x14ac:dyDescent="0.2">
      <c r="A21" s="5" t="str">
        <f>HYPERLINK("#'Input - Data quality'!A1", "Data quality")</f>
        <v>Data quality</v>
      </c>
      <c r="D21" s="120" t="s">
        <v>314</v>
      </c>
      <c r="E21" s="120" t="s">
        <v>318</v>
      </c>
      <c r="F21" s="120" t="s">
        <v>297</v>
      </c>
      <c r="G21" s="120" t="s">
        <v>298</v>
      </c>
      <c r="H21" s="120" t="s">
        <v>299</v>
      </c>
      <c r="I21" s="120" t="s">
        <v>300</v>
      </c>
      <c r="N21" s="120" t="s">
        <v>314</v>
      </c>
      <c r="O21" s="120" t="s">
        <v>318</v>
      </c>
      <c r="P21" s="120" t="s">
        <v>297</v>
      </c>
      <c r="Q21" s="120" t="s">
        <v>298</v>
      </c>
      <c r="R21" s="120" t="s">
        <v>299</v>
      </c>
      <c r="S21" s="120" t="s">
        <v>300</v>
      </c>
    </row>
    <row r="22" spans="1:20" ht="20.100000000000001" customHeight="1" x14ac:dyDescent="0.2">
      <c r="A22" s="5" t="str">
        <f>HYPERLINK("#'Input - Fert Prod System'!A1", "Fert Prod System")</f>
        <v>Fert Prod System</v>
      </c>
      <c r="D22" s="15" t="str">
        <f>INDEX(X_Table_Poultry_Stage1MMS,2,1)</f>
        <v>Poultry manure with bedding</v>
      </c>
      <c r="E22" s="15" t="s">
        <v>124</v>
      </c>
      <c r="F22" s="15">
        <f>INDEX(M1_Table_MN_j_k_m_T1,2,2)</f>
        <v>5.0980800000000013</v>
      </c>
      <c r="G22" s="15">
        <f>INDEX(M1_Table_MN_j_k_m_T1,2,3)</f>
        <v>5.4416159999999998</v>
      </c>
      <c r="H22" s="15">
        <f>INDEX(M1_Table_MN_j_k_m_T1,2,4)</f>
        <v>6.3876479999999995</v>
      </c>
      <c r="I22" s="15">
        <f>INDEX(M1_Table_MN_j_k_m_T1,2,5)</f>
        <v>5.4416159999999998</v>
      </c>
      <c r="J22" s="16" t="str">
        <f>$G$13</f>
        <v>kg N</v>
      </c>
      <c r="N22" s="15" t="str">
        <f>INDEX(X_Table_Poultry_Stage1MMS,2,1)</f>
        <v>Poultry manure with bedding</v>
      </c>
      <c r="O22" s="15" t="s">
        <v>124</v>
      </c>
      <c r="P22" s="15">
        <f>INDEX(M2_Table_MN_j_k_m_T1,2,2)</f>
        <v>5.0980800000000013</v>
      </c>
      <c r="Q22" s="15">
        <f>INDEX(M2_Table_MN_j_k_m_T1,2,3)</f>
        <v>5.4416159999999998</v>
      </c>
      <c r="R22" s="15">
        <f>INDEX(M2_Table_MN_j_k_m_T1,2,4)</f>
        <v>6.3876479999999995</v>
      </c>
      <c r="S22" s="15">
        <f>INDEX(M2_Table_MN_j_k_m_T1,2,5)</f>
        <v>5.4416159999999998</v>
      </c>
      <c r="T22" s="16" t="str">
        <f>$G$13</f>
        <v>kg N</v>
      </c>
    </row>
    <row r="23" spans="1:20" ht="20.100000000000001" customHeight="1" x14ac:dyDescent="0.2">
      <c r="A23" s="5" t="str">
        <f>HYPERLINK("#'Input - Fertiliser'!A1", "Fertiliser")</f>
        <v>Fertiliser</v>
      </c>
      <c r="D23" s="15" t="str">
        <f>INDEX(X_Table_Poultry_Stage1MMS,3,1)</f>
        <v>Belt manure removal</v>
      </c>
      <c r="E23" s="15" t="s">
        <v>124</v>
      </c>
      <c r="F23" s="15">
        <f>INDEX(M1_Table_MN_j_k_m_T1,3,2)</f>
        <v>5.0980800000000013</v>
      </c>
      <c r="G23" s="15">
        <f>INDEX(M1_Table_MN_j_k_m_T1,3,3)</f>
        <v>5.4416159999999998</v>
      </c>
      <c r="H23" s="15">
        <f>INDEX(M1_Table_MN_j_k_m_T1,3,4)</f>
        <v>6.3876479999999995</v>
      </c>
      <c r="I23" s="15">
        <f>INDEX(M1_Table_MN_j_k_m_T1,3,5)</f>
        <v>5.4416159999999998</v>
      </c>
      <c r="J23" s="16"/>
      <c r="N23" s="15" t="str">
        <f>INDEX(X_Table_Poultry_Stage1MMS,3,1)</f>
        <v>Belt manure removal</v>
      </c>
      <c r="O23" s="15" t="s">
        <v>124</v>
      </c>
      <c r="P23" s="15">
        <f>INDEX(M2_Table_MN_j_k_m_T1,3,2)</f>
        <v>5.0980800000000013</v>
      </c>
      <c r="Q23" s="15">
        <f>INDEX(M2_Table_MN_j_k_m_T1,3,3)</f>
        <v>5.4416159999999998</v>
      </c>
      <c r="R23" s="15">
        <f>INDEX(M2_Table_MN_j_k_m_T1,3,4)</f>
        <v>6.3876479999999995</v>
      </c>
      <c r="S23" s="15">
        <f>INDEX(M2_Table_MN_j_k_m_T1,3,5)</f>
        <v>5.4416159999999998</v>
      </c>
      <c r="T23" s="16"/>
    </row>
    <row r="24" spans="1:20" ht="20.100000000000001" customHeight="1" x14ac:dyDescent="0.2">
      <c r="D24" s="15" t="str">
        <f>INDEX(X_Table_Poultry_Stage1MMS,4,1)</f>
        <v>Manure stored in house</v>
      </c>
      <c r="E24" s="15" t="s">
        <v>124</v>
      </c>
      <c r="F24" s="15">
        <f>INDEX(M1_Table_MN_j_k_m_T1,4,2)</f>
        <v>5.0980800000000013</v>
      </c>
      <c r="G24" s="15">
        <f>INDEX(M1_Table_MN_j_k_m_T1,4,3)</f>
        <v>5.4416159999999998</v>
      </c>
      <c r="H24" s="15">
        <f>INDEX(M1_Table_MN_j_k_m_T1,4,4)</f>
        <v>6.3876479999999995</v>
      </c>
      <c r="I24" s="15">
        <f>INDEX(M1_Table_MN_j_k_m_T1,4,5)</f>
        <v>5.4416159999999998</v>
      </c>
      <c r="J24" s="16"/>
      <c r="N24" s="15" t="str">
        <f>INDEX(X_Table_Poultry_Stage1MMS,4,1)</f>
        <v>Manure stored in house</v>
      </c>
      <c r="O24" s="15" t="s">
        <v>124</v>
      </c>
      <c r="P24" s="15">
        <f>INDEX(M2_Table_MN_j_k_m_T1,4,2)</f>
        <v>5.0980800000000013</v>
      </c>
      <c r="Q24" s="15">
        <f>INDEX(M2_Table_MN_j_k_m_T1,4,3)</f>
        <v>5.4416159999999998</v>
      </c>
      <c r="R24" s="15">
        <f>INDEX(M2_Table_MN_j_k_m_T1,4,4)</f>
        <v>6.3876479999999995</v>
      </c>
      <c r="S24" s="15">
        <f>INDEX(M2_Table_MN_j_k_m_T1,4,5)</f>
        <v>5.4416159999999998</v>
      </c>
      <c r="T24" s="16"/>
    </row>
    <row r="25" spans="1:20" ht="20.100000000000001" customHeight="1" x14ac:dyDescent="0.2">
      <c r="D25" s="15" t="str">
        <f>INDEX(X_Table_Poultry_Stage1MMS,5,1)</f>
        <v>Pasture range and paddock</v>
      </c>
      <c r="E25" s="15" t="s">
        <v>124</v>
      </c>
      <c r="F25" s="15">
        <f>INDEX(M1_Table_MN_j_k_m_T1,5,2)</f>
        <v>1.6993600000000004</v>
      </c>
      <c r="G25" s="15">
        <f>INDEX(M1_Table_MN_j_k_m_T1,5,3)</f>
        <v>1.8138719999999999</v>
      </c>
      <c r="H25" s="15">
        <f>INDEX(M1_Table_MN_j_k_m_T1,5,4)</f>
        <v>2.129216</v>
      </c>
      <c r="I25" s="15">
        <f>INDEX(M1_Table_MN_j_k_m_T1,5,5)</f>
        <v>1.8138719999999999</v>
      </c>
      <c r="J25" s="16"/>
      <c r="N25" s="15" t="str">
        <f>INDEX(X_Table_Poultry_Stage1MMS,5,1)</f>
        <v>Pasture range and paddock</v>
      </c>
      <c r="O25" s="15" t="s">
        <v>124</v>
      </c>
      <c r="P25" s="15">
        <f>INDEX(M2_Table_MN_j_k_m_T1,5,2)</f>
        <v>1.6993600000000004</v>
      </c>
      <c r="Q25" s="15">
        <f>INDEX(M2_Table_MN_j_k_m_T1,5,3)</f>
        <v>1.8138719999999999</v>
      </c>
      <c r="R25" s="15">
        <f>INDEX(M2_Table_MN_j_k_m_T1,5,4)</f>
        <v>2.129216</v>
      </c>
      <c r="S25" s="15">
        <f>INDEX(M2_Table_MN_j_k_m_T1,5,5)</f>
        <v>1.8138719999999999</v>
      </c>
      <c r="T25" s="16"/>
    </row>
    <row r="26" spans="1:20" ht="20.100000000000001" customHeight="1" x14ac:dyDescent="0.2">
      <c r="A26" s="6" t="s">
        <v>2</v>
      </c>
      <c r="D26" s="15" t="str">
        <f>INDEX(X_Table_Poultry_Stage1MMS,2,1)</f>
        <v>Poultry manure with bedding</v>
      </c>
      <c r="E26" s="15" t="str">
        <f>INDEX(X_Table_Poultry_Stage2MMS_PoultryManureWithBedding,2,1)</f>
        <v>Solid storage</v>
      </c>
      <c r="F26" s="15">
        <f>INDEX(M1_Table_MN_j_k_m_T2,2,3)</f>
        <v>0.71271158400000012</v>
      </c>
      <c r="G26" s="15">
        <f>INDEX(M1_Table_MN_j_k_m_T2,2,4)</f>
        <v>0.76073791680000002</v>
      </c>
      <c r="H26" s="15">
        <f>INDEX(M1_Table_MN_j_k_m_T2,2,5)</f>
        <v>0.89299319039999991</v>
      </c>
      <c r="I26" s="15">
        <f>INDEX(M1_Table_MN_j_k_m_T2,2,6)</f>
        <v>0.76073791680000002</v>
      </c>
      <c r="J26" s="16"/>
      <c r="N26" s="15" t="str">
        <f>INDEX(X_Table_Poultry_Stage1MMS,2,1)</f>
        <v>Poultry manure with bedding</v>
      </c>
      <c r="O26" s="15" t="str">
        <f>INDEX(X_Table_Poultry_Stage2MMS_PoultryManureWithBedding,2,1)</f>
        <v>Solid storage</v>
      </c>
      <c r="P26" s="15">
        <f>INDEX(M2_Table_MN_j_k_m_T2,2,3)</f>
        <v>0.71271158400000012</v>
      </c>
      <c r="Q26" s="15">
        <f>INDEX(M2_Table_MN_j_k_m_T2,2,4)</f>
        <v>0.76073791680000002</v>
      </c>
      <c r="R26" s="15">
        <f>INDEX(M2_Table_MN_j_k_m_T2,2,5)</f>
        <v>0.89299319039999991</v>
      </c>
      <c r="S26" s="15">
        <f>INDEX(M2_Table_MN_j_k_m_T2,2,6)</f>
        <v>0.76073791680000002</v>
      </c>
      <c r="T26" s="16"/>
    </row>
    <row r="27" spans="1:20" ht="20.100000000000001" customHeight="1" x14ac:dyDescent="0.2">
      <c r="A27" s="5" t="str">
        <f>HYPERLINK("#'4.6.1.1-2 Methane'!A1", "4.6.1.1-2 Manure Methane")</f>
        <v>4.6.1.1-2 Manure Methane</v>
      </c>
      <c r="D27" s="15"/>
      <c r="E27" s="15" t="str">
        <f>INDEX(X_Table_Poultry_Stage2MMS_PoultryManureWithBedding,3,1)</f>
        <v>Composting (passive windrow)</v>
      </c>
      <c r="F27" s="15">
        <f>'4.6.1.3-4 Direct N20'!F190</f>
        <v>0.71271158400000012</v>
      </c>
      <c r="G27" s="15">
        <f>'4.6.1.3-4 Direct N20'!G190</f>
        <v>0.76073791680000002</v>
      </c>
      <c r="H27" s="15">
        <f>'4.6.1.3-4 Direct N20'!H190</f>
        <v>0.89299319039999991</v>
      </c>
      <c r="I27" s="15">
        <f>'4.6.1.3-4 Direct N20'!I190</f>
        <v>0.76073791680000002</v>
      </c>
      <c r="J27" s="16"/>
      <c r="N27" s="15"/>
      <c r="O27" s="15" t="str">
        <f>INDEX(X_Table_Poultry_Stage2MMS_PoultryManureWithBedding,3,1)</f>
        <v>Composting (passive windrow)</v>
      </c>
      <c r="P27" s="15">
        <f>'4.6.1.3-4 Direct N20'!P190</f>
        <v>0.71271158400000012</v>
      </c>
      <c r="Q27" s="15">
        <f>'4.6.1.3-4 Direct N20'!Q190</f>
        <v>0.76073791680000002</v>
      </c>
      <c r="R27" s="15">
        <f>'4.6.1.3-4 Direct N20'!R190</f>
        <v>0.89299319039999991</v>
      </c>
      <c r="S27" s="15">
        <f>'4.6.1.3-4 Direct N20'!S190</f>
        <v>0.76073791680000002</v>
      </c>
      <c r="T27" s="16"/>
    </row>
    <row r="28" spans="1:20" ht="20.100000000000001" customHeight="1" x14ac:dyDescent="0.2">
      <c r="A28" s="5" t="str">
        <f>HYPERLINK("#'4.6.1.3-4 Direct N20'!A1", "4.6.1.3-4 Manure Direct N2O")</f>
        <v>4.6.1.3-4 Manure Direct N2O</v>
      </c>
      <c r="D28" s="15"/>
      <c r="E28" s="15" t="str">
        <f>INDEX(X_Table_Poultry_Stage2MMS_PoultryManureWithBedding,4,1)</f>
        <v>Digester / covered lagoons</v>
      </c>
      <c r="F28" s="15">
        <f>'4.6.1.3-4 Direct N20'!F191</f>
        <v>0.71271158400000012</v>
      </c>
      <c r="G28" s="15">
        <f>'4.6.1.3-4 Direct N20'!G191</f>
        <v>0.76073791680000002</v>
      </c>
      <c r="H28" s="15">
        <f>'4.6.1.3-4 Direct N20'!H191</f>
        <v>0.89299319039999991</v>
      </c>
      <c r="I28" s="15">
        <f>'4.6.1.3-4 Direct N20'!I191</f>
        <v>0.76073791680000002</v>
      </c>
      <c r="J28" s="16"/>
      <c r="N28" s="15"/>
      <c r="O28" s="15" t="str">
        <f>INDEX(X_Table_Poultry_Stage2MMS_PoultryManureWithBedding,4,1)</f>
        <v>Digester / covered lagoons</v>
      </c>
      <c r="P28" s="15">
        <f>'4.6.1.3-4 Direct N20'!P191</f>
        <v>0.71271158400000012</v>
      </c>
      <c r="Q28" s="15">
        <f>'4.6.1.3-4 Direct N20'!Q191</f>
        <v>0.76073791680000002</v>
      </c>
      <c r="R28" s="15">
        <f>'4.6.1.3-4 Direct N20'!R191</f>
        <v>0.89299319039999991</v>
      </c>
      <c r="S28" s="15">
        <f>'4.6.1.3-4 Direct N20'!S191</f>
        <v>0.76073791680000002</v>
      </c>
      <c r="T28" s="16"/>
    </row>
    <row r="29" spans="1:20" ht="20.100000000000001" customHeight="1" x14ac:dyDescent="0.2">
      <c r="A29" s="117" t="str">
        <f>HYPERLINK("#'4.6.1.5-6 Atmos Dep'!A1", "4.6.1.5-6 Manure Atmos Dep")</f>
        <v>4.6.1.5-6 Manure Atmos Dep</v>
      </c>
      <c r="D29" s="15"/>
      <c r="E29" s="15" t="str">
        <f>INDEX(X_Table_Poultry_Stage2MMS_PoultryManureWithBedding,5,1)</f>
        <v>Direct processing</v>
      </c>
      <c r="F29" s="15">
        <f>'4.6.1.3-4 Direct N20'!F192</f>
        <v>0.71271158400000012</v>
      </c>
      <c r="G29" s="15">
        <f>'4.6.1.3-4 Direct N20'!G192</f>
        <v>0.76073791680000002</v>
      </c>
      <c r="H29" s="15">
        <f>'4.6.1.3-4 Direct N20'!H192</f>
        <v>0.89299319039999991</v>
      </c>
      <c r="I29" s="15">
        <f>'4.6.1.3-4 Direct N20'!I192</f>
        <v>0.76073791680000002</v>
      </c>
      <c r="J29" s="16"/>
      <c r="N29" s="15"/>
      <c r="O29" s="15" t="str">
        <f>INDEX(X_Table_Poultry_Stage2MMS_PoultryManureWithBedding,5,1)</f>
        <v>Direct processing</v>
      </c>
      <c r="P29" s="15">
        <f>'4.6.1.3-4 Direct N20'!P192</f>
        <v>0.71271158400000012</v>
      </c>
      <c r="Q29" s="15">
        <f>'4.6.1.3-4 Direct N20'!Q192</f>
        <v>0.76073791680000002</v>
      </c>
      <c r="R29" s="15">
        <f>'4.6.1.3-4 Direct N20'!R192</f>
        <v>0.89299319039999991</v>
      </c>
      <c r="S29" s="15">
        <f>'4.6.1.3-4 Direct N20'!S192</f>
        <v>0.76073791680000002</v>
      </c>
      <c r="T29" s="16"/>
    </row>
    <row r="30" spans="1:20" ht="20.100000000000001" customHeight="1" x14ac:dyDescent="0.2">
      <c r="A30" s="5" t="str">
        <f>HYPERLINK("#'4.6.1.7-8 Leaching and runoff'!A1", "4.6.1.7-8 Manure Leaching and runoff")</f>
        <v>4.6.1.7-8 Manure Leaching and runoff</v>
      </c>
      <c r="D30" s="15"/>
      <c r="E30" s="15" t="str">
        <f>INDEX(X_Table_Poultry_Stage2MMS_PoultryManureWithBedding,6,1)</f>
        <v>Direct application</v>
      </c>
      <c r="F30" s="15">
        <f>'4.6.1.3-4 Direct N20'!F193</f>
        <v>0.7127115839999999</v>
      </c>
      <c r="G30" s="15">
        <f>'4.6.1.3-4 Direct N20'!G193</f>
        <v>0.7607379167999998</v>
      </c>
      <c r="H30" s="15">
        <f>'4.6.1.3-4 Direct N20'!H193</f>
        <v>0.89299319039999958</v>
      </c>
      <c r="I30" s="15">
        <f>'4.6.1.3-4 Direct N20'!I193</f>
        <v>0.7607379167999998</v>
      </c>
      <c r="N30" s="15"/>
      <c r="O30" s="15" t="str">
        <f>INDEX(X_Table_Poultry_Stage2MMS_PoultryManureWithBedding,6,1)</f>
        <v>Direct application</v>
      </c>
      <c r="P30" s="15">
        <f>'4.6.1.3-4 Direct N20'!P193</f>
        <v>0.7127115839999999</v>
      </c>
      <c r="Q30" s="15">
        <f>'4.6.1.3-4 Direct N20'!Q193</f>
        <v>0.7607379167999998</v>
      </c>
      <c r="R30" s="15">
        <f>'4.6.1.3-4 Direct N20'!R193</f>
        <v>0.89299319039999958</v>
      </c>
      <c r="S30" s="15">
        <f>'4.6.1.3-4 Direct N20'!S193</f>
        <v>0.7607379167999998</v>
      </c>
    </row>
    <row r="31" spans="1:20" ht="20.100000000000001" customHeight="1" x14ac:dyDescent="0.2">
      <c r="A31" s="5" t="str">
        <f>HYPERLINK("#'4.6.1.9 Manure applied to soils'!A1", "4.6.1.9 Manure applied to soils")</f>
        <v>4.6.1.9 Manure applied to soils</v>
      </c>
      <c r="D31" s="15" t="str">
        <f>INDEX(X_Table_Poultry_Stage1MMS,3,1)</f>
        <v>Belt manure removal</v>
      </c>
      <c r="E31" s="15" t="str">
        <f>INDEX(X_Table_Poultry_Stage2MMS_BeltManureRemoval,2,1)</f>
        <v>Solid storage</v>
      </c>
      <c r="F31" s="15">
        <f>'4.6.1.3-4 Direct N20'!F194</f>
        <v>0.96761558400000025</v>
      </c>
      <c r="G31" s="15">
        <f>'4.6.1.3-4 Direct N20'!G194</f>
        <v>1.0328187168</v>
      </c>
      <c r="H31" s="15">
        <f>'4.6.1.3-4 Direct N20'!H194</f>
        <v>1.2123755904</v>
      </c>
      <c r="I31" s="15">
        <f>'4.6.1.3-4 Direct N20'!I194</f>
        <v>1.0328187168</v>
      </c>
      <c r="J31" s="16"/>
      <c r="N31" s="15" t="str">
        <f>INDEX(X_Table_Poultry_Stage1MMS,3,1)</f>
        <v>Belt manure removal</v>
      </c>
      <c r="O31" s="15" t="str">
        <f>INDEX(X_Table_Poultry_Stage2MMS_BeltManureRemoval,2,1)</f>
        <v>Solid storage</v>
      </c>
      <c r="P31" s="15">
        <f>'4.6.1.3-4 Direct N20'!P194</f>
        <v>0.96761558400000025</v>
      </c>
      <c r="Q31" s="15">
        <f>'4.6.1.3-4 Direct N20'!Q194</f>
        <v>1.0328187168</v>
      </c>
      <c r="R31" s="15">
        <f>'4.6.1.3-4 Direct N20'!R194</f>
        <v>1.2123755904</v>
      </c>
      <c r="S31" s="15">
        <f>'4.6.1.3-4 Direct N20'!S194</f>
        <v>1.0328187168</v>
      </c>
      <c r="T31" s="16"/>
    </row>
    <row r="32" spans="1:20" ht="20.100000000000001" customHeight="1" x14ac:dyDescent="0.2">
      <c r="A32" s="5" t="str">
        <f>HYPERLINK("#'4.6.1.10-11 Soil direct N2O'!A1", "4.6.1.10-11 Soil direct N2O")</f>
        <v>4.6.1.10-11 Soil direct N2O</v>
      </c>
      <c r="D32" s="15"/>
      <c r="E32" s="15" t="str">
        <f>INDEX(X_Table_Poultry_Stage2MMS_BeltManureRemoval,3,1)</f>
        <v>Composting (passive windrow)</v>
      </c>
      <c r="F32" s="15">
        <f>'4.6.1.3-4 Direct N20'!F195</f>
        <v>0.96761558400000025</v>
      </c>
      <c r="G32" s="15">
        <f>'4.6.1.3-4 Direct N20'!G195</f>
        <v>1.0328187168</v>
      </c>
      <c r="H32" s="15">
        <f>'4.6.1.3-4 Direct N20'!H195</f>
        <v>1.2123755904</v>
      </c>
      <c r="I32" s="15">
        <f>'4.6.1.3-4 Direct N20'!I195</f>
        <v>1.0328187168</v>
      </c>
      <c r="J32" s="16"/>
      <c r="N32" s="15"/>
      <c r="O32" s="15" t="str">
        <f>INDEX(X_Table_Poultry_Stage2MMS_BeltManureRemoval,3,1)</f>
        <v>Composting (passive windrow)</v>
      </c>
      <c r="P32" s="15">
        <f>'4.6.1.3-4 Direct N20'!P195</f>
        <v>0.96761558400000025</v>
      </c>
      <c r="Q32" s="15">
        <f>'4.6.1.3-4 Direct N20'!Q195</f>
        <v>1.0328187168</v>
      </c>
      <c r="R32" s="15">
        <f>'4.6.1.3-4 Direct N20'!R195</f>
        <v>1.2123755904</v>
      </c>
      <c r="S32" s="15">
        <f>'4.6.1.3-4 Direct N20'!S195</f>
        <v>1.0328187168</v>
      </c>
      <c r="T32" s="16"/>
    </row>
    <row r="33" spans="1:20" ht="20.100000000000001" customHeight="1" x14ac:dyDescent="0.2">
      <c r="A33" s="5" t="str">
        <f>HYPERLINK("#'4.6.1.12-13 Soil atmos dep'!A1", "4.6.1.12-13 Soil atmos dep")</f>
        <v>4.6.1.12-13 Soil atmos dep</v>
      </c>
      <c r="D33" s="15"/>
      <c r="E33" s="15" t="str">
        <f>INDEX(X_Table_Poultry_Stage2MMS_BeltManureRemoval,4,1)</f>
        <v>Digester / covered lagoons</v>
      </c>
      <c r="F33" s="15">
        <f>'4.6.1.3-4 Direct N20'!F196</f>
        <v>0.96761558400000025</v>
      </c>
      <c r="G33" s="15">
        <f>'4.6.1.3-4 Direct N20'!G196</f>
        <v>1.0328187168</v>
      </c>
      <c r="H33" s="15">
        <f>'4.6.1.3-4 Direct N20'!H196</f>
        <v>1.2123755904</v>
      </c>
      <c r="I33" s="15">
        <f>'4.6.1.3-4 Direct N20'!I196</f>
        <v>1.0328187168</v>
      </c>
      <c r="J33" s="16"/>
      <c r="N33" s="15"/>
      <c r="O33" s="15" t="str">
        <f>INDEX(X_Table_Poultry_Stage2MMS_BeltManureRemoval,4,1)</f>
        <v>Digester / covered lagoons</v>
      </c>
      <c r="P33" s="15">
        <f>'4.6.1.3-4 Direct N20'!P196</f>
        <v>0.96761558400000025</v>
      </c>
      <c r="Q33" s="15">
        <f>'4.6.1.3-4 Direct N20'!Q196</f>
        <v>1.0328187168</v>
      </c>
      <c r="R33" s="15">
        <f>'4.6.1.3-4 Direct N20'!R196</f>
        <v>1.2123755904</v>
      </c>
      <c r="S33" s="15">
        <f>'4.6.1.3-4 Direct N20'!S196</f>
        <v>1.0328187168</v>
      </c>
      <c r="T33" s="16"/>
    </row>
    <row r="34" spans="1:20" ht="20.100000000000001" customHeight="1" x14ac:dyDescent="0.2">
      <c r="A34" s="5" t="str">
        <f>HYPERLINK("#'4.6.1.14-15 Soil leach runoff'!A1", "4.6.1.14-15 Soil leach runoff")</f>
        <v>4.6.1.14-15 Soil leach runoff</v>
      </c>
      <c r="D34" s="15"/>
      <c r="E34" s="15" t="str">
        <f>INDEX(X_Table_Poultry_Stage2MMS_BeltManureRemoval,5,1)</f>
        <v>Direct processing</v>
      </c>
      <c r="F34" s="15">
        <f>'4.6.1.3-4 Direct N20'!F197</f>
        <v>0.96761558400000025</v>
      </c>
      <c r="G34" s="15">
        <f>'4.6.1.3-4 Direct N20'!G197</f>
        <v>1.0328187168</v>
      </c>
      <c r="H34" s="15">
        <f>'4.6.1.3-4 Direct N20'!H197</f>
        <v>1.2123755904</v>
      </c>
      <c r="I34" s="15">
        <f>'4.6.1.3-4 Direct N20'!I197</f>
        <v>1.0328187168</v>
      </c>
      <c r="J34" s="16"/>
      <c r="N34" s="15"/>
      <c r="O34" s="15" t="str">
        <f>INDEX(X_Table_Poultry_Stage2MMS_BeltManureRemoval,5,1)</f>
        <v>Direct processing</v>
      </c>
      <c r="P34" s="15">
        <f>'4.6.1.3-4 Direct N20'!P197</f>
        <v>0.96761558400000025</v>
      </c>
      <c r="Q34" s="15">
        <f>'4.6.1.3-4 Direct N20'!Q197</f>
        <v>1.0328187168</v>
      </c>
      <c r="R34" s="15">
        <f>'4.6.1.3-4 Direct N20'!R197</f>
        <v>1.2123755904</v>
      </c>
      <c r="S34" s="15">
        <f>'4.6.1.3-4 Direct N20'!S197</f>
        <v>1.0328187168</v>
      </c>
      <c r="T34" s="16"/>
    </row>
    <row r="35" spans="1:20" ht="20.100000000000001" customHeight="1" x14ac:dyDescent="0.2">
      <c r="A35" s="5" t="str">
        <f>HYPERLINK("#'8.1.1.1-2 Transport fuel'!A1", "8.1.1.1-2 Transport fuel")</f>
        <v>8.1.1.1-2 Transport fuel</v>
      </c>
      <c r="D35" s="15"/>
      <c r="E35" s="15" t="str">
        <f>INDEX(X_Table_Poultry_Stage2MMS_BeltManureRemoval,6,1)</f>
        <v>Direct application</v>
      </c>
      <c r="F35" s="15">
        <f>'4.6.1.3-4 Direct N20'!F198</f>
        <v>0.96761558399999992</v>
      </c>
      <c r="G35" s="15">
        <f>'4.6.1.3-4 Direct N20'!G198</f>
        <v>1.0328187167999998</v>
      </c>
      <c r="H35" s="15">
        <f>'4.6.1.3-4 Direct N20'!H198</f>
        <v>1.2123755903999998</v>
      </c>
      <c r="I35" s="15">
        <f>'4.6.1.3-4 Direct N20'!I198</f>
        <v>1.0328187167999998</v>
      </c>
      <c r="N35" s="15"/>
      <c r="O35" s="15" t="str">
        <f>INDEX(X_Table_Poultry_Stage2MMS_BeltManureRemoval,6,1)</f>
        <v>Direct application</v>
      </c>
      <c r="P35" s="15">
        <f>'4.6.1.3-4 Direct N20'!P198</f>
        <v>0.96761558399999992</v>
      </c>
      <c r="Q35" s="15">
        <f>'4.6.1.3-4 Direct N20'!Q198</f>
        <v>1.0328187167999998</v>
      </c>
      <c r="R35" s="15">
        <f>'4.6.1.3-4 Direct N20'!R198</f>
        <v>1.2123755903999998</v>
      </c>
      <c r="S35" s="15">
        <f>'4.6.1.3-4 Direct N20'!S198</f>
        <v>1.0328187167999998</v>
      </c>
    </row>
    <row r="36" spans="1:20" ht="20.100000000000001" customHeight="1" x14ac:dyDescent="0.2">
      <c r="A36" s="5" t="str">
        <f>HYPERLINK("#'8.2.1.1-2 Stationary fuel'!A1", "8.2.1.1-2 Stationary fuel")</f>
        <v>8.2.1.1-2 Stationary fuel</v>
      </c>
      <c r="D36" s="15" t="str">
        <f>INDEX(X_Table_Poultry_Stage1MMS,4,1)</f>
        <v>Manure stored in house</v>
      </c>
      <c r="E36" s="15" t="str">
        <f>INDEX(X_Table_Poultry_Stage2MMS_ManureStoredInHouse,2,1)</f>
        <v>Solid storage</v>
      </c>
      <c r="F36" s="15">
        <f>'4.6.1.3-4 Direct N20'!F199</f>
        <v>0.61074998400000013</v>
      </c>
      <c r="G36" s="15">
        <f>'4.6.1.3-4 Direct N20'!G199</f>
        <v>0.65190559679999993</v>
      </c>
      <c r="H36" s="15">
        <f>'4.6.1.3-4 Direct N20'!H199</f>
        <v>0.76524023039999989</v>
      </c>
      <c r="I36" s="15">
        <f>'4.6.1.3-4 Direct N20'!I199</f>
        <v>0.65190559679999993</v>
      </c>
      <c r="J36" s="16"/>
      <c r="N36" s="15" t="str">
        <f>INDEX(X_Table_Poultry_Stage1MMS,4,1)</f>
        <v>Manure stored in house</v>
      </c>
      <c r="O36" s="15" t="str">
        <f>INDEX(X_Table_Poultry_Stage2MMS_ManureStoredInHouse,2,1)</f>
        <v>Solid storage</v>
      </c>
      <c r="P36" s="15">
        <f>'4.6.1.3-4 Direct N20'!P199</f>
        <v>0.61074998400000013</v>
      </c>
      <c r="Q36" s="15">
        <f>'4.6.1.3-4 Direct N20'!Q199</f>
        <v>0.65190559679999993</v>
      </c>
      <c r="R36" s="15">
        <f>'4.6.1.3-4 Direct N20'!R199</f>
        <v>0.76524023039999989</v>
      </c>
      <c r="S36" s="15">
        <f>'4.6.1.3-4 Direct N20'!S199</f>
        <v>0.65190559679999993</v>
      </c>
      <c r="T36" s="16"/>
    </row>
    <row r="37" spans="1:20" ht="20.100000000000001" customHeight="1" x14ac:dyDescent="0.2">
      <c r="A37" s="5" t="str">
        <f>HYPERLINK("#'10.1.1-2 Solid waste treatment'!A1", "10.1.1.1-2 Solid waste")</f>
        <v>10.1.1.1-2 Solid waste</v>
      </c>
      <c r="D37" s="15"/>
      <c r="E37" s="15" t="str">
        <f>INDEX(X_Table_Poultry_Stage2MMS_ManureStoredInHouse,3,1)</f>
        <v>Composting (passive windrow)</v>
      </c>
      <c r="F37" s="15">
        <f>'4.6.1.3-4 Direct N20'!F200</f>
        <v>0.61074998400000013</v>
      </c>
      <c r="G37" s="15">
        <f>'4.6.1.3-4 Direct N20'!G200</f>
        <v>0.65190559679999993</v>
      </c>
      <c r="H37" s="15">
        <f>'4.6.1.3-4 Direct N20'!H200</f>
        <v>0.76524023039999989</v>
      </c>
      <c r="I37" s="15">
        <f>'4.6.1.3-4 Direct N20'!I200</f>
        <v>0.65190559679999993</v>
      </c>
      <c r="J37" s="16"/>
      <c r="N37" s="15"/>
      <c r="O37" s="15" t="str">
        <f>INDEX(X_Table_Poultry_Stage2MMS_ManureStoredInHouse,3,1)</f>
        <v>Composting (passive windrow)</v>
      </c>
      <c r="P37" s="15">
        <f>'4.6.1.3-4 Direct N20'!P200</f>
        <v>0.61074998400000013</v>
      </c>
      <c r="Q37" s="15">
        <f>'4.6.1.3-4 Direct N20'!Q200</f>
        <v>0.65190559679999993</v>
      </c>
      <c r="R37" s="15">
        <f>'4.6.1.3-4 Direct N20'!R200</f>
        <v>0.76524023039999989</v>
      </c>
      <c r="S37" s="15">
        <f>'4.6.1.3-4 Direct N20'!S200</f>
        <v>0.65190559679999993</v>
      </c>
      <c r="T37" s="16"/>
    </row>
    <row r="38" spans="1:20" ht="20.100000000000001" customHeight="1" x14ac:dyDescent="0.2">
      <c r="A38" s="5" t="str">
        <f>HYPERLINK("#'14.1.1-2 Purchased electricity'!A1", "14.1.1-2 Purchased electricity")</f>
        <v>14.1.1-2 Purchased electricity</v>
      </c>
      <c r="D38" s="15"/>
      <c r="E38" s="15" t="str">
        <f>INDEX(X_Table_Poultry_Stage2MMS_ManureStoredInHouse,4,1)</f>
        <v>Digester / covered lagoons</v>
      </c>
      <c r="F38" s="15">
        <f>'4.6.1.3-4 Direct N20'!F201</f>
        <v>0.61074998400000013</v>
      </c>
      <c r="G38" s="15">
        <f>'4.6.1.3-4 Direct N20'!G201</f>
        <v>0.65190559679999993</v>
      </c>
      <c r="H38" s="15">
        <f>'4.6.1.3-4 Direct N20'!H201</f>
        <v>0.76524023039999989</v>
      </c>
      <c r="I38" s="15">
        <f>'4.6.1.3-4 Direct N20'!I201</f>
        <v>0.65190559679999993</v>
      </c>
      <c r="J38" s="16"/>
      <c r="N38" s="15"/>
      <c r="O38" s="15" t="str">
        <f>INDEX(X_Table_Poultry_Stage2MMS_ManureStoredInHouse,4,1)</f>
        <v>Digester / covered lagoons</v>
      </c>
      <c r="P38" s="15">
        <f>'4.6.1.3-4 Direct N20'!P201</f>
        <v>0.61074998400000013</v>
      </c>
      <c r="Q38" s="15">
        <f>'4.6.1.3-4 Direct N20'!Q201</f>
        <v>0.65190559679999993</v>
      </c>
      <c r="R38" s="15">
        <f>'4.6.1.3-4 Direct N20'!R201</f>
        <v>0.76524023039999989</v>
      </c>
      <c r="S38" s="15">
        <f>'4.6.1.3-4 Direct N20'!S201</f>
        <v>0.65190559679999993</v>
      </c>
      <c r="T38" s="16"/>
    </row>
    <row r="39" spans="1:20" ht="20.100000000000001" customHeight="1" x14ac:dyDescent="0.2">
      <c r="A39" s="5" t="str">
        <f>HYPERLINK("#'15 Scope 3'!A1", "15 Scope 3")</f>
        <v>15 Scope 3</v>
      </c>
      <c r="D39" s="15"/>
      <c r="E39" s="15" t="str">
        <f>INDEX(X_Table_Poultry_Stage2MMS_ManureStoredInHouse,5,1)</f>
        <v>Direct processing</v>
      </c>
      <c r="F39" s="15">
        <f>'4.6.1.3-4 Direct N20'!F202</f>
        <v>0.61074998400000013</v>
      </c>
      <c r="G39" s="15">
        <f>'4.6.1.3-4 Direct N20'!G202</f>
        <v>0.65190559679999993</v>
      </c>
      <c r="H39" s="15">
        <f>'4.6.1.3-4 Direct N20'!H202</f>
        <v>0.76524023039999989</v>
      </c>
      <c r="I39" s="15">
        <f>'4.6.1.3-4 Direct N20'!I202</f>
        <v>0.65190559679999993</v>
      </c>
      <c r="J39" s="16"/>
      <c r="N39" s="15"/>
      <c r="O39" s="15" t="str">
        <f>INDEX(X_Table_Poultry_Stage2MMS_ManureStoredInHouse,5,1)</f>
        <v>Direct processing</v>
      </c>
      <c r="P39" s="15">
        <f>'4.6.1.3-4 Direct N20'!P202</f>
        <v>0.61074998400000013</v>
      </c>
      <c r="Q39" s="15">
        <f>'4.6.1.3-4 Direct N20'!Q202</f>
        <v>0.65190559679999993</v>
      </c>
      <c r="R39" s="15">
        <f>'4.6.1.3-4 Direct N20'!R202</f>
        <v>0.76524023039999989</v>
      </c>
      <c r="S39" s="15">
        <f>'4.6.1.3-4 Direct N20'!S202</f>
        <v>0.65190559679999993</v>
      </c>
      <c r="T39" s="16"/>
    </row>
    <row r="40" spans="1:20" ht="20.100000000000001" customHeight="1" x14ac:dyDescent="0.2">
      <c r="A40" s="5" t="str">
        <f>HYPERLINK("#'Calcs - Manure sent off-site'!A1", "Calcs - Manure sent off-site")</f>
        <v>Calcs - Manure sent off-site</v>
      </c>
      <c r="D40" s="15"/>
      <c r="E40" s="15" t="str">
        <f>INDEX(X_Table_Poultry_Stage2MMS_ManureStoredInHouse,6,1)</f>
        <v>Direct application</v>
      </c>
      <c r="F40" s="15">
        <f>'4.6.1.3-4 Direct N20'!F203</f>
        <v>0.61074998399999991</v>
      </c>
      <c r="G40" s="15">
        <f>'4.6.1.3-4 Direct N20'!G203</f>
        <v>0.65190559679999971</v>
      </c>
      <c r="H40" s="15">
        <f>'4.6.1.3-4 Direct N20'!H203</f>
        <v>0.76524023039999967</v>
      </c>
      <c r="I40" s="15">
        <f>'4.6.1.3-4 Direct N20'!I203</f>
        <v>0.65190559679999971</v>
      </c>
      <c r="N40" s="15"/>
      <c r="O40" s="15" t="str">
        <f>INDEX(X_Table_Poultry_Stage2MMS_ManureStoredInHouse,6,1)</f>
        <v>Direct application</v>
      </c>
      <c r="P40" s="15">
        <f>'4.6.1.3-4 Direct N20'!P203</f>
        <v>0.61074998399999991</v>
      </c>
      <c r="Q40" s="15">
        <f>'4.6.1.3-4 Direct N20'!Q203</f>
        <v>0.65190559679999971</v>
      </c>
      <c r="R40" s="15">
        <f>'4.6.1.3-4 Direct N20'!R203</f>
        <v>0.76524023039999967</v>
      </c>
      <c r="S40" s="15">
        <f>'4.6.1.3-4 Direct N20'!S203</f>
        <v>0.65190559679999971</v>
      </c>
    </row>
    <row r="41" spans="1:20" ht="20.100000000000001" customHeight="1" x14ac:dyDescent="0.2">
      <c r="A41" s="5" t="str">
        <f>HYPERLINK("#'5.1.1.1-2 Inorganic fert N2O'!A1", "5.1.1.1-2 Inorganic fert N2O")</f>
        <v>5.1.1.1-2 Inorganic fert N2O</v>
      </c>
    </row>
    <row r="42" spans="1:20" ht="20.100000000000001" customHeight="1" x14ac:dyDescent="0.2">
      <c r="A42" s="5" t="str">
        <f>HYPERLINK("#'5.1.1.3-4 Inorganic fert CO2'!A1", "5.1.1.3-4 Inorganic fert CO2")</f>
        <v>5.1.1.3-4 Inorganic fert CO2</v>
      </c>
      <c r="D42" s="118" t="s">
        <v>428</v>
      </c>
    </row>
    <row r="43" spans="1:20" ht="20.100000000000001" customHeight="1" x14ac:dyDescent="0.2">
      <c r="A43" s="5" t="str">
        <f>HYPERLINK("#'5.2.1.1-2 Organic Fert N2O'!A1", "5.2.1.1-2 Organic Fert N2O")</f>
        <v>5.2.1.1-2 Organic Fert N2O</v>
      </c>
      <c r="D43" s="119" t="s">
        <v>429</v>
      </c>
    </row>
    <row r="44" spans="1:20" ht="20.100000000000001" customHeight="1" x14ac:dyDescent="0.2">
      <c r="A44" s="5" t="str">
        <f>HYPERLINK("#'5.3.1.1-2 Lime CO2'!A1", "5.3.1.1-2 Lime CO2")</f>
        <v>5.3.1.1-2 Lime CO2</v>
      </c>
      <c r="D44" s="120" t="s">
        <v>314</v>
      </c>
      <c r="E44" s="120" t="s">
        <v>403</v>
      </c>
    </row>
    <row r="45" spans="1:20" ht="20.100000000000001" customHeight="1" x14ac:dyDescent="0.2">
      <c r="A45" s="5" t="str">
        <f>HYPERLINK("#'5.4.1.1-4 Atmos deposition'!A1", "5.4.1.1-4 Atmos deposition")</f>
        <v>5.4.1.1-4 Atmos deposition</v>
      </c>
      <c r="D45" s="15" t="str">
        <f>'Constants - Poultry'!$D$29</f>
        <v>Poultry manure with bedding</v>
      </c>
      <c r="E45" s="15" cm="1">
        <f t="array" ref="E45">Common_InputFunctions.Utility_LookupValueInTableNumber(D45, Table_SourceData_Poultry_FracGASM[NIR reference],Table_SourceData_Poultry_FracGASM[FracGASMmT])</f>
        <v>0.3</v>
      </c>
      <c r="F45" s="16" t="str">
        <f>$G$14</f>
        <v>(kg NH3-N + NOx-N)/kg N</v>
      </c>
    </row>
    <row r="46" spans="1:20" ht="20.100000000000001" customHeight="1" x14ac:dyDescent="0.2">
      <c r="A46" s="5" t="str">
        <f>HYPERLINK("#'5.5.1.1-2 Leaching and runoff'!A1", "5.5.1.1-2 Leaching and runoff")</f>
        <v>5.5.1.1-2 Leaching and runoff</v>
      </c>
      <c r="D46" s="15" t="str">
        <f>'Constants - Poultry'!$D$30</f>
        <v>Belt manure removal</v>
      </c>
      <c r="E46" s="15" cm="1">
        <f t="array" ref="E46">Common_InputFunctions.Utility_LookupValueInTableNumber(D46, Table_SourceData_Poultry_FracGASM[NIR reference],Table_SourceData_Poultry_FracGASM[FracGASMmT])</f>
        <v>0.05</v>
      </c>
    </row>
    <row r="47" spans="1:20" ht="20.100000000000001" customHeight="1" x14ac:dyDescent="0.2">
      <c r="D47" s="15" t="str">
        <f>'Constants - Poultry'!$D$31</f>
        <v>Manure stored in house</v>
      </c>
      <c r="E47" s="15" cm="1">
        <f t="array" ref="E47">Common_InputFunctions.Utility_LookupValueInTableNumber(D47, Table_SourceData_Poultry_FracGASM[NIR reference],Table_SourceData_Poultry_FracGASM[FracGASMmT])</f>
        <v>0.4</v>
      </c>
    </row>
    <row r="48" spans="1:20" ht="20.100000000000001" customHeight="1" x14ac:dyDescent="0.2">
      <c r="D48" s="15" t="str">
        <f>'Constants - Poultry'!$D$32</f>
        <v>Pasture range and paddock</v>
      </c>
      <c r="E48" s="15" cm="1">
        <f t="array" ref="E48">Common_InputFunctions.Utility_LookupValueInTableNumber(D48, Table_SourceData_Poultry_FracGASM[NIR reference],Table_SourceData_Poultry_FracGASM[FracGASMmT])</f>
        <v>0</v>
      </c>
    </row>
    <row r="49" spans="1:20" ht="20.100000000000001" customHeight="1" x14ac:dyDescent="0.2">
      <c r="A49" s="80" t="s">
        <v>1</v>
      </c>
      <c r="D49" s="15" t="str">
        <f>'Constants - Poultry'!$D$33</f>
        <v>Solid storage</v>
      </c>
      <c r="E49" s="15" cm="1">
        <f t="array" ref="E49">Common_InputFunctions.Utility_LookupValueInTableNumber(D49, Table_SourceData_Poultry_FracGASM[NIR reference],Table_SourceData_Poultry_FracGASM[FracGASMmT])</f>
        <v>0.2</v>
      </c>
    </row>
    <row r="50" spans="1:20" ht="20.100000000000001" customHeight="1" x14ac:dyDescent="0.2">
      <c r="A50" s="5" t="str">
        <f>HYPERLINK("#'Constants - Poultry'!A1", "Constants - Poultry")</f>
        <v>Constants - Poultry</v>
      </c>
      <c r="D50" s="15" t="str">
        <f>'Constants - Poultry'!$D$34</f>
        <v>Composting (passive windrow)</v>
      </c>
      <c r="E50" s="15" cm="1">
        <f t="array" ref="E50">Common_InputFunctions.Utility_LookupValueInTableNumber(D50, Table_SourceData_Poultry_FracGASM[NIR reference],Table_SourceData_Poultry_FracGASM[FracGASMmT])</f>
        <v>0.2</v>
      </c>
    </row>
    <row r="51" spans="1:20" ht="20.100000000000001" customHeight="1" x14ac:dyDescent="0.2">
      <c r="A51" s="5" t="str">
        <f>HYPERLINK("#'Constants - Common livestock'!A1", "Constants - Common Livestock")</f>
        <v>Constants - Common Livestock</v>
      </c>
      <c r="D51" s="15" t="str">
        <f>'Constants - Poultry'!$D$35</f>
        <v>Digester / covered lagoons</v>
      </c>
      <c r="E51" s="15" cm="1">
        <f t="array" ref="E51">Common_InputFunctions.Utility_LookupValueInTableNumber(D51, Table_SourceData_Poultry_FracGASM[NIR reference],Table_SourceData_Poultry_FracGASM[FracGASMmT])</f>
        <v>0</v>
      </c>
    </row>
    <row r="52" spans="1:20" ht="20.100000000000001" customHeight="1" x14ac:dyDescent="0.2">
      <c r="A52" s="5" t="str">
        <f>HYPERLINK("#'Constants - Electricity'!A1", "Constants - Electricity")</f>
        <v>Constants - Electricity</v>
      </c>
      <c r="D52" s="15" t="str">
        <f>'Constants - Poultry'!$D$36</f>
        <v>Direct processing</v>
      </c>
      <c r="E52" s="15" cm="1">
        <f t="array" ref="E52">Common_InputFunctions.Utility_LookupValueInTableNumber(D52, Table_SourceData_Poultry_FracGASM[NIR reference],Table_SourceData_Poultry_FracGASM[FracGASMmT])</f>
        <v>0</v>
      </c>
    </row>
    <row r="53" spans="1:20" ht="20.100000000000001" customHeight="1" x14ac:dyDescent="0.2">
      <c r="A53" s="5" t="str">
        <f>HYPERLINK("#'Constants - Fertiliser'!A1", "Constants - Fertiliser")</f>
        <v>Constants - Fertiliser</v>
      </c>
    </row>
    <row r="54" spans="1:20" ht="20.100000000000001" customHeight="1" x14ac:dyDescent="0.2">
      <c r="A54" s="5" t="str">
        <f>HYPERLINK("#'Constants - Fuel'!A1", "Constants - Fuel")</f>
        <v>Constants - Fuel</v>
      </c>
      <c r="D54" s="118" t="s">
        <v>430</v>
      </c>
      <c r="N54" s="118" t="s">
        <v>431</v>
      </c>
    </row>
    <row r="55" spans="1:20" ht="20.100000000000001" customHeight="1" x14ac:dyDescent="0.2">
      <c r="A55" s="5" t="str">
        <f>HYPERLINK("#'Constants - Scope 3'!A1", "Constants - Scope 3")</f>
        <v>Constants - Scope 3</v>
      </c>
      <c r="D55" s="119" t="s">
        <v>432</v>
      </c>
      <c r="N55" s="119" t="s">
        <v>433</v>
      </c>
    </row>
    <row r="56" spans="1:20" ht="20.100000000000001" customHeight="1" x14ac:dyDescent="0.2">
      <c r="A56" s="5" t="str">
        <f>HYPERLINK("#'Constants - Solid Waste'!A1", "Constants - Solid Waste")</f>
        <v>Constants - Solid Waste</v>
      </c>
      <c r="D56" s="120" t="s">
        <v>314</v>
      </c>
      <c r="E56" s="120" t="s">
        <v>318</v>
      </c>
      <c r="F56" s="120" t="s">
        <v>297</v>
      </c>
      <c r="G56" s="120" t="s">
        <v>298</v>
      </c>
      <c r="H56" s="120" t="s">
        <v>299</v>
      </c>
      <c r="I56" s="120" t="s">
        <v>300</v>
      </c>
      <c r="N56" s="120" t="s">
        <v>314</v>
      </c>
      <c r="O56" s="120" t="s">
        <v>318</v>
      </c>
      <c r="P56" s="120" t="s">
        <v>297</v>
      </c>
      <c r="Q56" s="120" t="s">
        <v>298</v>
      </c>
      <c r="R56" s="120" t="s">
        <v>299</v>
      </c>
      <c r="S56" s="120" t="s">
        <v>300</v>
      </c>
    </row>
    <row r="57" spans="1:20" ht="20.100000000000001" customHeight="1" x14ac:dyDescent="0.2">
      <c r="A57" s="5" t="str">
        <f>HYPERLINK("#'Constants - Common'!A1", "Constants - Common")</f>
        <v>Constants - Common</v>
      </c>
      <c r="D57" s="15" t="str">
        <f>INDEX(X_Table_Poultry_Stage1MMS,2,1)</f>
        <v>Poultry manure with bedding</v>
      </c>
      <c r="E57" s="15" t="s">
        <v>124</v>
      </c>
      <c r="F57" s="15" cm="1">
        <f t="array" ref="F57">MMS_Poultry_AtmosphericDeposition_Equations.VEERG_4_6_1_5__2_TotalNitrogenVolatilisedFromMMS(F22, _xlfn.XLOOKUP($D57, $D$45:$D$52, $E$45:$E$52))</f>
        <v>1.5294240000000003</v>
      </c>
      <c r="G57" s="15" cm="1">
        <f t="array" ref="G57">MMS_Poultry_AtmosphericDeposition_Equations.VEERG_4_6_1_5__2_TotalNitrogenVolatilisedFromMMS(G22, _xlfn.XLOOKUP($D57, $D$45:$D$52, $E$45:$E$52))</f>
        <v>1.6324847999999998</v>
      </c>
      <c r="H57" s="15" cm="1">
        <f t="array" ref="H57">MMS_Poultry_AtmosphericDeposition_Equations.VEERG_4_6_1_5__2_TotalNitrogenVolatilisedFromMMS(H22, _xlfn.XLOOKUP($D57, $D$45:$D$52, $E$45:$E$52))</f>
        <v>1.9162943999999997</v>
      </c>
      <c r="I57" s="15" cm="1">
        <f t="array" ref="I57">MMS_Poultry_AtmosphericDeposition_Equations.VEERG_4_6_1_5__2_TotalNitrogenVolatilisedFromMMS(I22, _xlfn.XLOOKUP($D57, $D$45:$D$52, $E$45:$E$52))</f>
        <v>1.6324847999999998</v>
      </c>
      <c r="J57" s="16" t="str">
        <f>$E$11</f>
        <v>kg N</v>
      </c>
      <c r="N57" s="15" t="str">
        <f>INDEX(X_Table_Poultry_Stage1MMS,2,1)</f>
        <v>Poultry manure with bedding</v>
      </c>
      <c r="O57" s="15" t="s">
        <v>124</v>
      </c>
      <c r="P57" s="15" cm="1">
        <f t="array" ref="P57">MMS_Poultry_AtmosphericDeposition_Equations.VEERG_4_6_1_5__2_TotalNitrogenVolatilisedFromMMS(P22, _xlfn.XLOOKUP($N57, $D$45:$D$52, $E$45:$E$52))</f>
        <v>1.5294240000000003</v>
      </c>
      <c r="Q57" s="15" cm="1">
        <f t="array" ref="Q57">MMS_Poultry_AtmosphericDeposition_Equations.VEERG_4_6_1_5__2_TotalNitrogenVolatilisedFromMMS(Q22, _xlfn.XLOOKUP($N57, $D$45:$D$52, $E$45:$E$52))</f>
        <v>1.6324847999999998</v>
      </c>
      <c r="R57" s="15" cm="1">
        <f t="array" ref="R57">MMS_Poultry_AtmosphericDeposition_Equations.VEERG_4_6_1_5__2_TotalNitrogenVolatilisedFromMMS(R22, _xlfn.XLOOKUP($N57, $D$45:$D$52, $E$45:$E$52))</f>
        <v>1.9162943999999997</v>
      </c>
      <c r="S57" s="15" cm="1">
        <f t="array" ref="S57">MMS_Poultry_AtmosphericDeposition_Equations.VEERG_4_6_1_5__2_TotalNitrogenVolatilisedFromMMS(S22, _xlfn.XLOOKUP($N57, $D$45:$D$52, $E$45:$E$52))</f>
        <v>1.6324847999999998</v>
      </c>
      <c r="T57" s="16" t="str">
        <f>$E$11</f>
        <v>kg N</v>
      </c>
    </row>
    <row r="58" spans="1:20" ht="20.100000000000001" customHeight="1" x14ac:dyDescent="0.2">
      <c r="D58" s="15" t="str">
        <f>INDEX(X_Table_Poultry_Stage1MMS,3,1)</f>
        <v>Belt manure removal</v>
      </c>
      <c r="E58" s="15" t="s">
        <v>124</v>
      </c>
      <c r="F58" s="15" cm="1">
        <f t="array" ref="F58">MMS_Poultry_AtmosphericDeposition_Equations.VEERG_4_6_1_5__2_TotalNitrogenVolatilisedFromMMS(F23, _xlfn.XLOOKUP($D58, $D$45:$D$52, $E$45:$E$52))</f>
        <v>0.25490400000000007</v>
      </c>
      <c r="G58" s="15" cm="1">
        <f t="array" ref="G58">MMS_Poultry_AtmosphericDeposition_Equations.VEERG_4_6_1_5__2_TotalNitrogenVolatilisedFromMMS(G23, _xlfn.XLOOKUP($D58, $D$45:$D$52, $E$45:$E$52))</f>
        <v>0.27208080000000001</v>
      </c>
      <c r="H58" s="15" cm="1">
        <f t="array" ref="H58">MMS_Poultry_AtmosphericDeposition_Equations.VEERG_4_6_1_5__2_TotalNitrogenVolatilisedFromMMS(H23, _xlfn.XLOOKUP($D58, $D$45:$D$52, $E$45:$E$52))</f>
        <v>0.31938240000000001</v>
      </c>
      <c r="I58" s="15" cm="1">
        <f t="array" ref="I58">MMS_Poultry_AtmosphericDeposition_Equations.VEERG_4_6_1_5__2_TotalNitrogenVolatilisedFromMMS(I23, _xlfn.XLOOKUP($D58, $D$45:$D$52, $E$45:$E$52))</f>
        <v>0.27208080000000001</v>
      </c>
      <c r="J58" s="16"/>
      <c r="N58" s="15" t="str">
        <f>INDEX(X_Table_Poultry_Stage1MMS,3,1)</f>
        <v>Belt manure removal</v>
      </c>
      <c r="O58" s="15" t="s">
        <v>124</v>
      </c>
      <c r="P58" s="15" cm="1">
        <f t="array" ref="P58">MMS_Poultry_AtmosphericDeposition_Equations.VEERG_4_6_1_5__2_TotalNitrogenVolatilisedFromMMS(P23, _xlfn.XLOOKUP($N58, $D$45:$D$52, $E$45:$E$52))</f>
        <v>0.25490400000000007</v>
      </c>
      <c r="Q58" s="15" cm="1">
        <f t="array" ref="Q58">MMS_Poultry_AtmosphericDeposition_Equations.VEERG_4_6_1_5__2_TotalNitrogenVolatilisedFromMMS(Q23, _xlfn.XLOOKUP($N58, $D$45:$D$52, $E$45:$E$52))</f>
        <v>0.27208080000000001</v>
      </c>
      <c r="R58" s="15" cm="1">
        <f t="array" ref="R58">MMS_Poultry_AtmosphericDeposition_Equations.VEERG_4_6_1_5__2_TotalNitrogenVolatilisedFromMMS(R23, _xlfn.XLOOKUP($N58, $D$45:$D$52, $E$45:$E$52))</f>
        <v>0.31938240000000001</v>
      </c>
      <c r="S58" s="15" cm="1">
        <f t="array" ref="S58">MMS_Poultry_AtmosphericDeposition_Equations.VEERG_4_6_1_5__2_TotalNitrogenVolatilisedFromMMS(S23, _xlfn.XLOOKUP($N58, $D$45:$D$52, $E$45:$E$52))</f>
        <v>0.27208080000000001</v>
      </c>
      <c r="T58" s="16"/>
    </row>
    <row r="59" spans="1:20" ht="20.100000000000001" customHeight="1" x14ac:dyDescent="0.2">
      <c r="D59" s="15" t="str">
        <f>INDEX(X_Table_Poultry_Stage1MMS,4,1)</f>
        <v>Manure stored in house</v>
      </c>
      <c r="E59" s="15" t="s">
        <v>124</v>
      </c>
      <c r="F59" s="15" cm="1">
        <f t="array" ref="F59">MMS_Poultry_AtmosphericDeposition_Equations.VEERG_4_6_1_5__2_TotalNitrogenVolatilisedFromMMS(F24, _xlfn.XLOOKUP($D59, $D$45:$D$52, $E$45:$E$52))</f>
        <v>2.0392320000000006</v>
      </c>
      <c r="G59" s="15" cm="1">
        <f t="array" ref="G59">MMS_Poultry_AtmosphericDeposition_Equations.VEERG_4_6_1_5__2_TotalNitrogenVolatilisedFromMMS(G24, _xlfn.XLOOKUP($D59, $D$45:$D$52, $E$45:$E$52))</f>
        <v>2.1766464000000001</v>
      </c>
      <c r="H59" s="15" cm="1">
        <f t="array" ref="H59">MMS_Poultry_AtmosphericDeposition_Equations.VEERG_4_6_1_5__2_TotalNitrogenVolatilisedFromMMS(H24, _xlfn.XLOOKUP($D59, $D$45:$D$52, $E$45:$E$52))</f>
        <v>2.5550592000000001</v>
      </c>
      <c r="I59" s="15" cm="1">
        <f t="array" ref="I59">MMS_Poultry_AtmosphericDeposition_Equations.VEERG_4_6_1_5__2_TotalNitrogenVolatilisedFromMMS(I24, _xlfn.XLOOKUP($D59, $D$45:$D$52, $E$45:$E$52))</f>
        <v>2.1766464000000001</v>
      </c>
      <c r="J59" s="16"/>
      <c r="N59" s="15" t="str">
        <f>INDEX(X_Table_Poultry_Stage1MMS,4,1)</f>
        <v>Manure stored in house</v>
      </c>
      <c r="O59" s="15" t="s">
        <v>124</v>
      </c>
      <c r="P59" s="15" cm="1">
        <f t="array" ref="P59">MMS_Poultry_AtmosphericDeposition_Equations.VEERG_4_6_1_5__2_TotalNitrogenVolatilisedFromMMS(P24, _xlfn.XLOOKUP($N59, $D$45:$D$52, $E$45:$E$52))</f>
        <v>2.0392320000000006</v>
      </c>
      <c r="Q59" s="15" cm="1">
        <f t="array" ref="Q59">MMS_Poultry_AtmosphericDeposition_Equations.VEERG_4_6_1_5__2_TotalNitrogenVolatilisedFromMMS(Q24, _xlfn.XLOOKUP($N59, $D$45:$D$52, $E$45:$E$52))</f>
        <v>2.1766464000000001</v>
      </c>
      <c r="R59" s="15" cm="1">
        <f t="array" ref="R59">MMS_Poultry_AtmosphericDeposition_Equations.VEERG_4_6_1_5__2_TotalNitrogenVolatilisedFromMMS(R24, _xlfn.XLOOKUP($N59, $D$45:$D$52, $E$45:$E$52))</f>
        <v>2.5550592000000001</v>
      </c>
      <c r="S59" s="15" cm="1">
        <f t="array" ref="S59">MMS_Poultry_AtmosphericDeposition_Equations.VEERG_4_6_1_5__2_TotalNitrogenVolatilisedFromMMS(S24, _xlfn.XLOOKUP($N59, $D$45:$D$52, $E$45:$E$52))</f>
        <v>2.1766464000000001</v>
      </c>
      <c r="T59" s="16"/>
    </row>
    <row r="60" spans="1:20" ht="20.100000000000001" customHeight="1" x14ac:dyDescent="0.2">
      <c r="D60" s="15" t="str">
        <f>INDEX(X_Table_Poultry_Stage1MMS,5,1)</f>
        <v>Pasture range and paddock</v>
      </c>
      <c r="E60" s="15" t="s">
        <v>124</v>
      </c>
      <c r="F60" s="15" cm="1">
        <f t="array" ref="F60">MMS_Poultry_AtmosphericDeposition_Equations.VEERG_4_6_1_5__2_TotalNitrogenVolatilisedFromMMS(F25, _xlfn.XLOOKUP($D60, $D$45:$D$52, $E$45:$E$52))</f>
        <v>0</v>
      </c>
      <c r="G60" s="15" cm="1">
        <f t="array" ref="G60">MMS_Poultry_AtmosphericDeposition_Equations.VEERG_4_6_1_5__2_TotalNitrogenVolatilisedFromMMS(G25, _xlfn.XLOOKUP($D60, $D$45:$D$52, $E$45:$E$52))</f>
        <v>0</v>
      </c>
      <c r="H60" s="15" cm="1">
        <f t="array" ref="H60">MMS_Poultry_AtmosphericDeposition_Equations.VEERG_4_6_1_5__2_TotalNitrogenVolatilisedFromMMS(H25, _xlfn.XLOOKUP($D60, $D$45:$D$52, $E$45:$E$52))</f>
        <v>0</v>
      </c>
      <c r="I60" s="15" cm="1">
        <f t="array" ref="I60">MMS_Poultry_AtmosphericDeposition_Equations.VEERG_4_6_1_5__2_TotalNitrogenVolatilisedFromMMS(I25, _xlfn.XLOOKUP($D60, $D$45:$D$52, $E$45:$E$52))</f>
        <v>0</v>
      </c>
      <c r="J60" s="16"/>
      <c r="N60" s="15" t="str">
        <f>INDEX(X_Table_Poultry_Stage1MMS,5,1)</f>
        <v>Pasture range and paddock</v>
      </c>
      <c r="O60" s="15" t="s">
        <v>124</v>
      </c>
      <c r="P60" s="15" cm="1">
        <f t="array" ref="P60">MMS_Poultry_AtmosphericDeposition_Equations.VEERG_4_6_1_5__2_TotalNitrogenVolatilisedFromMMS(P25, _xlfn.XLOOKUP($N60, $D$45:$D$52, $E$45:$E$52))</f>
        <v>0</v>
      </c>
      <c r="Q60" s="15" cm="1">
        <f t="array" ref="Q60">MMS_Poultry_AtmosphericDeposition_Equations.VEERG_4_6_1_5__2_TotalNitrogenVolatilisedFromMMS(Q25, _xlfn.XLOOKUP($N60, $D$45:$D$52, $E$45:$E$52))</f>
        <v>0</v>
      </c>
      <c r="R60" s="15" cm="1">
        <f t="array" ref="R60">MMS_Poultry_AtmosphericDeposition_Equations.VEERG_4_6_1_5__2_TotalNitrogenVolatilisedFromMMS(R25, _xlfn.XLOOKUP($N60, $D$45:$D$52, $E$45:$E$52))</f>
        <v>0</v>
      </c>
      <c r="S60" s="15" cm="1">
        <f t="array" ref="S60">MMS_Poultry_AtmosphericDeposition_Equations.VEERG_4_6_1_5__2_TotalNitrogenVolatilisedFromMMS(S25, _xlfn.XLOOKUP($N60, $D$45:$D$52, $E$45:$E$52))</f>
        <v>0</v>
      </c>
      <c r="T60" s="16"/>
    </row>
    <row r="61" spans="1:20" ht="20.100000000000001" customHeight="1" x14ac:dyDescent="0.2">
      <c r="D61" s="15" t="str">
        <f>INDEX(X_Table_Poultry_Stage1MMS,2,1)</f>
        <v>Poultry manure with bedding</v>
      </c>
      <c r="E61" s="15" t="str">
        <f>INDEX(X_Table_Poultry_Stage2MMS_PoultryManureWithBedding,2,1)</f>
        <v>Solid storage</v>
      </c>
      <c r="F61" s="15" cm="1">
        <f t="array" ref="F61">MMS_Poultry_AtmosphericDeposition_Equations.VEERG_4_6_1_5__2_TotalNitrogenVolatilisedFromMMS(F26, _xlfn.XLOOKUP($E61, $D$45:$D$52, $E$45:$E$52))</f>
        <v>0.14254231680000004</v>
      </c>
      <c r="G61" s="15" cm="1">
        <f t="array" ref="G61">MMS_Poultry_AtmosphericDeposition_Equations.VEERG_4_6_1_5__2_TotalNitrogenVolatilisedFromMMS(G26, _xlfn.XLOOKUP($E61, $D$45:$D$52, $E$45:$E$52))</f>
        <v>0.15214758336</v>
      </c>
      <c r="H61" s="15" cm="1">
        <f t="array" ref="H61">MMS_Poultry_AtmosphericDeposition_Equations.VEERG_4_6_1_5__2_TotalNitrogenVolatilisedFromMMS(H26, _xlfn.XLOOKUP($E61, $D$45:$D$52, $E$45:$E$52))</f>
        <v>0.17859863807999998</v>
      </c>
      <c r="I61" s="15" cm="1">
        <f t="array" ref="I61">MMS_Poultry_AtmosphericDeposition_Equations.VEERG_4_6_1_5__2_TotalNitrogenVolatilisedFromMMS(I26, _xlfn.XLOOKUP($E61, $D$45:$D$52, $E$45:$E$52))</f>
        <v>0.15214758336</v>
      </c>
      <c r="J61" s="16"/>
      <c r="N61" s="15" t="str">
        <f>INDEX(X_Table_Poultry_Stage1MMS,2,1)</f>
        <v>Poultry manure with bedding</v>
      </c>
      <c r="O61" s="15" t="str">
        <f>INDEX(X_Table_Poultry_Stage2MMS_PoultryManureWithBedding,2,1)</f>
        <v>Solid storage</v>
      </c>
      <c r="P61" s="15" cm="1">
        <f t="array" ref="P61">MMS_Poultry_AtmosphericDeposition_Equations.VEERG_4_6_1_5__2_TotalNitrogenVolatilisedFromMMS(P26, _xlfn.XLOOKUP($O61, $D$45:$D$52, $E$45:$E$52))</f>
        <v>0.14254231680000004</v>
      </c>
      <c r="Q61" s="15" cm="1">
        <f t="array" ref="Q61">MMS_Poultry_AtmosphericDeposition_Equations.VEERG_4_6_1_5__2_TotalNitrogenVolatilisedFromMMS(Q26, _xlfn.XLOOKUP($O61, $D$45:$D$52, $E$45:$E$52))</f>
        <v>0.15214758336</v>
      </c>
      <c r="R61" s="15" cm="1">
        <f t="array" ref="R61">MMS_Poultry_AtmosphericDeposition_Equations.VEERG_4_6_1_5__2_TotalNitrogenVolatilisedFromMMS(R26, _xlfn.XLOOKUP($O61, $D$45:$D$52, $E$45:$E$52))</f>
        <v>0.17859863807999998</v>
      </c>
      <c r="S61" s="15" cm="1">
        <f t="array" ref="S61">MMS_Poultry_AtmosphericDeposition_Equations.VEERG_4_6_1_5__2_TotalNitrogenVolatilisedFromMMS(S26, _xlfn.XLOOKUP($O61, $D$45:$D$52, $E$45:$E$52))</f>
        <v>0.15214758336</v>
      </c>
      <c r="T61" s="16"/>
    </row>
    <row r="62" spans="1:20" ht="20.100000000000001" customHeight="1" x14ac:dyDescent="0.2">
      <c r="D62" s="15"/>
      <c r="E62" s="15" t="str">
        <f>INDEX(X_Table_Poultry_Stage2MMS_PoultryManureWithBedding,3,1)</f>
        <v>Composting (passive windrow)</v>
      </c>
      <c r="F62" s="15" cm="1">
        <f t="array" ref="F62">MMS_Poultry_AtmosphericDeposition_Equations.VEERG_4_6_1_5__2_TotalNitrogenVolatilisedFromMMS(F27, _xlfn.XLOOKUP($E62, $D$45:$D$52, $E$45:$E$52))</f>
        <v>0.14254231680000004</v>
      </c>
      <c r="G62" s="15" cm="1">
        <f t="array" ref="G62">MMS_Poultry_AtmosphericDeposition_Equations.VEERG_4_6_1_5__2_TotalNitrogenVolatilisedFromMMS(G27, _xlfn.XLOOKUP($E62, $D$45:$D$52, $E$45:$E$52))</f>
        <v>0.15214758336</v>
      </c>
      <c r="H62" s="15" cm="1">
        <f t="array" ref="H62">MMS_Poultry_AtmosphericDeposition_Equations.VEERG_4_6_1_5__2_TotalNitrogenVolatilisedFromMMS(H27, _xlfn.XLOOKUP($E62, $D$45:$D$52, $E$45:$E$52))</f>
        <v>0.17859863807999998</v>
      </c>
      <c r="I62" s="15" cm="1">
        <f t="array" ref="I62">MMS_Poultry_AtmosphericDeposition_Equations.VEERG_4_6_1_5__2_TotalNitrogenVolatilisedFromMMS(I27, _xlfn.XLOOKUP($E62, $D$45:$D$52, $E$45:$E$52))</f>
        <v>0.15214758336</v>
      </c>
      <c r="J62" s="16"/>
      <c r="N62" s="15"/>
      <c r="O62" s="15" t="str">
        <f>INDEX(X_Table_Poultry_Stage2MMS_PoultryManureWithBedding,3,1)</f>
        <v>Composting (passive windrow)</v>
      </c>
      <c r="P62" s="15" cm="1">
        <f t="array" ref="P62">MMS_Poultry_AtmosphericDeposition_Equations.VEERG_4_6_1_5__2_TotalNitrogenVolatilisedFromMMS(P27, _xlfn.XLOOKUP($O62, $D$45:$D$52, $E$45:$E$52))</f>
        <v>0.14254231680000004</v>
      </c>
      <c r="Q62" s="15" cm="1">
        <f t="array" ref="Q62">MMS_Poultry_AtmosphericDeposition_Equations.VEERG_4_6_1_5__2_TotalNitrogenVolatilisedFromMMS(Q27, _xlfn.XLOOKUP($O62, $D$45:$D$52, $E$45:$E$52))</f>
        <v>0.15214758336</v>
      </c>
      <c r="R62" s="15" cm="1">
        <f t="array" ref="R62">MMS_Poultry_AtmosphericDeposition_Equations.VEERG_4_6_1_5__2_TotalNitrogenVolatilisedFromMMS(R27, _xlfn.XLOOKUP($O62, $D$45:$D$52, $E$45:$E$52))</f>
        <v>0.17859863807999998</v>
      </c>
      <c r="S62" s="15" cm="1">
        <f t="array" ref="S62">MMS_Poultry_AtmosphericDeposition_Equations.VEERG_4_6_1_5__2_TotalNitrogenVolatilisedFromMMS(S27, _xlfn.XLOOKUP($O62, $D$45:$D$52, $E$45:$E$52))</f>
        <v>0.15214758336</v>
      </c>
      <c r="T62" s="16"/>
    </row>
    <row r="63" spans="1:20" ht="20.100000000000001" customHeight="1" x14ac:dyDescent="0.2">
      <c r="D63" s="15"/>
      <c r="E63" s="15" t="str">
        <f>INDEX(X_Table_Poultry_Stage2MMS_PoultryManureWithBedding,4,1)</f>
        <v>Digester / covered lagoons</v>
      </c>
      <c r="F63" s="15" cm="1">
        <f t="array" ref="F63">MMS_Poultry_AtmosphericDeposition_Equations.VEERG_4_6_1_5__2_TotalNitrogenVolatilisedFromMMS(F28, _xlfn.XLOOKUP($E63, $D$45:$D$52, $E$45:$E$52))</f>
        <v>0</v>
      </c>
      <c r="G63" s="15" cm="1">
        <f t="array" ref="G63">MMS_Poultry_AtmosphericDeposition_Equations.VEERG_4_6_1_5__2_TotalNitrogenVolatilisedFromMMS(G28, _xlfn.XLOOKUP($E63, $D$45:$D$52, $E$45:$E$52))</f>
        <v>0</v>
      </c>
      <c r="H63" s="15" cm="1">
        <f t="array" ref="H63">MMS_Poultry_AtmosphericDeposition_Equations.VEERG_4_6_1_5__2_TotalNitrogenVolatilisedFromMMS(H28, _xlfn.XLOOKUP($E63, $D$45:$D$52, $E$45:$E$52))</f>
        <v>0</v>
      </c>
      <c r="I63" s="15" cm="1">
        <f t="array" ref="I63">MMS_Poultry_AtmosphericDeposition_Equations.VEERG_4_6_1_5__2_TotalNitrogenVolatilisedFromMMS(I28, _xlfn.XLOOKUP($E63, $D$45:$D$52, $E$45:$E$52))</f>
        <v>0</v>
      </c>
      <c r="J63" s="16"/>
      <c r="N63" s="15"/>
      <c r="O63" s="15" t="str">
        <f>INDEX(X_Table_Poultry_Stage2MMS_PoultryManureWithBedding,4,1)</f>
        <v>Digester / covered lagoons</v>
      </c>
      <c r="P63" s="15" cm="1">
        <f t="array" ref="P63">MMS_Poultry_AtmosphericDeposition_Equations.VEERG_4_6_1_5__2_TotalNitrogenVolatilisedFromMMS(P28, _xlfn.XLOOKUP($O63, $D$45:$D$52, $E$45:$E$52))</f>
        <v>0</v>
      </c>
      <c r="Q63" s="15" cm="1">
        <f t="array" ref="Q63">MMS_Poultry_AtmosphericDeposition_Equations.VEERG_4_6_1_5__2_TotalNitrogenVolatilisedFromMMS(Q28, _xlfn.XLOOKUP($O63, $D$45:$D$52, $E$45:$E$52))</f>
        <v>0</v>
      </c>
      <c r="R63" s="15" cm="1">
        <f t="array" ref="R63">MMS_Poultry_AtmosphericDeposition_Equations.VEERG_4_6_1_5__2_TotalNitrogenVolatilisedFromMMS(R28, _xlfn.XLOOKUP($O63, $D$45:$D$52, $E$45:$E$52))</f>
        <v>0</v>
      </c>
      <c r="S63" s="15" cm="1">
        <f t="array" ref="S63">MMS_Poultry_AtmosphericDeposition_Equations.VEERG_4_6_1_5__2_TotalNitrogenVolatilisedFromMMS(S28, _xlfn.XLOOKUP($O63, $D$45:$D$52, $E$45:$E$52))</f>
        <v>0</v>
      </c>
      <c r="T63" s="16"/>
    </row>
    <row r="64" spans="1:20" ht="20.100000000000001" customHeight="1" x14ac:dyDescent="0.2">
      <c r="D64" s="15"/>
      <c r="E64" s="15" t="str">
        <f>INDEX(X_Table_Poultry_Stage2MMS_PoultryManureWithBedding,5,1)</f>
        <v>Direct processing</v>
      </c>
      <c r="F64" s="15" cm="1">
        <f t="array" ref="F64">MMS_Poultry_AtmosphericDeposition_Equations.VEERG_4_6_1_5__2_TotalNitrogenVolatilisedFromMMS(F29, _xlfn.XLOOKUP($E64, $D$45:$D$52, $E$45:$E$52))</f>
        <v>0</v>
      </c>
      <c r="G64" s="15" cm="1">
        <f t="array" ref="G64">MMS_Poultry_AtmosphericDeposition_Equations.VEERG_4_6_1_5__2_TotalNitrogenVolatilisedFromMMS(G29, _xlfn.XLOOKUP($E64, $D$45:$D$52, $E$45:$E$52))</f>
        <v>0</v>
      </c>
      <c r="H64" s="15" cm="1">
        <f t="array" ref="H64">MMS_Poultry_AtmosphericDeposition_Equations.VEERG_4_6_1_5__2_TotalNitrogenVolatilisedFromMMS(H29, _xlfn.XLOOKUP($E64, $D$45:$D$52, $E$45:$E$52))</f>
        <v>0</v>
      </c>
      <c r="I64" s="15" cm="1">
        <f t="array" ref="I64">MMS_Poultry_AtmosphericDeposition_Equations.VEERG_4_6_1_5__2_TotalNitrogenVolatilisedFromMMS(I29, _xlfn.XLOOKUP($E64, $D$45:$D$52, $E$45:$E$52))</f>
        <v>0</v>
      </c>
      <c r="J64" s="16"/>
      <c r="N64" s="15"/>
      <c r="O64" s="15" t="str">
        <f>INDEX(X_Table_Poultry_Stage2MMS_PoultryManureWithBedding,5,1)</f>
        <v>Direct processing</v>
      </c>
      <c r="P64" s="15" cm="1">
        <f t="array" ref="P64">MMS_Poultry_AtmosphericDeposition_Equations.VEERG_4_6_1_5__2_TotalNitrogenVolatilisedFromMMS(P29, _xlfn.XLOOKUP($O64, $D$45:$D$52, $E$45:$E$52))</f>
        <v>0</v>
      </c>
      <c r="Q64" s="15" cm="1">
        <f t="array" ref="Q64">MMS_Poultry_AtmosphericDeposition_Equations.VEERG_4_6_1_5__2_TotalNitrogenVolatilisedFromMMS(Q29, _xlfn.XLOOKUP($O64, $D$45:$D$52, $E$45:$E$52))</f>
        <v>0</v>
      </c>
      <c r="R64" s="15" cm="1">
        <f t="array" ref="R64">MMS_Poultry_AtmosphericDeposition_Equations.VEERG_4_6_1_5__2_TotalNitrogenVolatilisedFromMMS(R29, _xlfn.XLOOKUP($O64, $D$45:$D$52, $E$45:$E$52))</f>
        <v>0</v>
      </c>
      <c r="S64" s="15" cm="1">
        <f t="array" ref="S64">MMS_Poultry_AtmosphericDeposition_Equations.VEERG_4_6_1_5__2_TotalNitrogenVolatilisedFromMMS(S29, _xlfn.XLOOKUP($O64, $D$45:$D$52, $E$45:$E$52))</f>
        <v>0</v>
      </c>
      <c r="T64" s="16"/>
    </row>
    <row r="65" spans="1:21" ht="20.100000000000001" customHeight="1" x14ac:dyDescent="0.2">
      <c r="D65" s="15"/>
      <c r="E65" s="15" t="str">
        <f>INDEX(X_Table_Poultry_Stage2MMS_PoultryManureWithBedding,6,1)</f>
        <v>Direct application</v>
      </c>
      <c r="F65" s="15" t="s">
        <v>124</v>
      </c>
      <c r="G65" s="15" t="s">
        <v>124</v>
      </c>
      <c r="H65" s="15" t="s">
        <v>124</v>
      </c>
      <c r="I65" s="15" t="s">
        <v>124</v>
      </c>
      <c r="N65" s="15"/>
      <c r="O65" s="15" t="str">
        <f>INDEX(X_Table_Poultry_Stage2MMS_PoultryManureWithBedding,6,1)</f>
        <v>Direct application</v>
      </c>
      <c r="P65" s="15" t="s">
        <v>124</v>
      </c>
      <c r="Q65" s="15" t="s">
        <v>124</v>
      </c>
      <c r="R65" s="15" t="s">
        <v>124</v>
      </c>
      <c r="S65" s="15" t="s">
        <v>124</v>
      </c>
    </row>
    <row r="66" spans="1:21" ht="20.100000000000001" customHeight="1" x14ac:dyDescent="0.2">
      <c r="D66" s="15" t="str">
        <f>INDEX(X_Table_Poultry_Stage1MMS,3,1)</f>
        <v>Belt manure removal</v>
      </c>
      <c r="E66" s="15" t="str">
        <f>INDEX(X_Table_Poultry_Stage2MMS_BeltManureRemoval,2,1)</f>
        <v>Solid storage</v>
      </c>
      <c r="F66" s="15" cm="1">
        <f t="array" ref="F66">MMS_Poultry_AtmosphericDeposition_Equations.VEERG_4_6_1_5__2_TotalNitrogenVolatilisedFromMMS(F31, _xlfn.XLOOKUP($E66, $D$45:$D$52, $E$45:$E$52))</f>
        <v>0.19352311680000006</v>
      </c>
      <c r="G66" s="15" cm="1">
        <f t="array" ref="G66">MMS_Poultry_AtmosphericDeposition_Equations.VEERG_4_6_1_5__2_TotalNitrogenVolatilisedFromMMS(G31, _xlfn.XLOOKUP($E66, $D$45:$D$52, $E$45:$E$52))</f>
        <v>0.20656374336000002</v>
      </c>
      <c r="H66" s="15" cm="1">
        <f t="array" ref="H66">MMS_Poultry_AtmosphericDeposition_Equations.VEERG_4_6_1_5__2_TotalNitrogenVolatilisedFromMMS(H31, _xlfn.XLOOKUP($E66, $D$45:$D$52, $E$45:$E$52))</f>
        <v>0.24247511808</v>
      </c>
      <c r="I66" s="15" cm="1">
        <f t="array" ref="I66">MMS_Poultry_AtmosphericDeposition_Equations.VEERG_4_6_1_5__2_TotalNitrogenVolatilisedFromMMS(I31, _xlfn.XLOOKUP($E66, $D$45:$D$52, $E$45:$E$52))</f>
        <v>0.20656374336000002</v>
      </c>
      <c r="J66" s="16"/>
      <c r="N66" s="15" t="str">
        <f>INDEX(X_Table_Poultry_Stage1MMS,3,1)</f>
        <v>Belt manure removal</v>
      </c>
      <c r="O66" s="15" t="str">
        <f>INDEX(X_Table_Poultry_Stage2MMS_BeltManureRemoval,2,1)</f>
        <v>Solid storage</v>
      </c>
      <c r="P66" s="15" cm="1">
        <f t="array" ref="P66">MMS_Poultry_AtmosphericDeposition_Equations.VEERG_4_6_1_5__2_TotalNitrogenVolatilisedFromMMS(P31, _xlfn.XLOOKUP($O66, $D$45:$D$52, $E$45:$E$52))</f>
        <v>0.19352311680000006</v>
      </c>
      <c r="Q66" s="15" cm="1">
        <f t="array" ref="Q66">MMS_Poultry_AtmosphericDeposition_Equations.VEERG_4_6_1_5__2_TotalNitrogenVolatilisedFromMMS(Q31, _xlfn.XLOOKUP($O66, $D$45:$D$52, $E$45:$E$52))</f>
        <v>0.20656374336000002</v>
      </c>
      <c r="R66" s="15" cm="1">
        <f t="array" ref="R66">MMS_Poultry_AtmosphericDeposition_Equations.VEERG_4_6_1_5__2_TotalNitrogenVolatilisedFromMMS(R31, _xlfn.XLOOKUP($O66, $D$45:$D$52, $E$45:$E$52))</f>
        <v>0.24247511808</v>
      </c>
      <c r="S66" s="15" cm="1">
        <f t="array" ref="S66">MMS_Poultry_AtmosphericDeposition_Equations.VEERG_4_6_1_5__2_TotalNitrogenVolatilisedFromMMS(S31, _xlfn.XLOOKUP($O66, $D$45:$D$52, $E$45:$E$52))</f>
        <v>0.20656374336000002</v>
      </c>
      <c r="T66" s="16"/>
    </row>
    <row r="67" spans="1:21" ht="20.100000000000001" customHeight="1" x14ac:dyDescent="0.2">
      <c r="D67" s="15"/>
      <c r="E67" s="15" t="str">
        <f>INDEX(X_Table_Poultry_Stage2MMS_BeltManureRemoval,3,1)</f>
        <v>Composting (passive windrow)</v>
      </c>
      <c r="F67" s="15" cm="1">
        <f t="array" ref="F67">MMS_Poultry_AtmosphericDeposition_Equations.VEERG_4_6_1_5__2_TotalNitrogenVolatilisedFromMMS(F32, _xlfn.XLOOKUP($E67, $D$45:$D$52, $E$45:$E$52))</f>
        <v>0.19352311680000006</v>
      </c>
      <c r="G67" s="15" cm="1">
        <f t="array" ref="G67">MMS_Poultry_AtmosphericDeposition_Equations.VEERG_4_6_1_5__2_TotalNitrogenVolatilisedFromMMS(G32, _xlfn.XLOOKUP($E67, $D$45:$D$52, $E$45:$E$52))</f>
        <v>0.20656374336000002</v>
      </c>
      <c r="H67" s="15" cm="1">
        <f t="array" ref="H67">MMS_Poultry_AtmosphericDeposition_Equations.VEERG_4_6_1_5__2_TotalNitrogenVolatilisedFromMMS(H32, _xlfn.XLOOKUP($E67, $D$45:$D$52, $E$45:$E$52))</f>
        <v>0.24247511808</v>
      </c>
      <c r="I67" s="15" cm="1">
        <f t="array" ref="I67">MMS_Poultry_AtmosphericDeposition_Equations.VEERG_4_6_1_5__2_TotalNitrogenVolatilisedFromMMS(I32, _xlfn.XLOOKUP($E67, $D$45:$D$52, $E$45:$E$52))</f>
        <v>0.20656374336000002</v>
      </c>
      <c r="J67" s="16"/>
      <c r="N67" s="15"/>
      <c r="O67" s="15" t="str">
        <f>INDEX(X_Table_Poultry_Stage2MMS_BeltManureRemoval,3,1)</f>
        <v>Composting (passive windrow)</v>
      </c>
      <c r="P67" s="15" cm="1">
        <f t="array" ref="P67">MMS_Poultry_AtmosphericDeposition_Equations.VEERG_4_6_1_5__2_TotalNitrogenVolatilisedFromMMS(P32, _xlfn.XLOOKUP($O67, $D$45:$D$52, $E$45:$E$52))</f>
        <v>0.19352311680000006</v>
      </c>
      <c r="Q67" s="15" cm="1">
        <f t="array" ref="Q67">MMS_Poultry_AtmosphericDeposition_Equations.VEERG_4_6_1_5__2_TotalNitrogenVolatilisedFromMMS(Q32, _xlfn.XLOOKUP($O67, $D$45:$D$52, $E$45:$E$52))</f>
        <v>0.20656374336000002</v>
      </c>
      <c r="R67" s="15" cm="1">
        <f t="array" ref="R67">MMS_Poultry_AtmosphericDeposition_Equations.VEERG_4_6_1_5__2_TotalNitrogenVolatilisedFromMMS(R32, _xlfn.XLOOKUP($O67, $D$45:$D$52, $E$45:$E$52))</f>
        <v>0.24247511808</v>
      </c>
      <c r="S67" s="15" cm="1">
        <f t="array" ref="S67">MMS_Poultry_AtmosphericDeposition_Equations.VEERG_4_6_1_5__2_TotalNitrogenVolatilisedFromMMS(S32, _xlfn.XLOOKUP($O67, $D$45:$D$52, $E$45:$E$52))</f>
        <v>0.20656374336000002</v>
      </c>
      <c r="T67" s="16"/>
    </row>
    <row r="68" spans="1:21" ht="20.100000000000001" customHeight="1" x14ac:dyDescent="0.2">
      <c r="A68" s="79" t="str">
        <f>HYPERLINK("#A1", "▲ Back to top")</f>
        <v>▲ Back to top</v>
      </c>
      <c r="D68" s="15"/>
      <c r="E68" s="15" t="str">
        <f>INDEX(X_Table_Poultry_Stage2MMS_BeltManureRemoval,4,1)</f>
        <v>Digester / covered lagoons</v>
      </c>
      <c r="F68" s="15" cm="1">
        <f t="array" ref="F68">MMS_Poultry_AtmosphericDeposition_Equations.VEERG_4_6_1_5__2_TotalNitrogenVolatilisedFromMMS(F33, _xlfn.XLOOKUP($E68, $D$45:$D$52, $E$45:$E$52))</f>
        <v>0</v>
      </c>
      <c r="G68" s="15" cm="1">
        <f t="array" ref="G68">MMS_Poultry_AtmosphericDeposition_Equations.VEERG_4_6_1_5__2_TotalNitrogenVolatilisedFromMMS(G33, _xlfn.XLOOKUP($E68, $D$45:$D$52, $E$45:$E$52))</f>
        <v>0</v>
      </c>
      <c r="H68" s="15" cm="1">
        <f t="array" ref="H68">MMS_Poultry_AtmosphericDeposition_Equations.VEERG_4_6_1_5__2_TotalNitrogenVolatilisedFromMMS(H33, _xlfn.XLOOKUP($E68, $D$45:$D$52, $E$45:$E$52))</f>
        <v>0</v>
      </c>
      <c r="I68" s="15" cm="1">
        <f t="array" ref="I68">MMS_Poultry_AtmosphericDeposition_Equations.VEERG_4_6_1_5__2_TotalNitrogenVolatilisedFromMMS(I33, _xlfn.XLOOKUP($E68, $D$45:$D$52, $E$45:$E$52))</f>
        <v>0</v>
      </c>
      <c r="J68" s="16"/>
      <c r="N68" s="15"/>
      <c r="O68" s="15" t="str">
        <f>INDEX(X_Table_Poultry_Stage2MMS_BeltManureRemoval,4,1)</f>
        <v>Digester / covered lagoons</v>
      </c>
      <c r="P68" s="15" cm="1">
        <f t="array" ref="P68">MMS_Poultry_AtmosphericDeposition_Equations.VEERG_4_6_1_5__2_TotalNitrogenVolatilisedFromMMS(P33, _xlfn.XLOOKUP($O68, $D$45:$D$52, $E$45:$E$52))</f>
        <v>0</v>
      </c>
      <c r="Q68" s="15" cm="1">
        <f t="array" ref="Q68">MMS_Poultry_AtmosphericDeposition_Equations.VEERG_4_6_1_5__2_TotalNitrogenVolatilisedFromMMS(Q33, _xlfn.XLOOKUP($O68, $D$45:$D$52, $E$45:$E$52))</f>
        <v>0</v>
      </c>
      <c r="R68" s="15" cm="1">
        <f t="array" ref="R68">MMS_Poultry_AtmosphericDeposition_Equations.VEERG_4_6_1_5__2_TotalNitrogenVolatilisedFromMMS(R33, _xlfn.XLOOKUP($O68, $D$45:$D$52, $E$45:$E$52))</f>
        <v>0</v>
      </c>
      <c r="S68" s="15" cm="1">
        <f t="array" ref="S68">MMS_Poultry_AtmosphericDeposition_Equations.VEERG_4_6_1_5__2_TotalNitrogenVolatilisedFromMMS(S33, _xlfn.XLOOKUP($O68, $D$45:$D$52, $E$45:$E$52))</f>
        <v>0</v>
      </c>
      <c r="T68" s="16"/>
    </row>
    <row r="69" spans="1:21" ht="20.100000000000001" customHeight="1" x14ac:dyDescent="0.2">
      <c r="D69" s="15"/>
      <c r="E69" s="15" t="str">
        <f>INDEX(X_Table_Poultry_Stage2MMS_BeltManureRemoval,5,1)</f>
        <v>Direct processing</v>
      </c>
      <c r="F69" s="15" cm="1">
        <f t="array" ref="F69">MMS_Poultry_AtmosphericDeposition_Equations.VEERG_4_6_1_5__2_TotalNitrogenVolatilisedFromMMS(F34, _xlfn.XLOOKUP($E69, $D$45:$D$52, $E$45:$E$52))</f>
        <v>0</v>
      </c>
      <c r="G69" s="15" cm="1">
        <f t="array" ref="G69">MMS_Poultry_AtmosphericDeposition_Equations.VEERG_4_6_1_5__2_TotalNitrogenVolatilisedFromMMS(G34, _xlfn.XLOOKUP($E69, $D$45:$D$52, $E$45:$E$52))</f>
        <v>0</v>
      </c>
      <c r="H69" s="15" cm="1">
        <f t="array" ref="H69">MMS_Poultry_AtmosphericDeposition_Equations.VEERG_4_6_1_5__2_TotalNitrogenVolatilisedFromMMS(H34, _xlfn.XLOOKUP($E69, $D$45:$D$52, $E$45:$E$52))</f>
        <v>0</v>
      </c>
      <c r="I69" s="15" cm="1">
        <f t="array" ref="I69">MMS_Poultry_AtmosphericDeposition_Equations.VEERG_4_6_1_5__2_TotalNitrogenVolatilisedFromMMS(I34, _xlfn.XLOOKUP($E69, $D$45:$D$52, $E$45:$E$52))</f>
        <v>0</v>
      </c>
      <c r="J69" s="16"/>
      <c r="N69" s="15"/>
      <c r="O69" s="15" t="str">
        <f>INDEX(X_Table_Poultry_Stage2MMS_BeltManureRemoval,5,1)</f>
        <v>Direct processing</v>
      </c>
      <c r="P69" s="15" cm="1">
        <f t="array" ref="P69">MMS_Poultry_AtmosphericDeposition_Equations.VEERG_4_6_1_5__2_TotalNitrogenVolatilisedFromMMS(P34, _xlfn.XLOOKUP($O69, $D$45:$D$52, $E$45:$E$52))</f>
        <v>0</v>
      </c>
      <c r="Q69" s="15" cm="1">
        <f t="array" ref="Q69">MMS_Poultry_AtmosphericDeposition_Equations.VEERG_4_6_1_5__2_TotalNitrogenVolatilisedFromMMS(Q34, _xlfn.XLOOKUP($O69, $D$45:$D$52, $E$45:$E$52))</f>
        <v>0</v>
      </c>
      <c r="R69" s="15" cm="1">
        <f t="array" ref="R69">MMS_Poultry_AtmosphericDeposition_Equations.VEERG_4_6_1_5__2_TotalNitrogenVolatilisedFromMMS(R34, _xlfn.XLOOKUP($O69, $D$45:$D$52, $E$45:$E$52))</f>
        <v>0</v>
      </c>
      <c r="S69" s="15" cm="1">
        <f t="array" ref="S69">MMS_Poultry_AtmosphericDeposition_Equations.VEERG_4_6_1_5__2_TotalNitrogenVolatilisedFromMMS(S34, _xlfn.XLOOKUP($O69, $D$45:$D$52, $E$45:$E$52))</f>
        <v>0</v>
      </c>
      <c r="T69" s="16"/>
    </row>
    <row r="70" spans="1:21" ht="20.100000000000001" customHeight="1" x14ac:dyDescent="0.2">
      <c r="D70" s="15"/>
      <c r="E70" s="15" t="str">
        <f>INDEX(X_Table_Poultry_Stage2MMS_BeltManureRemoval,6,1)</f>
        <v>Direct application</v>
      </c>
      <c r="F70" s="15" t="s">
        <v>124</v>
      </c>
      <c r="G70" s="15" t="s">
        <v>124</v>
      </c>
      <c r="H70" s="15" t="s">
        <v>124</v>
      </c>
      <c r="I70" s="15" t="s">
        <v>124</v>
      </c>
      <c r="N70" s="15"/>
      <c r="O70" s="15" t="str">
        <f>INDEX(X_Table_Poultry_Stage2MMS_BeltManureRemoval,6,1)</f>
        <v>Direct application</v>
      </c>
      <c r="P70" s="15" t="s">
        <v>124</v>
      </c>
      <c r="Q70" s="15" t="s">
        <v>124</v>
      </c>
      <c r="R70" s="15" t="s">
        <v>124</v>
      </c>
      <c r="S70" s="15" t="s">
        <v>124</v>
      </c>
    </row>
    <row r="71" spans="1:21" ht="20.100000000000001" customHeight="1" x14ac:dyDescent="0.2">
      <c r="D71" s="15" t="str">
        <f>INDEX(X_Table_Poultry_Stage1MMS,4,1)</f>
        <v>Manure stored in house</v>
      </c>
      <c r="E71" s="15" t="str">
        <f>INDEX(X_Table_Poultry_Stage2MMS_ManureStoredInHouse,2,1)</f>
        <v>Solid storage</v>
      </c>
      <c r="F71" s="15" cm="1">
        <f t="array" ref="F71">MMS_Poultry_AtmosphericDeposition_Equations.VEERG_4_6_1_5__2_TotalNitrogenVolatilisedFromMMS(F36, _xlfn.XLOOKUP($E71, $D$45:$D$52, $E$45:$E$52))</f>
        <v>0.12214999680000004</v>
      </c>
      <c r="G71" s="15" cm="1">
        <f t="array" ref="G71">MMS_Poultry_AtmosphericDeposition_Equations.VEERG_4_6_1_5__2_TotalNitrogenVolatilisedFromMMS(G36, _xlfn.XLOOKUP($E71, $D$45:$D$52, $E$45:$E$52))</f>
        <v>0.13038111935999999</v>
      </c>
      <c r="H71" s="15" cm="1">
        <f t="array" ref="H71">MMS_Poultry_AtmosphericDeposition_Equations.VEERG_4_6_1_5__2_TotalNitrogenVolatilisedFromMMS(H36, _xlfn.XLOOKUP($E71, $D$45:$D$52, $E$45:$E$52))</f>
        <v>0.15304804608</v>
      </c>
      <c r="I71" s="15" cm="1">
        <f t="array" ref="I71">MMS_Poultry_AtmosphericDeposition_Equations.VEERG_4_6_1_5__2_TotalNitrogenVolatilisedFromMMS(I36, _xlfn.XLOOKUP($E71, $D$45:$D$52, $E$45:$E$52))</f>
        <v>0.13038111935999999</v>
      </c>
      <c r="J71" s="16"/>
      <c r="N71" s="15" t="str">
        <f>INDEX(X_Table_Poultry_Stage1MMS,4,1)</f>
        <v>Manure stored in house</v>
      </c>
      <c r="O71" s="15" t="str">
        <f>INDEX(X_Table_Poultry_Stage2MMS_ManureStoredInHouse,2,1)</f>
        <v>Solid storage</v>
      </c>
      <c r="P71" s="15" cm="1">
        <f t="array" ref="P71">MMS_Poultry_AtmosphericDeposition_Equations.VEERG_4_6_1_5__2_TotalNitrogenVolatilisedFromMMS(P36, _xlfn.XLOOKUP($O71, $D$45:$D$52, $E$45:$E$52))</f>
        <v>0.12214999680000004</v>
      </c>
      <c r="Q71" s="15" cm="1">
        <f t="array" ref="Q71">MMS_Poultry_AtmosphericDeposition_Equations.VEERG_4_6_1_5__2_TotalNitrogenVolatilisedFromMMS(Q36, _xlfn.XLOOKUP($O71, $D$45:$D$52, $E$45:$E$52))</f>
        <v>0.13038111935999999</v>
      </c>
      <c r="R71" s="15" cm="1">
        <f t="array" ref="R71">MMS_Poultry_AtmosphericDeposition_Equations.VEERG_4_6_1_5__2_TotalNitrogenVolatilisedFromMMS(R36, _xlfn.XLOOKUP($O71, $D$45:$D$52, $E$45:$E$52))</f>
        <v>0.15304804608</v>
      </c>
      <c r="S71" s="15" cm="1">
        <f t="array" ref="S71">MMS_Poultry_AtmosphericDeposition_Equations.VEERG_4_6_1_5__2_TotalNitrogenVolatilisedFromMMS(S36, _xlfn.XLOOKUP($O71, $D$45:$D$52, $E$45:$E$52))</f>
        <v>0.13038111935999999</v>
      </c>
      <c r="T71" s="16"/>
    </row>
    <row r="72" spans="1:21" ht="20.100000000000001" customHeight="1" x14ac:dyDescent="0.2">
      <c r="D72" s="15"/>
      <c r="E72" s="15" t="str">
        <f>INDEX(X_Table_Poultry_Stage2MMS_ManureStoredInHouse,3,1)</f>
        <v>Composting (passive windrow)</v>
      </c>
      <c r="F72" s="15" cm="1">
        <f t="array" ref="F72">MMS_Poultry_AtmosphericDeposition_Equations.VEERG_4_6_1_5__2_TotalNitrogenVolatilisedFromMMS(F37, _xlfn.XLOOKUP($E72, $D$45:$D$52, $E$45:$E$52))</f>
        <v>0.12214999680000004</v>
      </c>
      <c r="G72" s="15" cm="1">
        <f t="array" ref="G72">MMS_Poultry_AtmosphericDeposition_Equations.VEERG_4_6_1_5__2_TotalNitrogenVolatilisedFromMMS(G37, _xlfn.XLOOKUP($E72, $D$45:$D$52, $E$45:$E$52))</f>
        <v>0.13038111935999999</v>
      </c>
      <c r="H72" s="15" cm="1">
        <f t="array" ref="H72">MMS_Poultry_AtmosphericDeposition_Equations.VEERG_4_6_1_5__2_TotalNitrogenVolatilisedFromMMS(H37, _xlfn.XLOOKUP($E72, $D$45:$D$52, $E$45:$E$52))</f>
        <v>0.15304804608</v>
      </c>
      <c r="I72" s="15" cm="1">
        <f t="array" ref="I72">MMS_Poultry_AtmosphericDeposition_Equations.VEERG_4_6_1_5__2_TotalNitrogenVolatilisedFromMMS(I37, _xlfn.XLOOKUP($E72, $D$45:$D$52, $E$45:$E$52))</f>
        <v>0.13038111935999999</v>
      </c>
      <c r="J72" s="16"/>
      <c r="N72" s="15"/>
      <c r="O72" s="15" t="str">
        <f>INDEX(X_Table_Poultry_Stage2MMS_ManureStoredInHouse,3,1)</f>
        <v>Composting (passive windrow)</v>
      </c>
      <c r="P72" s="15" cm="1">
        <f t="array" ref="P72">MMS_Poultry_AtmosphericDeposition_Equations.VEERG_4_6_1_5__2_TotalNitrogenVolatilisedFromMMS(P37, _xlfn.XLOOKUP($O72, $D$45:$D$52, $E$45:$E$52))</f>
        <v>0.12214999680000004</v>
      </c>
      <c r="Q72" s="15" cm="1">
        <f t="array" ref="Q72">MMS_Poultry_AtmosphericDeposition_Equations.VEERG_4_6_1_5__2_TotalNitrogenVolatilisedFromMMS(Q37, _xlfn.XLOOKUP($O72, $D$45:$D$52, $E$45:$E$52))</f>
        <v>0.13038111935999999</v>
      </c>
      <c r="R72" s="15" cm="1">
        <f t="array" ref="R72">MMS_Poultry_AtmosphericDeposition_Equations.VEERG_4_6_1_5__2_TotalNitrogenVolatilisedFromMMS(R37, _xlfn.XLOOKUP($O72, $D$45:$D$52, $E$45:$E$52))</f>
        <v>0.15304804608</v>
      </c>
      <c r="S72" s="15" cm="1">
        <f t="array" ref="S72">MMS_Poultry_AtmosphericDeposition_Equations.VEERG_4_6_1_5__2_TotalNitrogenVolatilisedFromMMS(S37, _xlfn.XLOOKUP($O72, $D$45:$D$52, $E$45:$E$52))</f>
        <v>0.13038111935999999</v>
      </c>
      <c r="T72" s="16"/>
    </row>
    <row r="73" spans="1:21" ht="20.100000000000001" customHeight="1" x14ac:dyDescent="0.2">
      <c r="D73" s="15"/>
      <c r="E73" s="15" t="str">
        <f>INDEX(X_Table_Poultry_Stage2MMS_ManureStoredInHouse,4,1)</f>
        <v>Digester / covered lagoons</v>
      </c>
      <c r="F73" s="15" cm="1">
        <f t="array" ref="F73">MMS_Poultry_AtmosphericDeposition_Equations.VEERG_4_6_1_5__2_TotalNitrogenVolatilisedFromMMS(F38, _xlfn.XLOOKUP($E73, $D$45:$D$52, $E$45:$E$52))</f>
        <v>0</v>
      </c>
      <c r="G73" s="15" cm="1">
        <f t="array" ref="G73">MMS_Poultry_AtmosphericDeposition_Equations.VEERG_4_6_1_5__2_TotalNitrogenVolatilisedFromMMS(G38, _xlfn.XLOOKUP($E73, $D$45:$D$52, $E$45:$E$52))</f>
        <v>0</v>
      </c>
      <c r="H73" s="15" cm="1">
        <f t="array" ref="H73">MMS_Poultry_AtmosphericDeposition_Equations.VEERG_4_6_1_5__2_TotalNitrogenVolatilisedFromMMS(H38, _xlfn.XLOOKUP($E73, $D$45:$D$52, $E$45:$E$52))</f>
        <v>0</v>
      </c>
      <c r="I73" s="15" cm="1">
        <f t="array" ref="I73">MMS_Poultry_AtmosphericDeposition_Equations.VEERG_4_6_1_5__2_TotalNitrogenVolatilisedFromMMS(I38, _xlfn.XLOOKUP($E73, $D$45:$D$52, $E$45:$E$52))</f>
        <v>0</v>
      </c>
      <c r="J73" s="16"/>
      <c r="N73" s="15"/>
      <c r="O73" s="15" t="str">
        <f>INDEX(X_Table_Poultry_Stage2MMS_ManureStoredInHouse,4,1)</f>
        <v>Digester / covered lagoons</v>
      </c>
      <c r="P73" s="15" cm="1">
        <f t="array" ref="P73">MMS_Poultry_AtmosphericDeposition_Equations.VEERG_4_6_1_5__2_TotalNitrogenVolatilisedFromMMS(P38, _xlfn.XLOOKUP($O73, $D$45:$D$52, $E$45:$E$52))</f>
        <v>0</v>
      </c>
      <c r="Q73" s="15" cm="1">
        <f t="array" ref="Q73">MMS_Poultry_AtmosphericDeposition_Equations.VEERG_4_6_1_5__2_TotalNitrogenVolatilisedFromMMS(Q38, _xlfn.XLOOKUP($O73, $D$45:$D$52, $E$45:$E$52))</f>
        <v>0</v>
      </c>
      <c r="R73" s="15" cm="1">
        <f t="array" ref="R73">MMS_Poultry_AtmosphericDeposition_Equations.VEERG_4_6_1_5__2_TotalNitrogenVolatilisedFromMMS(R38, _xlfn.XLOOKUP($O73, $D$45:$D$52, $E$45:$E$52))</f>
        <v>0</v>
      </c>
      <c r="S73" s="15" cm="1">
        <f t="array" ref="S73">MMS_Poultry_AtmosphericDeposition_Equations.VEERG_4_6_1_5__2_TotalNitrogenVolatilisedFromMMS(S38, _xlfn.XLOOKUP($O73, $D$45:$D$52, $E$45:$E$52))</f>
        <v>0</v>
      </c>
      <c r="T73" s="16"/>
    </row>
    <row r="74" spans="1:21" ht="20.100000000000001" customHeight="1" x14ac:dyDescent="0.2">
      <c r="D74" s="15"/>
      <c r="E74" s="15" t="str">
        <f>INDEX(X_Table_Poultry_Stage2MMS_ManureStoredInHouse,5,1)</f>
        <v>Direct processing</v>
      </c>
      <c r="F74" s="15" cm="1">
        <f t="array" ref="F74">MMS_Poultry_AtmosphericDeposition_Equations.VEERG_4_6_1_5__2_TotalNitrogenVolatilisedFromMMS(F39, _xlfn.XLOOKUP($E74, $D$45:$D$52, $E$45:$E$52))</f>
        <v>0</v>
      </c>
      <c r="G74" s="15" cm="1">
        <f t="array" ref="G74">MMS_Poultry_AtmosphericDeposition_Equations.VEERG_4_6_1_5__2_TotalNitrogenVolatilisedFromMMS(G39, _xlfn.XLOOKUP($E74, $D$45:$D$52, $E$45:$E$52))</f>
        <v>0</v>
      </c>
      <c r="H74" s="15" cm="1">
        <f t="array" ref="H74">MMS_Poultry_AtmosphericDeposition_Equations.VEERG_4_6_1_5__2_TotalNitrogenVolatilisedFromMMS(H39, _xlfn.XLOOKUP($E74, $D$45:$D$52, $E$45:$E$52))</f>
        <v>0</v>
      </c>
      <c r="I74" s="15" cm="1">
        <f t="array" ref="I74">MMS_Poultry_AtmosphericDeposition_Equations.VEERG_4_6_1_5__2_TotalNitrogenVolatilisedFromMMS(I39, _xlfn.XLOOKUP($E74, $D$45:$D$52, $E$45:$E$52))</f>
        <v>0</v>
      </c>
      <c r="J74" s="16"/>
      <c r="N74" s="15"/>
      <c r="O74" s="15" t="str">
        <f>INDEX(X_Table_Poultry_Stage2MMS_ManureStoredInHouse,5,1)</f>
        <v>Direct processing</v>
      </c>
      <c r="P74" s="15" cm="1">
        <f t="array" ref="P74">MMS_Poultry_AtmosphericDeposition_Equations.VEERG_4_6_1_5__2_TotalNitrogenVolatilisedFromMMS(P39, _xlfn.XLOOKUP($O74, $D$45:$D$52, $E$45:$E$52))</f>
        <v>0</v>
      </c>
      <c r="Q74" s="15" cm="1">
        <f t="array" ref="Q74">MMS_Poultry_AtmosphericDeposition_Equations.VEERG_4_6_1_5__2_TotalNitrogenVolatilisedFromMMS(Q39, _xlfn.XLOOKUP($O74, $D$45:$D$52, $E$45:$E$52))</f>
        <v>0</v>
      </c>
      <c r="R74" s="15" cm="1">
        <f t="array" ref="R74">MMS_Poultry_AtmosphericDeposition_Equations.VEERG_4_6_1_5__2_TotalNitrogenVolatilisedFromMMS(R39, _xlfn.XLOOKUP($O74, $D$45:$D$52, $E$45:$E$52))</f>
        <v>0</v>
      </c>
      <c r="S74" s="15" cm="1">
        <f t="array" ref="S74">MMS_Poultry_AtmosphericDeposition_Equations.VEERG_4_6_1_5__2_TotalNitrogenVolatilisedFromMMS(S39, _xlfn.XLOOKUP($O74, $D$45:$D$52, $E$45:$E$52))</f>
        <v>0</v>
      </c>
      <c r="T74" s="16"/>
    </row>
    <row r="75" spans="1:21" ht="20.100000000000001" customHeight="1" x14ac:dyDescent="0.2">
      <c r="D75" s="15"/>
      <c r="E75" s="15" t="str">
        <f>INDEX(X_Table_Poultry_Stage2MMS_ManureStoredInHouse,6,1)</f>
        <v>Direct application</v>
      </c>
      <c r="F75" s="15" t="s">
        <v>124</v>
      </c>
      <c r="G75" s="15" t="s">
        <v>124</v>
      </c>
      <c r="H75" s="15" t="s">
        <v>124</v>
      </c>
      <c r="I75" s="15" t="s">
        <v>124</v>
      </c>
      <c r="N75" s="15"/>
      <c r="O75" s="15" t="str">
        <f>INDEX(X_Table_Poultry_Stage2MMS_ManureStoredInHouse,6,1)</f>
        <v>Direct application</v>
      </c>
      <c r="P75" s="15" t="s">
        <v>124</v>
      </c>
      <c r="Q75" s="15" t="s">
        <v>124</v>
      </c>
      <c r="R75" s="15" t="s">
        <v>124</v>
      </c>
      <c r="S75" s="15" t="s">
        <v>124</v>
      </c>
    </row>
    <row r="77" spans="1:21" ht="20.100000000000001" customHeight="1" x14ac:dyDescent="0.2">
      <c r="D77" s="88" t="s">
        <v>434</v>
      </c>
      <c r="E77" s="83">
        <f>SUM(F57:I75)</f>
        <v>20.797764249600011</v>
      </c>
      <c r="F77" s="89" t="str">
        <f>$E$11</f>
        <v>kg N</v>
      </c>
      <c r="N77" s="88" t="s">
        <v>434</v>
      </c>
      <c r="O77" s="83">
        <f>SUM(P57:S75)</f>
        <v>20.797764249600011</v>
      </c>
      <c r="P77" s="89" t="str">
        <f>$E$11</f>
        <v>kg N</v>
      </c>
    </row>
    <row r="80" spans="1:21" ht="20.100000000000001" customHeight="1" x14ac:dyDescent="0.2">
      <c r="C80" s="83"/>
      <c r="D80" s="83"/>
      <c r="E80" s="83"/>
      <c r="F80" s="83"/>
      <c r="G80" s="83"/>
      <c r="H80" s="83"/>
      <c r="I80" s="83"/>
      <c r="J80" s="83"/>
      <c r="K80" s="83"/>
      <c r="M80" s="83"/>
      <c r="N80" s="83"/>
      <c r="O80" s="83"/>
      <c r="P80" s="83"/>
      <c r="Q80" s="83"/>
      <c r="R80" s="83"/>
      <c r="S80" s="83"/>
      <c r="T80" s="83"/>
      <c r="U80" s="83"/>
    </row>
    <row r="81" spans="4:19" ht="20.100000000000001" customHeight="1" x14ac:dyDescent="0.2">
      <c r="D81" s="2" t="str" cm="1">
        <f t="array" ref="D81">MMS_Poultry_AtmosphericDeposition_Equations.VEERG_4_6_1_5__1_TotalAnnualAtmosphericDepositionEmissionsFromMMS_Title()</f>
        <v>Total annual atmospheric deposition emissions from manure management</v>
      </c>
    </row>
    <row r="82" spans="4:19" ht="20.100000000000001" customHeight="1" x14ac:dyDescent="0.2">
      <c r="D82" s="17" t="str" cm="1">
        <f t="array" ref="D82">MMS_Poultry_AtmosphericDeposition_Equations.VEERG_4_6_1_5__1_TotalAnnualAtmosphericDepositionEmissionsFromMMS_Source()</f>
        <v>VEERG 2026: 4.6.1.5, Equation (1)</v>
      </c>
    </row>
    <row r="83" spans="4:19" ht="20.100000000000001" customHeight="1" x14ac:dyDescent="0.2">
      <c r="D83" s="112" t="s">
        <v>328</v>
      </c>
      <c r="E83" s="112" t="str">
        <f ca="1">Common_InputFunctions.Utility_DisplayFunctionName(VEERG_4_6_1_5__1_TotalAnnualAtmosphericDepositionEmissionsFromMMS_Result_Method1)</f>
        <v>=MMS_Poultry_AtmosphericDeposition_Equations.VEERG_4_6_1_5__1_TotalAnnualAtmosphericDepositionEmissionsFromMMS</v>
      </c>
    </row>
    <row r="86" spans="4:19" ht="20.100000000000001" customHeight="1" x14ac:dyDescent="0.2">
      <c r="D86" s="75" t="s">
        <v>329</v>
      </c>
      <c r="E86" s="1" t="str" cm="1">
        <f t="array" ref="E86">MMS_Poultry_AtmosphericDeposition_Equations.VEERG_4_6_1_5__1_TotalAnnualAtmosphericDepositionEmissionsFromMMS_Variable()</f>
        <v>E_N2Oad</v>
      </c>
    </row>
    <row r="87" spans="4:19" ht="20.100000000000001" customHeight="1" x14ac:dyDescent="0.2">
      <c r="D87" s="75" t="s">
        <v>118</v>
      </c>
      <c r="E87" s="9" t="str" cm="1">
        <f t="array" ref="E87">MMS_Poultry_AtmosphericDeposition_Equations.VEERG_4_6_1_5__1_TotalAnnualAtmosphericDepositionEmissionsFromMMS_Unit()</f>
        <v>t N2O</v>
      </c>
    </row>
    <row r="89" spans="4:19" ht="20.100000000000001" customHeight="1" x14ac:dyDescent="0.2">
      <c r="D89" s="113" t="str" cm="1">
        <f t="array" ref="D89:E94">_xlfn.CHOOSECOLS(MMS_Poultry_AtmosphericDeposition_Equations.VEERG_4_6_1_5__1_TotalAnnualAtmosphericDepositionEmissionsFromMMS_Arguments(),1,2)</f>
        <v>MMS_ATMOS</v>
      </c>
      <c r="E89" s="122" t="str">
        <v>mass of N volatilised from MMS</v>
      </c>
      <c r="F89" s="123"/>
      <c r="G89" s="113" t="str" cm="1">
        <f t="array" ref="G89:H94">_xlfn.CHOOSECOLS(MMS_Poultry_AtmosphericDeposition_Equations.VEERG_4_6_1_5__1_TotalAnnualAtmosphericDepositionEmissionsFromMMS_Arguments(),3,4)</f>
        <v>kg N</v>
      </c>
      <c r="H89" s="115" t="str">
        <v>Calculated from 4.6.1.5 (2)</v>
      </c>
      <c r="I89" s="113">
        <f>$E$77</f>
        <v>20.797764249600011</v>
      </c>
      <c r="N89" s="113" t="str" cm="1">
        <f t="array" ref="N89:O94">_xlfn.CHOOSECOLS(MMS_Poultry_AtmosphericDeposition_Equations.VEERG_4_6_1_5__1_TotalAnnualAtmosphericDepositionEmissionsFromMMS_Arguments(),1,2)</f>
        <v>MMS_ATMOS</v>
      </c>
      <c r="O89" s="122" t="str">
        <v>mass of N volatilised from MMS</v>
      </c>
      <c r="P89" s="123"/>
      <c r="Q89" s="113" t="str" cm="1">
        <f t="array" ref="Q89:R94">_xlfn.CHOOSECOLS(MMS_Poultry_AtmosphericDeposition_Equations.VEERG_4_6_1_5__1_TotalAnnualAtmosphericDepositionEmissionsFromMMS_Arguments(),3,4)</f>
        <v>kg N</v>
      </c>
      <c r="R89" s="115" t="str">
        <v>Calculated from 4.6.1.5 (2)</v>
      </c>
      <c r="S89" s="113">
        <f>O77</f>
        <v>20.797764249600011</v>
      </c>
    </row>
    <row r="90" spans="4:19" ht="20.100000000000001" customHeight="1" x14ac:dyDescent="0.2">
      <c r="D90" s="113" t="str">
        <v>EF_N2O</v>
      </c>
      <c r="E90" s="122" t="str">
        <v>nitrous oxide emission factor for atmospheric deposition</v>
      </c>
      <c r="F90" s="123"/>
      <c r="G90" s="113" t="str">
        <v>kg N2O-N/kg N</v>
      </c>
      <c r="H90" s="115" t="str">
        <v>Constant</v>
      </c>
      <c r="I90" s="113">
        <f>Common_InputFunctions.Utility_LookupN2OEFFromProdIrrigationRainfall(I92,I93,I94,Table_SourceData_Common_EFN2O[Production system only],Table_SourceData_Common_EFN2O[Irrigation method],Table_SourceData_Common_EFN2O[Rainfall zone],Table_SourceData_Common_EFN2O[EFN2O])</f>
        <v>7.0000000000000001E-3</v>
      </c>
      <c r="N90" s="113" t="str">
        <v>EF_N2O</v>
      </c>
      <c r="O90" s="122" t="str">
        <v>nitrous oxide emission factor for atmospheric deposition</v>
      </c>
      <c r="P90" s="123"/>
      <c r="Q90" s="113" t="str">
        <v>kg N2O-N/kg N</v>
      </c>
      <c r="R90" s="115" t="str">
        <v>Constant</v>
      </c>
      <c r="S90" s="113"/>
    </row>
    <row r="91" spans="4:19" ht="20.100000000000001" customHeight="1" x14ac:dyDescent="0.2">
      <c r="D91" s="113" t="str">
        <v>C_N2O</v>
      </c>
      <c r="E91" s="122" t="str">
        <v>factor to convert elemental mass of nitrous oxide to molecular mass</v>
      </c>
      <c r="F91" s="123"/>
      <c r="G91" s="113" t="str">
        <v>ratio</v>
      </c>
      <c r="H91" s="115" t="str">
        <v>Constant</v>
      </c>
      <c r="I91" s="113">
        <f>Common_InputFunctions.Utility_LookupValueInTableNumber("N2O",Table_GasToMolecularConversionFactor[Gas],Table_GasToMolecularConversionFactor[Conversion factor combined])</f>
        <v>1.5714285714285714</v>
      </c>
      <c r="N91" s="113" t="str">
        <v>C_N2O</v>
      </c>
      <c r="O91" s="122" t="str">
        <v>factor to convert elemental mass of nitrous oxide to molecular mass</v>
      </c>
      <c r="P91" s="123"/>
      <c r="Q91" s="113" t="str">
        <v>ratio</v>
      </c>
      <c r="R91" s="115" t="str">
        <v>Constant</v>
      </c>
      <c r="S91" s="113"/>
    </row>
    <row r="92" spans="4:19" ht="20.100000000000001" customHeight="1" x14ac:dyDescent="0.2">
      <c r="D92" s="113" t="str">
        <v>j</v>
      </c>
      <c r="E92" s="122" t="str">
        <v>production system</v>
      </c>
      <c r="F92" s="123"/>
      <c r="G92" s="113" t="str">
        <v/>
      </c>
      <c r="H92" s="114" t="str">
        <v>Input</v>
      </c>
      <c r="I92" s="113" t="str">
        <f>X_Cell_Poultry_ManureAppliedProductionSystem</f>
        <v>Crop</v>
      </c>
      <c r="N92" s="113" t="str">
        <v>j</v>
      </c>
      <c r="O92" s="122" t="str">
        <v>production system</v>
      </c>
      <c r="P92" s="123"/>
      <c r="Q92" s="113" t="str">
        <v/>
      </c>
      <c r="R92" s="114" t="str">
        <v>Input</v>
      </c>
      <c r="S92" s="113"/>
    </row>
    <row r="93" spans="4:19" ht="20.100000000000001" customHeight="1" x14ac:dyDescent="0.2">
      <c r="D93" s="113" t="str">
        <v>ir</v>
      </c>
      <c r="E93" s="122" t="str">
        <v>irrigation method</v>
      </c>
      <c r="F93" s="123"/>
      <c r="G93" s="113" t="str">
        <v/>
      </c>
      <c r="H93" s="114" t="str">
        <v>Input</v>
      </c>
      <c r="I93" s="113" t="str">
        <f>X_Cell_Poultry_ManureAppliedIrrigationMethod</f>
        <v>Sprinkler irrigation</v>
      </c>
      <c r="N93" s="113" t="str">
        <v>ir</v>
      </c>
      <c r="O93" s="122" t="str">
        <v>irrigation method</v>
      </c>
      <c r="P93" s="123"/>
      <c r="Q93" s="113" t="str">
        <v/>
      </c>
      <c r="R93" s="114" t="str">
        <v>Input</v>
      </c>
      <c r="S93" s="113"/>
    </row>
    <row r="94" spans="4:19" ht="20.100000000000001" customHeight="1" x14ac:dyDescent="0.2">
      <c r="D94" s="113" t="str">
        <v>r</v>
      </c>
      <c r="E94" s="122" t="str">
        <v>rainfall region</v>
      </c>
      <c r="F94" s="123"/>
      <c r="G94" s="113" t="str">
        <v/>
      </c>
      <c r="H94" s="114" t="str">
        <v>Input</v>
      </c>
      <c r="I94" s="113">
        <f>X_Cell_Site_RainfallZone</f>
        <v>0</v>
      </c>
      <c r="N94" s="113" t="str">
        <v>r</v>
      </c>
      <c r="O94" s="122" t="str">
        <v>rainfall region</v>
      </c>
      <c r="P94" s="123"/>
      <c r="Q94" s="113" t="str">
        <v/>
      </c>
      <c r="R94" s="114" t="str">
        <v>Input</v>
      </c>
      <c r="S94" s="113"/>
    </row>
    <row r="96" spans="4:19" ht="20.100000000000001" customHeight="1" x14ac:dyDescent="0.2">
      <c r="D96" s="85" t="s">
        <v>435</v>
      </c>
      <c r="E96" s="86" cm="1">
        <f t="array" ref="E96">MMS_Poultry_AtmosphericDeposition_Equations.VEERG_4_6_1_5__1_TotalAnnualAtmosphericDepositionEmissionsFromMMS(I89,$I$90,$I$91)</f>
        <v>2.2877540674560014E-4</v>
      </c>
      <c r="F96" s="95" t="str">
        <f>$E$87</f>
        <v>t N2O</v>
      </c>
      <c r="N96" s="85" t="s">
        <v>435</v>
      </c>
      <c r="O96" s="86" cm="1">
        <f t="array" ref="O96">MMS_Poultry_AtmosphericDeposition_Equations.VEERG_4_6_1_5__1_TotalAnnualAtmosphericDepositionEmissionsFromMMS(S89,$I$90,$I$91)</f>
        <v>2.2877540674560014E-4</v>
      </c>
      <c r="P96" s="95" t="str">
        <f>$E$87</f>
        <v>t N2O</v>
      </c>
    </row>
    <row r="98" spans="1:17" ht="20.100000000000001" customHeight="1" x14ac:dyDescent="0.2">
      <c r="A98" s="79" t="str">
        <f>HYPERLINK("#A1", "▲ Back to top")</f>
        <v>▲ Back to top</v>
      </c>
      <c r="D98" s="126" t="str" cm="1">
        <f t="array" ref="D98:E99">Common_Equations.Common_ConvertN2OToCO2e_Arguments()</f>
        <v>EN2O</v>
      </c>
      <c r="E98" s="129" t="str">
        <v>Nitrous oxide emissions (t N2O)</v>
      </c>
      <c r="F98" s="130"/>
      <c r="G98" s="15">
        <f>VEERG_4_6_1_5__1_TotalAnnualAtmosphericDepositionEmissionsFromMMS_Result_Method1</f>
        <v>2.2877540674560014E-4</v>
      </c>
      <c r="N98" s="126" t="str" cm="1">
        <f t="array" ref="N98:O99">Common_Equations.Common_ConvertN2OToCO2e_Arguments()</f>
        <v>EN2O</v>
      </c>
      <c r="O98" s="129" t="str">
        <v>Nitrous oxide emissions (t N2O)</v>
      </c>
      <c r="P98" s="130"/>
      <c r="Q98" s="15">
        <f>VEERG_4_6_1_5__1_TotalAnnualAtmosphericDepositionEmissionsFromMMS_Result_Method2</f>
        <v>2.2877540674560014E-4</v>
      </c>
    </row>
    <row r="99" spans="1:17" ht="20.100000000000001" customHeight="1" x14ac:dyDescent="0.2">
      <c r="D99" s="126" t="str">
        <v>GWPN2O</v>
      </c>
      <c r="E99" s="129" t="str">
        <v>Global warming potential for nitrous oxide (t CO2-e / t N2O)</v>
      </c>
      <c r="F99" s="130"/>
      <c r="G99" s="15">
        <f>Common_InputFunctions.Utility_LookupValueInTableNumber("N2O", Table_GWPData[Gas],Table_GWPData[CO2-e factor])</f>
        <v>265</v>
      </c>
      <c r="N99" s="126" t="str">
        <v>GWPN2O</v>
      </c>
      <c r="O99" s="129" t="str">
        <v>Global warming potential for nitrous oxide (t CO2-e / t N2O)</v>
      </c>
      <c r="P99" s="130"/>
      <c r="Q99" s="15">
        <f>Common_InputFunctions.Utility_LookupValueInTableNumber("N2O", Table_GWPData[Gas],Table_GWPData[CO2-e factor])</f>
        <v>265</v>
      </c>
    </row>
    <row r="101" spans="1:17" ht="20.100000000000001" customHeight="1" x14ac:dyDescent="0.2">
      <c r="D101" s="83" t="s">
        <v>377</v>
      </c>
      <c r="E101" s="83" cm="1">
        <f t="array" ref="E101">Common_Equations.Common_ConvertN2OToCO2e(G98,G99)</f>
        <v>6.0625482787584034E-2</v>
      </c>
      <c r="F101" s="89" t="str" cm="1">
        <f t="array" ref="F101">Common_Equations.Common_ConvertN2OToCO2e_Unit()</f>
        <v>t CO2e</v>
      </c>
      <c r="N101" s="83" t="s">
        <v>377</v>
      </c>
      <c r="O101" s="83" cm="1">
        <f t="array" ref="O101">Common_Equations.Common_ConvertN2OToCO2e(Q98,Q99)</f>
        <v>6.0625482787584034E-2</v>
      </c>
      <c r="P101" s="89" t="str" cm="1">
        <f t="array" ref="P101">Common_Equations.Common_ConvertN2OToCO2e_Unit()</f>
        <v>t CO2e</v>
      </c>
    </row>
  </sheetData>
  <pageMargins left="0.7" right="0.7" top="0.75" bottom="0.75" header="0.3" footer="0.3"/>
  <pageSetup paperSize="9"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90B10C-29BB-4038-8324-4EF43A142B9C}">
  <sheetPr>
    <tabColor rgb="FF008000"/>
  </sheetPr>
  <dimension ref="A1:U64"/>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436</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MMS_Poultry_LeachingAndRunoff_Equations.VEERG_4_6_1_7__2_MassOfNitrogenLostToLeachingAndRunoffFromSolidStorage_Title()</f>
        <v>Mass of nitrogen lost to leaching and runoff from solid storage systems</v>
      </c>
    </row>
    <row r="6" spans="1:21" ht="20.100000000000001" customHeight="1" x14ac:dyDescent="0.2">
      <c r="D6" s="17" t="str" cm="1">
        <f t="array" ref="D6">MMS_Poultry_LeachingAndRunoff_Equations.VEERG_4_6_1_7__2_MassOfNitrogenLostToLeachingAndRunoffFromSolidStorage_Source()</f>
        <v>VEERG 2026: 4.6.1.7, Equation (2)</v>
      </c>
    </row>
    <row r="7" spans="1:21" ht="20.100000000000001" customHeight="1" x14ac:dyDescent="0.2">
      <c r="D7" s="112" t="s">
        <v>328</v>
      </c>
      <c r="E7" s="112" t="str" cm="1">
        <f t="array" aca="1" ref="E7" ca="1">Common_InputFunctions.Utility_DisplayFunctionName(F34)</f>
        <v>=MMS_Poultry_LeachingAndRunoff_Equations.VEERG_4_6_1_7__2_MassOfNitrogenLostToLeachingAndRunoffFromSolidStorage</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MMS_Poultry_LeachingAndRunoff_Equations.VEERG_4_6_1_7__2_MassOfNitrogenLostToLeachingAndRunoffFromSolidStorage_Variable()</f>
        <v>MNLeach_jkm4</v>
      </c>
    </row>
    <row r="11" spans="1:21" ht="20.100000000000001" customHeight="1" x14ac:dyDescent="0.2">
      <c r="A11" s="5" t="str">
        <f>HYPERLINK("#'Input - Poultry'!A1", "Poultry")</f>
        <v>Poultry</v>
      </c>
      <c r="D11" s="75" t="s">
        <v>118</v>
      </c>
      <c r="E11" s="9" t="str" cm="1">
        <f t="array" ref="E11">MMS_Poultry_LeachingAndRunoff_Equations.VEERG_4_6_1_7__2_MassOfNitrogenLostToLeachingAndRunoffFromSolidStorage_Unit()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8">_xlfn.CHOOSECOLS(MMS_Poultry_LeachingAndRunoff_Equations.VEERG_4_6_1_7__2_MassOfNitrogenLostToLeachingAndRunoffFromSolidStorage_Arguments(),1,2)</f>
        <v>MN_jkm4T2</v>
      </c>
      <c r="E13" s="122" t="str">
        <v>nitrogen in solid storage MMS treatment stage 2</v>
      </c>
      <c r="F13" s="123"/>
      <c r="G13" s="113" t="str" cm="1">
        <f t="array" ref="G13:H18">_xlfn.CHOOSECOLS(MMS_Poultry_LeachingAndRunoff_Equations.VEERG_4_6_1_7__2_MassOfNitrogenLostToLeachingAndRunoffFromSolidStorage_Arguments(),3,4)</f>
        <v>kg N</v>
      </c>
      <c r="H13" s="115" t="str">
        <v>Calculated from 4.6.1.3 (6)</v>
      </c>
      <c r="I13" s="116" t="str" cm="1">
        <f t="array" aca="1" ref="I13" ca="1">HYPERLINK(Common_InputFunctions.Utility_SourceHyperlink($D$24),$D$24)</f>
        <v>M1_Table_MN_j_k_m-4</v>
      </c>
    </row>
    <row r="14" spans="1:21" ht="20.100000000000001" customHeight="1" x14ac:dyDescent="0.2">
      <c r="A14" s="5" t="str">
        <f>HYPERLINK("#'Input - Fuel'!A1", "Fuel")</f>
        <v>Fuel</v>
      </c>
      <c r="D14" s="113" t="str">
        <v>FracWET</v>
      </c>
      <c r="E14" s="122" t="str">
        <v>fraction of N available for leaching and runoff</v>
      </c>
      <c r="F14" s="123"/>
      <c r="G14" s="113" t="str">
        <v>fraction</v>
      </c>
      <c r="H14" s="115" t="str">
        <v>Constant</v>
      </c>
      <c r="I14" s="113">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
      <c r="A15" s="5" t="str">
        <f>HYPERLINK("#'Input - Electricity'!A1", "Electricity")</f>
        <v>Electricity</v>
      </c>
      <c r="D15" s="113" t="str">
        <v>FracLEACH_MS</v>
      </c>
      <c r="E15" s="122" t="str">
        <v>fraction of N lost through leaching and runoff</v>
      </c>
      <c r="F15" s="123"/>
      <c r="G15" s="113" t="str">
        <v>fraction</v>
      </c>
      <c r="H15" s="115" t="str">
        <v>Constant</v>
      </c>
      <c r="I15" s="113">
        <f>SourceData_Poultry_FractionOfNitrogenLostThroughLeachingAndRunoff_Data</f>
        <v>0.02</v>
      </c>
    </row>
    <row r="16" spans="1:21" ht="20.100000000000001" customHeight="1" x14ac:dyDescent="0.2">
      <c r="A16" s="5" t="str">
        <f>HYPERLINK("#'Input - Common farm inputs'!A1", "Common farm inputs")</f>
        <v>Common farm inputs</v>
      </c>
      <c r="D16" s="113" t="str">
        <v>z</v>
      </c>
      <c r="E16" s="122" t="str">
        <v>location in leaching zone</v>
      </c>
      <c r="F16" s="123"/>
      <c r="G16" s="113" t="str">
        <v/>
      </c>
      <c r="H16" s="114" t="str">
        <v>Input</v>
      </c>
      <c r="I16" s="113">
        <f>X_Cell_Site_LeachingZone</f>
        <v>0</v>
      </c>
    </row>
    <row r="17" spans="1:20" ht="20.100000000000001" customHeight="1" x14ac:dyDescent="0.2">
      <c r="A17" s="5" t="str">
        <f>HYPERLINK("#'Input - Livestock farm Inputs'!A1", "Livestock farm Inputs")</f>
        <v>Livestock farm Inputs</v>
      </c>
      <c r="D17" s="113" t="str">
        <v>j</v>
      </c>
      <c r="E17" s="122" t="str">
        <v>production system</v>
      </c>
      <c r="F17" s="123"/>
      <c r="G17" s="113" t="str">
        <v/>
      </c>
      <c r="H17" s="114" t="str">
        <v>Input</v>
      </c>
      <c r="I17" s="113" t="str">
        <f>X_Cell_Poultry_ManureAppliedProductionSystem</f>
        <v>Crop</v>
      </c>
    </row>
    <row r="18" spans="1:20" ht="20.100000000000001" customHeight="1" x14ac:dyDescent="0.2">
      <c r="A18" s="5" t="str">
        <f>HYPERLINK("#'Input - Freight'!A1", "Freight")</f>
        <v>Freight</v>
      </c>
      <c r="D18" s="113" t="str">
        <v>ir</v>
      </c>
      <c r="E18" s="122" t="str">
        <v>irrigation method</v>
      </c>
      <c r="F18" s="123"/>
      <c r="G18" s="113" t="str">
        <v/>
      </c>
      <c r="H18" s="114" t="str">
        <v>Input</v>
      </c>
      <c r="I18" s="113" t="str">
        <f>X_Cell_Poultry_ManureAppliedIrrigationMethod</f>
        <v>Sprinkler irrigation</v>
      </c>
    </row>
    <row r="19" spans="1:20" ht="20.100000000000001" customHeight="1" x14ac:dyDescent="0.2">
      <c r="A19" s="5" t="str">
        <f>HYPERLINK("#'Input - Solid waste'!A1", "Solid waste")</f>
        <v>Solid waste</v>
      </c>
    </row>
    <row r="20" spans="1:20" ht="20.100000000000001" customHeight="1" x14ac:dyDescent="0.2">
      <c r="A20" s="5" t="str">
        <f>HYPERLINK("#'Input - Manure sent off-site'!A1", "Manure sent off-site")</f>
        <v>Manure sent off-site</v>
      </c>
      <c r="D20" s="131" t="s">
        <v>437</v>
      </c>
      <c r="E20" s="43"/>
      <c r="F20" s="43"/>
      <c r="G20" s="43"/>
      <c r="H20" s="44"/>
    </row>
    <row r="21" spans="1:20" ht="20.100000000000001" customHeight="1" x14ac:dyDescent="0.2">
      <c r="A21" s="5" t="str">
        <f>HYPERLINK("#'Input - Data quality'!A1", "Data quality")</f>
        <v>Data quality</v>
      </c>
      <c r="D21" s="132" t="s">
        <v>438</v>
      </c>
      <c r="E21" s="133"/>
      <c r="F21" s="133"/>
      <c r="G21" s="133"/>
      <c r="H21" s="134"/>
    </row>
    <row r="22" spans="1:20" ht="20.100000000000001" customHeight="1" x14ac:dyDescent="0.2">
      <c r="A22" s="5" t="str">
        <f>HYPERLINK("#'Input - Fert Prod System'!A1", "Fert Prod System")</f>
        <v>Fert Prod System</v>
      </c>
      <c r="D22" s="45" t="s">
        <v>439</v>
      </c>
      <c r="E22" s="46"/>
      <c r="F22" s="46"/>
      <c r="G22" s="46"/>
      <c r="H22" s="47"/>
    </row>
    <row r="23" spans="1:20" ht="20.100000000000001" customHeight="1" x14ac:dyDescent="0.2">
      <c r="A23" s="5" t="str">
        <f>HYPERLINK("#'Input - Fertiliser'!A1", "Fertiliser")</f>
        <v>Fertiliser</v>
      </c>
    </row>
    <row r="24" spans="1:20" ht="20.100000000000001" customHeight="1" x14ac:dyDescent="0.2">
      <c r="D24" s="118" t="s">
        <v>440</v>
      </c>
      <c r="N24" s="118" t="s">
        <v>440</v>
      </c>
    </row>
    <row r="25" spans="1:20" ht="20.100000000000001" customHeight="1" x14ac:dyDescent="0.2">
      <c r="D25" s="119" t="s">
        <v>441</v>
      </c>
      <c r="N25" s="119" t="s">
        <v>441</v>
      </c>
    </row>
    <row r="26" spans="1:20" ht="20.100000000000001" customHeight="1" x14ac:dyDescent="0.2">
      <c r="A26" s="6" t="s">
        <v>2</v>
      </c>
      <c r="D26" s="120" t="s">
        <v>314</v>
      </c>
      <c r="E26" s="120" t="s">
        <v>318</v>
      </c>
      <c r="F26" s="120" t="s">
        <v>297</v>
      </c>
      <c r="G26" s="120" t="s">
        <v>298</v>
      </c>
      <c r="H26" s="120" t="s">
        <v>299</v>
      </c>
      <c r="I26" s="120" t="s">
        <v>300</v>
      </c>
      <c r="N26" s="120" t="s">
        <v>314</v>
      </c>
      <c r="O26" s="120" t="s">
        <v>318</v>
      </c>
      <c r="P26" s="120" t="s">
        <v>297</v>
      </c>
      <c r="Q26" s="120" t="s">
        <v>298</v>
      </c>
      <c r="R26" s="120" t="s">
        <v>299</v>
      </c>
      <c r="S26" s="120" t="s">
        <v>300</v>
      </c>
    </row>
    <row r="27" spans="1:20" ht="20.100000000000001" customHeight="1" x14ac:dyDescent="0.2">
      <c r="A27" s="5" t="str">
        <f>HYPERLINK("#'4.6.1.1-2 Methane'!A1", "4.6.1.1-2 Manure Methane")</f>
        <v>4.6.1.1-2 Manure Methane</v>
      </c>
      <c r="D27" s="15" t="str">
        <f>INDEX(X_Table_Poultry_Stage1MMS,2,1)</f>
        <v>Poultry manure with bedding</v>
      </c>
      <c r="E27" s="15" t="str">
        <f>INDEX(X_Table_Poultry_Stage2MMS_PoultryManureWithBedding,2,1)</f>
        <v>Solid storage</v>
      </c>
      <c r="F27" s="15">
        <f>INDEX(M1_Table_MN_j_k_m_T2,2,3)</f>
        <v>0.71271158400000012</v>
      </c>
      <c r="G27" s="15">
        <f>INDEX(M1_Table_MN_j_k_m_T2,2,4)</f>
        <v>0.76073791680000002</v>
      </c>
      <c r="H27" s="15">
        <f>INDEX(M1_Table_MN_j_k_m_T2,2,5)</f>
        <v>0.89299319039999991</v>
      </c>
      <c r="I27" s="15">
        <f>INDEX(M1_Table_MN_j_k_m_T2,2,6)</f>
        <v>0.76073791680000002</v>
      </c>
      <c r="J27" s="16" t="str">
        <f>$G$13</f>
        <v>kg N</v>
      </c>
      <c r="N27" s="15" t="str">
        <f>INDEX(X_Table_Poultry_Stage1MMS,2,1)</f>
        <v>Poultry manure with bedding</v>
      </c>
      <c r="O27" s="15" t="str">
        <f>INDEX(X_Table_Poultry_Stage2MMS_PoultryManureWithBedding,2,1)</f>
        <v>Solid storage</v>
      </c>
      <c r="P27" s="15">
        <f>INDEX(M2_Table_MN_j_k_m_T2,2,3)</f>
        <v>0.71271158400000012</v>
      </c>
      <c r="Q27" s="15">
        <f>INDEX(M2_Table_MN_j_k_m_T2,2,4)</f>
        <v>0.76073791680000002</v>
      </c>
      <c r="R27" s="15">
        <f>INDEX(M2_Table_MN_j_k_m_T2,2,5)</f>
        <v>0.89299319039999991</v>
      </c>
      <c r="S27" s="15">
        <f>INDEX(M2_Table_MN_j_k_m_T2,2,6)</f>
        <v>0.76073791680000002</v>
      </c>
      <c r="T27" s="16" t="str">
        <f>$G$13</f>
        <v>kg N</v>
      </c>
    </row>
    <row r="28" spans="1:20" ht="20.100000000000001" customHeight="1" x14ac:dyDescent="0.2">
      <c r="A28" s="5" t="str">
        <f>HYPERLINK("#'4.6.1.3-4 Direct N20'!A1", "4.6.1.3-4 Manure Direct N2O")</f>
        <v>4.6.1.3-4 Manure Direct N2O</v>
      </c>
      <c r="D28" s="15" t="str">
        <f>INDEX(X_Table_Poultry_Stage1MMS,3,1)</f>
        <v>Belt manure removal</v>
      </c>
      <c r="E28" s="15" t="str">
        <f>INDEX(X_Table_Poultry_Stage2MMS_BeltManureRemoval,2,1)</f>
        <v>Solid storage</v>
      </c>
      <c r="F28" s="15">
        <f>'4.6.1.3-4 Direct N20'!F194</f>
        <v>0.96761558400000025</v>
      </c>
      <c r="G28" s="15">
        <f>'4.6.1.3-4 Direct N20'!G194</f>
        <v>1.0328187168</v>
      </c>
      <c r="H28" s="15">
        <f>'4.6.1.3-4 Direct N20'!H194</f>
        <v>1.2123755904</v>
      </c>
      <c r="I28" s="15">
        <f>'4.6.1.3-4 Direct N20'!I194</f>
        <v>1.0328187168</v>
      </c>
      <c r="J28" s="16"/>
      <c r="N28" s="15" t="str">
        <f>INDEX(X_Table_Poultry_Stage1MMS,3,1)</f>
        <v>Belt manure removal</v>
      </c>
      <c r="O28" s="15" t="str">
        <f>INDEX(X_Table_Poultry_Stage2MMS_BeltManureRemoval,2,1)</f>
        <v>Solid storage</v>
      </c>
      <c r="P28" s="15">
        <f>'4.6.1.3-4 Direct N20'!P194</f>
        <v>0.96761558400000025</v>
      </c>
      <c r="Q28" s="15">
        <f>'4.6.1.3-4 Direct N20'!Q194</f>
        <v>1.0328187168</v>
      </c>
      <c r="R28" s="15">
        <f>'4.6.1.3-4 Direct N20'!R194</f>
        <v>1.2123755904</v>
      </c>
      <c r="S28" s="15">
        <f>'4.6.1.3-4 Direct N20'!S194</f>
        <v>1.0328187168</v>
      </c>
      <c r="T28" s="16"/>
    </row>
    <row r="29" spans="1:20" ht="20.100000000000001" customHeight="1" x14ac:dyDescent="0.2">
      <c r="A29" s="5" t="str">
        <f>HYPERLINK("#'4.6.1.5-6 Atmos Dep'!A1", "4.6.1.5-6 Manure Atmos Dep")</f>
        <v>4.6.1.5-6 Manure Atmos Dep</v>
      </c>
      <c r="D29" s="15" t="str">
        <f>INDEX(X_Table_Poultry_Stage1MMS,4,1)</f>
        <v>Manure stored in house</v>
      </c>
      <c r="E29" s="15" t="str">
        <f>INDEX(X_Table_Poultry_Stage2MMS_ManureStoredInHouse,2,1)</f>
        <v>Solid storage</v>
      </c>
      <c r="F29" s="15">
        <f>'4.6.1.3-4 Direct N20'!F199</f>
        <v>0.61074998400000013</v>
      </c>
      <c r="G29" s="15">
        <f>'4.6.1.3-4 Direct N20'!G199</f>
        <v>0.65190559679999993</v>
      </c>
      <c r="H29" s="15">
        <f>'4.6.1.3-4 Direct N20'!H199</f>
        <v>0.76524023039999989</v>
      </c>
      <c r="I29" s="15">
        <f>'4.6.1.3-4 Direct N20'!I199</f>
        <v>0.65190559679999993</v>
      </c>
      <c r="J29" s="16"/>
      <c r="N29" s="15" t="str">
        <f>INDEX(X_Table_Poultry_Stage1MMS,4,1)</f>
        <v>Manure stored in house</v>
      </c>
      <c r="O29" s="15" t="str">
        <f>INDEX(X_Table_Poultry_Stage2MMS_ManureStoredInHouse,2,1)</f>
        <v>Solid storage</v>
      </c>
      <c r="P29" s="15">
        <f>'4.6.1.3-4 Direct N20'!P199</f>
        <v>0.61074998400000013</v>
      </c>
      <c r="Q29" s="15">
        <f>'4.6.1.3-4 Direct N20'!Q199</f>
        <v>0.65190559679999993</v>
      </c>
      <c r="R29" s="15">
        <f>'4.6.1.3-4 Direct N20'!R199</f>
        <v>0.76524023039999989</v>
      </c>
      <c r="S29" s="15">
        <f>'4.6.1.3-4 Direct N20'!S199</f>
        <v>0.65190559679999993</v>
      </c>
      <c r="T29" s="16"/>
    </row>
    <row r="30" spans="1:20" ht="20.100000000000001" customHeight="1" x14ac:dyDescent="0.2">
      <c r="A30" s="117" t="str">
        <f>HYPERLINK("#'4.6.1.7-8 Leaching and runoff'!A1", "4.6.1.7-8 Manure Leaching and runoff")</f>
        <v>4.6.1.7-8 Manure Leaching and runoff</v>
      </c>
      <c r="J30" s="16"/>
      <c r="T30" s="16"/>
    </row>
    <row r="31" spans="1:20" ht="20.100000000000001" customHeight="1" x14ac:dyDescent="0.2">
      <c r="A31" s="5" t="str">
        <f>HYPERLINK("#'4.6.1.9 Manure applied to soils'!A1", "4.6.1.9 Manure applied to soils")</f>
        <v>4.6.1.9 Manure applied to soils</v>
      </c>
      <c r="D31" s="118" t="s">
        <v>442</v>
      </c>
      <c r="N31" s="118" t="s">
        <v>443</v>
      </c>
    </row>
    <row r="32" spans="1:20" ht="20.100000000000001" customHeight="1" x14ac:dyDescent="0.2">
      <c r="A32" s="5" t="str">
        <f>HYPERLINK("#'4.6.1.10-11 Soil direct N2O'!A1", "4.6.1.10-11 Soil direct N2O")</f>
        <v>4.6.1.10-11 Soil direct N2O</v>
      </c>
      <c r="D32" s="119" t="s">
        <v>444</v>
      </c>
      <c r="N32" s="119" t="s">
        <v>445</v>
      </c>
    </row>
    <row r="33" spans="1:21" ht="20.100000000000001" customHeight="1" x14ac:dyDescent="0.2">
      <c r="A33" s="5" t="str">
        <f>HYPERLINK("#'4.6.1.12-13 Soil atmos dep'!A1", "4.6.1.12-13 Soil atmos dep")</f>
        <v>4.6.1.12-13 Soil atmos dep</v>
      </c>
      <c r="D33" s="120" t="s">
        <v>314</v>
      </c>
      <c r="E33" s="120" t="s">
        <v>318</v>
      </c>
      <c r="F33" s="120" t="s">
        <v>297</v>
      </c>
      <c r="G33" s="120" t="s">
        <v>298</v>
      </c>
      <c r="H33" s="120" t="s">
        <v>299</v>
      </c>
      <c r="I33" s="120" t="s">
        <v>300</v>
      </c>
      <c r="N33" s="120" t="s">
        <v>314</v>
      </c>
      <c r="O33" s="120" t="s">
        <v>318</v>
      </c>
      <c r="P33" s="120" t="s">
        <v>297</v>
      </c>
      <c r="Q33" s="120" t="s">
        <v>298</v>
      </c>
      <c r="R33" s="120" t="s">
        <v>299</v>
      </c>
      <c r="S33" s="120" t="s">
        <v>300</v>
      </c>
    </row>
    <row r="34" spans="1:21" ht="20.100000000000001" customHeight="1" x14ac:dyDescent="0.2">
      <c r="A34" s="5" t="str">
        <f>HYPERLINK("#'4.6.1.14-15 Soil leach runoff'!A1", "4.6.1.14-15 Soil leach runoff")</f>
        <v>4.6.1.14-15 Soil leach runoff</v>
      </c>
      <c r="D34" s="15" t="str">
        <f>INDEX(X_Table_Poultry_Stage1MMS,2,1)</f>
        <v>Poultry manure with bedding</v>
      </c>
      <c r="E34" s="15" t="str">
        <f>INDEX(X_Table_Poultry_Stage2MMS_PoultryManureWithBedding,2,1)</f>
        <v>Solid storage</v>
      </c>
      <c r="F34" s="15" cm="1">
        <f t="array" ref="F34">MMS_Poultry_LeachingAndRunoff_Equations.VEERG_4_6_1_7__2_MassOfNitrogenLostToLeachingAndRunoffFromSolidStorage(F27,$I$14,$I$15)</f>
        <v>1.4254231680000003E-2</v>
      </c>
      <c r="G34" s="15" cm="1">
        <f t="array" ref="G34">MMS_Poultry_LeachingAndRunoff_Equations.VEERG_4_6_1_7__2_MassOfNitrogenLostToLeachingAndRunoffFromSolidStorage(G27,$I$14,$I$15)</f>
        <v>1.5214758336E-2</v>
      </c>
      <c r="H34" s="15" cm="1">
        <f t="array" ref="H34">MMS_Poultry_LeachingAndRunoff_Equations.VEERG_4_6_1_7__2_MassOfNitrogenLostToLeachingAndRunoffFromSolidStorage(H27,$I$14,$I$15)</f>
        <v>1.7859863808E-2</v>
      </c>
      <c r="I34" s="15" cm="1">
        <f t="array" ref="I34">MMS_Poultry_LeachingAndRunoff_Equations.VEERG_4_6_1_7__2_MassOfNitrogenLostToLeachingAndRunoffFromSolidStorage(I27,$I$14,$I$15)</f>
        <v>1.5214758336E-2</v>
      </c>
      <c r="J34" s="16" t="str">
        <f>$E$11</f>
        <v>kg N</v>
      </c>
      <c r="N34" s="15" t="str">
        <f>INDEX(X_Table_Poultry_Stage1MMS,2,1)</f>
        <v>Poultry manure with bedding</v>
      </c>
      <c r="O34" s="15" t="str">
        <f>INDEX(X_Table_Poultry_Stage2MMS_PoultryManureWithBedding,2,1)</f>
        <v>Solid storage</v>
      </c>
      <c r="P34" s="15" cm="1">
        <f t="array" ref="P34">MMS_Poultry_LeachingAndRunoff_Equations.VEERG_4_6_1_7__2_MassOfNitrogenLostToLeachingAndRunoffFromSolidStorage(P27,$I$14,$I$15)</f>
        <v>1.4254231680000003E-2</v>
      </c>
      <c r="Q34" s="15" cm="1">
        <f t="array" ref="Q34">MMS_Poultry_LeachingAndRunoff_Equations.VEERG_4_6_1_7__2_MassOfNitrogenLostToLeachingAndRunoffFromSolidStorage(Q27,$I$14,$I$15)</f>
        <v>1.5214758336E-2</v>
      </c>
      <c r="R34" s="15" cm="1">
        <f t="array" ref="R34">MMS_Poultry_LeachingAndRunoff_Equations.VEERG_4_6_1_7__2_MassOfNitrogenLostToLeachingAndRunoffFromSolidStorage(R27,$I$14,$I$15)</f>
        <v>1.7859863808E-2</v>
      </c>
      <c r="S34" s="15" cm="1">
        <f t="array" ref="S34">MMS_Poultry_LeachingAndRunoff_Equations.VEERG_4_6_1_7__2_MassOfNitrogenLostToLeachingAndRunoffFromSolidStorage(S27,$I$14,$I$15)</f>
        <v>1.5214758336E-2</v>
      </c>
      <c r="T34" s="16" t="str">
        <f>$E$11</f>
        <v>kg N</v>
      </c>
    </row>
    <row r="35" spans="1:21" ht="20.100000000000001" customHeight="1" x14ac:dyDescent="0.2">
      <c r="A35" s="5" t="str">
        <f>HYPERLINK("#'8.1.1.1-2 Transport fuel'!A1", "8.1.1.1-2 Transport fuel")</f>
        <v>8.1.1.1-2 Transport fuel</v>
      </c>
      <c r="D35" s="15" t="str">
        <f>INDEX(X_Table_Poultry_Stage1MMS,3,1)</f>
        <v>Belt manure removal</v>
      </c>
      <c r="E35" s="15" t="str">
        <f>INDEX(X_Table_Poultry_Stage2MMS_BeltManureRemoval,2,1)</f>
        <v>Solid storage</v>
      </c>
      <c r="F35" s="15" cm="1">
        <f t="array" ref="F35">MMS_Poultry_LeachingAndRunoff_Equations.VEERG_4_6_1_7__2_MassOfNitrogenLostToLeachingAndRunoffFromSolidStorage(F28,$I$14,$I$15)</f>
        <v>1.9352311680000005E-2</v>
      </c>
      <c r="G35" s="15" cm="1">
        <f t="array" ref="G35">MMS_Poultry_LeachingAndRunoff_Equations.VEERG_4_6_1_7__2_MassOfNitrogenLostToLeachingAndRunoffFromSolidStorage(G28,$I$14,$I$15)</f>
        <v>2.0656374336E-2</v>
      </c>
      <c r="H35" s="15" cm="1">
        <f t="array" ref="H35">MMS_Poultry_LeachingAndRunoff_Equations.VEERG_4_6_1_7__2_MassOfNitrogenLostToLeachingAndRunoffFromSolidStorage(H28,$I$14,$I$15)</f>
        <v>2.4247511808E-2</v>
      </c>
      <c r="I35" s="15" cm="1">
        <f t="array" ref="I35">MMS_Poultry_LeachingAndRunoff_Equations.VEERG_4_6_1_7__2_MassOfNitrogenLostToLeachingAndRunoffFromSolidStorage(I28,$I$14,$I$15)</f>
        <v>2.0656374336E-2</v>
      </c>
      <c r="J35" s="16"/>
      <c r="N35" s="15" t="str">
        <f>INDEX(X_Table_Poultry_Stage1MMS,3,1)</f>
        <v>Belt manure removal</v>
      </c>
      <c r="O35" s="15" t="str">
        <f>INDEX(X_Table_Poultry_Stage2MMS_BeltManureRemoval,2,1)</f>
        <v>Solid storage</v>
      </c>
      <c r="P35" s="15" cm="1">
        <f t="array" ref="P35">MMS_Poultry_LeachingAndRunoff_Equations.VEERG_4_6_1_7__2_MassOfNitrogenLostToLeachingAndRunoffFromSolidStorage(P28,$I$14,$I$15)</f>
        <v>1.9352311680000005E-2</v>
      </c>
      <c r="Q35" s="15" cm="1">
        <f t="array" ref="Q35">MMS_Poultry_LeachingAndRunoff_Equations.VEERG_4_6_1_7__2_MassOfNitrogenLostToLeachingAndRunoffFromSolidStorage(Q28,$I$14,$I$15)</f>
        <v>2.0656374336E-2</v>
      </c>
      <c r="R35" s="15" cm="1">
        <f t="array" ref="R35">MMS_Poultry_LeachingAndRunoff_Equations.VEERG_4_6_1_7__2_MassOfNitrogenLostToLeachingAndRunoffFromSolidStorage(R28,$I$14,$I$15)</f>
        <v>2.4247511808E-2</v>
      </c>
      <c r="S35" s="15" cm="1">
        <f t="array" ref="S35">MMS_Poultry_LeachingAndRunoff_Equations.VEERG_4_6_1_7__2_MassOfNitrogenLostToLeachingAndRunoffFromSolidStorage(S28,$I$14,$I$15)</f>
        <v>2.0656374336E-2</v>
      </c>
      <c r="T35" s="16"/>
    </row>
    <row r="36" spans="1:21" ht="20.100000000000001" customHeight="1" x14ac:dyDescent="0.2">
      <c r="A36" s="5" t="str">
        <f>HYPERLINK("#'8.2.1.1-2 Stationary fuel'!A1", "8.2.1.1-2 Stationary fuel")</f>
        <v>8.2.1.1-2 Stationary fuel</v>
      </c>
      <c r="D36" s="15" t="str">
        <f>INDEX(X_Table_Poultry_Stage1MMS,4,1)</f>
        <v>Manure stored in house</v>
      </c>
      <c r="E36" s="15" t="str">
        <f>INDEX(X_Table_Poultry_Stage2MMS_ManureStoredInHouse,2,1)</f>
        <v>Solid storage</v>
      </c>
      <c r="F36" s="15" cm="1">
        <f t="array" ref="F36">MMS_Poultry_LeachingAndRunoff_Equations.VEERG_4_6_1_7__2_MassOfNitrogenLostToLeachingAndRunoffFromSolidStorage(F29,$I$14,$I$15)</f>
        <v>1.2214999680000003E-2</v>
      </c>
      <c r="G36" s="15" cm="1">
        <f t="array" ref="G36">MMS_Poultry_LeachingAndRunoff_Equations.VEERG_4_6_1_7__2_MassOfNitrogenLostToLeachingAndRunoffFromSolidStorage(G29,$I$14,$I$15)</f>
        <v>1.3038111936E-2</v>
      </c>
      <c r="H36" s="15" cm="1">
        <f t="array" ref="H36">MMS_Poultry_LeachingAndRunoff_Equations.VEERG_4_6_1_7__2_MassOfNitrogenLostToLeachingAndRunoffFromSolidStorage(H29,$I$14,$I$15)</f>
        <v>1.5304804607999998E-2</v>
      </c>
      <c r="I36" s="15" cm="1">
        <f t="array" ref="I36">MMS_Poultry_LeachingAndRunoff_Equations.VEERG_4_6_1_7__2_MassOfNitrogenLostToLeachingAndRunoffFromSolidStorage(I29,$I$14,$I$15)</f>
        <v>1.3038111936E-2</v>
      </c>
      <c r="J36" s="16"/>
      <c r="N36" s="15" t="str">
        <f>INDEX(X_Table_Poultry_Stage1MMS,4,1)</f>
        <v>Manure stored in house</v>
      </c>
      <c r="O36" s="15" t="str">
        <f>INDEX(X_Table_Poultry_Stage2MMS_ManureStoredInHouse,2,1)</f>
        <v>Solid storage</v>
      </c>
      <c r="P36" s="15" cm="1">
        <f t="array" ref="P36">MMS_Poultry_LeachingAndRunoff_Equations.VEERG_4_6_1_7__2_MassOfNitrogenLostToLeachingAndRunoffFromSolidStorage(P29,$I$14,$I$15)</f>
        <v>1.2214999680000003E-2</v>
      </c>
      <c r="Q36" s="15" cm="1">
        <f t="array" ref="Q36">MMS_Poultry_LeachingAndRunoff_Equations.VEERG_4_6_1_7__2_MassOfNitrogenLostToLeachingAndRunoffFromSolidStorage(Q29,$I$14,$I$15)</f>
        <v>1.3038111936E-2</v>
      </c>
      <c r="R36" s="15" cm="1">
        <f t="array" ref="R36">MMS_Poultry_LeachingAndRunoff_Equations.VEERG_4_6_1_7__2_MassOfNitrogenLostToLeachingAndRunoffFromSolidStorage(R29,$I$14,$I$15)</f>
        <v>1.5304804607999998E-2</v>
      </c>
      <c r="S36" s="15" cm="1">
        <f t="array" ref="S36">MMS_Poultry_LeachingAndRunoff_Equations.VEERG_4_6_1_7__2_MassOfNitrogenLostToLeachingAndRunoffFromSolidStorage(S29,$I$14,$I$15)</f>
        <v>1.3038111936E-2</v>
      </c>
      <c r="T36" s="16"/>
    </row>
    <row r="37" spans="1:21" ht="20.100000000000001" customHeight="1" x14ac:dyDescent="0.2">
      <c r="A37" s="5" t="str">
        <f>HYPERLINK("#'10.1.1-2 Solid waste treatment'!A1", "10.1.1.1-2 Solid waste")</f>
        <v>10.1.1.1-2 Solid waste</v>
      </c>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c r="C39" s="83"/>
      <c r="D39" s="83"/>
      <c r="E39" s="83"/>
      <c r="F39" s="83"/>
      <c r="G39" s="83"/>
      <c r="H39" s="83"/>
      <c r="I39" s="83"/>
      <c r="J39" s="83"/>
      <c r="K39" s="83"/>
      <c r="M39" s="83"/>
      <c r="N39" s="83"/>
      <c r="O39" s="83"/>
      <c r="P39" s="83"/>
      <c r="Q39" s="83"/>
      <c r="R39" s="83"/>
      <c r="S39" s="83"/>
      <c r="T39" s="83"/>
      <c r="U39" s="83"/>
    </row>
    <row r="40" spans="1:21" ht="20.100000000000001" customHeight="1" x14ac:dyDescent="0.2">
      <c r="A40" s="5" t="str">
        <f>HYPERLINK("#'Calcs - Manure sent off-site'!A1", "Calcs - Manure sent off-site")</f>
        <v>Calcs - Manure sent off-site</v>
      </c>
      <c r="D40" s="2" t="str" cm="1">
        <f t="array" ref="D40">MMS_Poultry_LeachingAndRunoff_Equations.VEERG_4_6_1_7__1_AnnualEmissionsFromLeachingAndRunoffFromMMS_Title()</f>
        <v>Annual emissions from leaching and runoff from each MMS</v>
      </c>
    </row>
    <row r="41" spans="1:21" ht="20.100000000000001" customHeight="1" x14ac:dyDescent="0.2">
      <c r="A41" s="5" t="str">
        <f>HYPERLINK("#'5.1.1.1-2 Inorganic fert N2O'!A1", "5.1.1.1-2 Inorganic fert N2O")</f>
        <v>5.1.1.1-2 Inorganic fert N2O</v>
      </c>
      <c r="D41" s="17" t="str" cm="1">
        <f t="array" ref="D41">MMS_Poultry_LeachingAndRunoff_Equations.VEERG_4_6_1_7__1_AnnualEmissionsFromLeachingAndRunoffFromMMS_Source()</f>
        <v>VEERG 2026: 4.6.1.7, Equation (1)</v>
      </c>
    </row>
    <row r="42" spans="1:21" ht="20.100000000000001" customHeight="1" x14ac:dyDescent="0.2">
      <c r="A42" s="5" t="str">
        <f>HYPERLINK("#'5.1.1.3-4 Inorganic fert CO2'!A1", "5.1.1.3-4 Inorganic fert CO2")</f>
        <v>5.1.1.3-4 Inorganic fert CO2</v>
      </c>
      <c r="D42" s="112" t="s">
        <v>328</v>
      </c>
      <c r="E42" s="112" t="str" cm="1">
        <f t="array" aca="1" ref="E42" ca="1">Common_InputFunctions.Utility_DisplayFunctionName(F55)</f>
        <v>=MMS_Poultry_LeachingAndRunoff_Equations.VEERG_4_6_1_7__1_AnnualEmissionsFromLeachingAndRunoffFromMMS</v>
      </c>
    </row>
    <row r="43" spans="1:21" ht="20.100000000000001" customHeight="1" x14ac:dyDescent="0.2">
      <c r="A43" s="5" t="str">
        <f>HYPERLINK("#'5.2.1.1-2 Organic Fert N2O'!A1", "5.2.1.1-2 Organic Fert N2O")</f>
        <v>5.2.1.1-2 Organic Fert N2O</v>
      </c>
    </row>
    <row r="44" spans="1:21" ht="20.100000000000001" customHeight="1" x14ac:dyDescent="0.2">
      <c r="A44" s="5" t="str">
        <f>HYPERLINK("#'5.3.1.1-2 Lime CO2'!A1", "5.3.1.1-2 Lime CO2")</f>
        <v>5.3.1.1-2 Lime CO2</v>
      </c>
    </row>
    <row r="45" spans="1:21" ht="20.100000000000001" customHeight="1" x14ac:dyDescent="0.2">
      <c r="A45" s="5" t="str">
        <f>HYPERLINK("#'5.4.1.1-4 Atmos deposition'!A1", "5.4.1.1-4 Atmos deposition")</f>
        <v>5.4.1.1-4 Atmos deposition</v>
      </c>
      <c r="D45" s="75" t="s">
        <v>329</v>
      </c>
      <c r="E45" s="1" t="str" cm="1">
        <f t="array" ref="E45">MMS_Poultry_LeachingAndRunoff_Equations.VEERG_4_6_1_7__1_AnnualEmissionsFromLeachingAndRunoffFromMMS_Variable()</f>
        <v>E_N2Oleach</v>
      </c>
    </row>
    <row r="46" spans="1:21" ht="20.100000000000001" customHeight="1" x14ac:dyDescent="0.2">
      <c r="A46" s="5" t="str">
        <f>HYPERLINK("#'5.5.1.1-2 Leaching and runoff'!A1", "5.5.1.1-2 Leaching and runoff")</f>
        <v>5.5.1.1-2 Leaching and runoff</v>
      </c>
      <c r="D46" s="75" t="s">
        <v>118</v>
      </c>
      <c r="E46" s="9" t="str" cm="1">
        <f t="array" ref="E46">MMS_Poultry_LeachingAndRunoff_Equations.VEERG_4_6_1_7__1_AnnualEmissionsFromLeachingAndRunoffFromMMS_Unit()</f>
        <v>t N2O</v>
      </c>
    </row>
    <row r="48" spans="1:21" ht="20.100000000000001" customHeight="1" x14ac:dyDescent="0.2">
      <c r="D48" s="113" t="str" cm="1">
        <f t="array" ref="D48:E50">_xlfn.CHOOSECOLS(MMS_Poultry_LeachingAndRunoff_Equations.VEERG_4_6_1_7__1_AnnualEmissionsFromLeachingAndRunoffFromMMS_Arguments(),1,2)</f>
        <v>MNLeach_jkm4</v>
      </c>
      <c r="E48" s="122" t="str">
        <v>mass of N lost through leaching and runoff from each MMS</v>
      </c>
      <c r="F48" s="123"/>
      <c r="G48" s="113" t="str" cm="1">
        <f t="array" ref="G48:H50">_xlfn.CHOOSECOLS(MMS_Poultry_LeachingAndRunoff_Equations.VEERG_4_6_1_7__1_AnnualEmissionsFromLeachingAndRunoffFromMMS_Arguments(),3,4)</f>
        <v>kg N</v>
      </c>
      <c r="H48" s="115" t="str">
        <v>Calculated from 4.6.1.7 (2)</v>
      </c>
      <c r="I48" s="116" t="str" cm="1">
        <f t="array" aca="1" ref="I48" ca="1">HYPERLINK(Common_InputFunctions.Utility_SourceHyperlink($D$31),$D$31)</f>
        <v>M1_Table_MN_Leach_j_k_m-4</v>
      </c>
    </row>
    <row r="49" spans="1:20" ht="20.100000000000001" customHeight="1" x14ac:dyDescent="0.2">
      <c r="A49" s="80" t="s">
        <v>1</v>
      </c>
      <c r="D49" s="113" t="str">
        <v>EF_leach</v>
      </c>
      <c r="E49" s="122" t="str">
        <v>emission factor for leaching and runoff</v>
      </c>
      <c r="F49" s="123"/>
      <c r="G49" s="113" t="str">
        <v>kg N2O-N/kg N</v>
      </c>
      <c r="H49" s="115" t="str">
        <v>Constant</v>
      </c>
      <c r="I49" s="113">
        <f>'Constants - Common'!$E$170</f>
        <v>1.0999999999999999E-2</v>
      </c>
    </row>
    <row r="50" spans="1:20" ht="20.100000000000001" customHeight="1" x14ac:dyDescent="0.2">
      <c r="A50" s="5" t="str">
        <f>HYPERLINK("#'Constants - Poultry'!A1", "Constants - Poultry")</f>
        <v>Constants - Poultry</v>
      </c>
      <c r="D50" s="113" t="str">
        <v>C_N2O</v>
      </c>
      <c r="E50" s="122" t="str">
        <v>factor to convert elemental mass of N2O to molecular mass</v>
      </c>
      <c r="F50" s="123"/>
      <c r="G50" s="113" t="str">
        <v>ratio</v>
      </c>
      <c r="H50" s="115" t="str">
        <v>Constant</v>
      </c>
      <c r="I50" s="113">
        <f>Common_InputFunctions.Utility_LookupValueInTableNumber("N2O",Table_GasToMolecularConversionFactor[Gas],Table_GasToMolecularConversionFactor[Conversion factor combined])</f>
        <v>1.5714285714285714</v>
      </c>
    </row>
    <row r="51" spans="1:20" ht="20.100000000000001" customHeight="1" x14ac:dyDescent="0.2">
      <c r="A51" s="5" t="str">
        <f>HYPERLINK("#'Constants - Common livestock'!A1", "Constants - Common Livestock")</f>
        <v>Constants - Common Livestock</v>
      </c>
    </row>
    <row r="52" spans="1:20" ht="20.100000000000001" customHeight="1" x14ac:dyDescent="0.2">
      <c r="A52" s="5" t="str">
        <f>HYPERLINK("#'Constants - Electricity'!A1", "Constants - Electricity")</f>
        <v>Constants - Electricity</v>
      </c>
      <c r="D52" s="118" t="s">
        <v>446</v>
      </c>
      <c r="N52" s="118" t="s">
        <v>447</v>
      </c>
    </row>
    <row r="53" spans="1:20" ht="20.100000000000001" customHeight="1" x14ac:dyDescent="0.2">
      <c r="A53" s="5" t="str">
        <f>HYPERLINK("#'Constants - Fertiliser'!A1", "Constants - Fertiliser")</f>
        <v>Constants - Fertiliser</v>
      </c>
      <c r="D53" s="119" t="s">
        <v>448</v>
      </c>
      <c r="N53" s="119" t="s">
        <v>449</v>
      </c>
    </row>
    <row r="54" spans="1:20" ht="20.100000000000001" customHeight="1" x14ac:dyDescent="0.2">
      <c r="A54" s="5" t="str">
        <f>HYPERLINK("#'Constants - Fuel'!A1", "Constants - Fuel")</f>
        <v>Constants - Fuel</v>
      </c>
      <c r="D54" s="120" t="s">
        <v>314</v>
      </c>
      <c r="E54" s="120" t="s">
        <v>318</v>
      </c>
      <c r="F54" s="120" t="s">
        <v>297</v>
      </c>
      <c r="G54" s="120" t="s">
        <v>298</v>
      </c>
      <c r="H54" s="120" t="s">
        <v>299</v>
      </c>
      <c r="I54" s="120" t="s">
        <v>300</v>
      </c>
      <c r="N54" s="120" t="s">
        <v>314</v>
      </c>
      <c r="O54" s="120" t="s">
        <v>318</v>
      </c>
      <c r="P54" s="120" t="s">
        <v>297</v>
      </c>
      <c r="Q54" s="120" t="s">
        <v>298</v>
      </c>
      <c r="R54" s="120" t="s">
        <v>299</v>
      </c>
      <c r="S54" s="120" t="s">
        <v>300</v>
      </c>
    </row>
    <row r="55" spans="1:20" ht="20.100000000000001" customHeight="1" x14ac:dyDescent="0.2">
      <c r="A55" s="5" t="str">
        <f>HYPERLINK("#'Constants - Scope 3'!A1", "Constants - Scope 3")</f>
        <v>Constants - Scope 3</v>
      </c>
      <c r="D55" s="15" t="str">
        <f>INDEX(X_Table_Poultry_Stage1MMS,2,1)</f>
        <v>Poultry manure with bedding</v>
      </c>
      <c r="E55" s="15" t="str">
        <f>INDEX(X_Table_Poultry_Stage2MMS_PoultryManureWithBedding,2,1)</f>
        <v>Solid storage</v>
      </c>
      <c r="F55" s="15" cm="1">
        <f t="array" ref="F55">MMS_Poultry_LeachingAndRunoff_Equations.VEERG_4_6_1_7__1_AnnualEmissionsFromLeachingAndRunoffFromMMS(F34, $I$49, $I$50)</f>
        <v>2.4639457618285716E-7</v>
      </c>
      <c r="G55" s="15" cm="1">
        <f t="array" ref="G55">MMS_Poultry_LeachingAndRunoff_Equations.VEERG_4_6_1_7__1_AnnualEmissionsFromLeachingAndRunoffFromMMS(G34, $I$49, $I$50)</f>
        <v>2.6299796552228575E-7</v>
      </c>
      <c r="H55" s="15" cm="1">
        <f t="array" ref="H55">MMS_Poultry_LeachingAndRunoff_Equations.VEERG_4_6_1_7__1_AnnualEmissionsFromLeachingAndRunoffFromMMS(H34, $I$49, $I$50)</f>
        <v>3.0872050296685714E-7</v>
      </c>
      <c r="I55" s="15" cm="1">
        <f t="array" ref="I55">MMS_Poultry_LeachingAndRunoff_Equations.VEERG_4_6_1_7__1_AnnualEmissionsFromLeachingAndRunoffFromMMS(I34, $I$49, $I$50)</f>
        <v>2.6299796552228575E-7</v>
      </c>
      <c r="J55" s="16" t="str">
        <f>$E$46</f>
        <v>t N2O</v>
      </c>
      <c r="N55" s="15" t="str">
        <f>INDEX(X_Table_Poultry_Stage1MMS,2,1)</f>
        <v>Poultry manure with bedding</v>
      </c>
      <c r="O55" s="15" t="str">
        <f>INDEX(X_Table_Poultry_Stage2MMS_PoultryManureWithBedding,2,1)</f>
        <v>Solid storage</v>
      </c>
      <c r="P55" s="15" cm="1">
        <f t="array" ref="P55">MMS_Poultry_LeachingAndRunoff_Equations.VEERG_4_6_1_7__1_AnnualEmissionsFromLeachingAndRunoffFromMMS(P34, $I$49, $I$50)</f>
        <v>2.4639457618285716E-7</v>
      </c>
      <c r="Q55" s="15" cm="1">
        <f t="array" ref="Q55">MMS_Poultry_LeachingAndRunoff_Equations.VEERG_4_6_1_7__1_AnnualEmissionsFromLeachingAndRunoffFromMMS(Q34, $I$49, $I$50)</f>
        <v>2.6299796552228575E-7</v>
      </c>
      <c r="R55" s="15" cm="1">
        <f t="array" ref="R55">MMS_Poultry_LeachingAndRunoff_Equations.VEERG_4_6_1_7__1_AnnualEmissionsFromLeachingAndRunoffFromMMS(R34, $I$49, $I$50)</f>
        <v>3.0872050296685714E-7</v>
      </c>
      <c r="S55" s="15" cm="1">
        <f t="array" ref="S55">MMS_Poultry_LeachingAndRunoff_Equations.VEERG_4_6_1_7__1_AnnualEmissionsFromLeachingAndRunoffFromMMS(S34, $I$49, $I$50)</f>
        <v>2.6299796552228575E-7</v>
      </c>
      <c r="T55" s="16" t="str">
        <f>$E$46</f>
        <v>t N2O</v>
      </c>
    </row>
    <row r="56" spans="1:20" ht="20.100000000000001" customHeight="1" x14ac:dyDescent="0.2">
      <c r="A56" s="5" t="str">
        <f>HYPERLINK("#'Constants - Solid Waste'!A1", "Constants - Solid Waste")</f>
        <v>Constants - Solid Waste</v>
      </c>
      <c r="D56" s="15" t="str">
        <f>INDEX(X_Table_Poultry_Stage1MMS,3,1)</f>
        <v>Belt manure removal</v>
      </c>
      <c r="E56" s="15" t="str">
        <f>INDEX(X_Table_Poultry_Stage2MMS_BeltManureRemoval,2,1)</f>
        <v>Solid storage</v>
      </c>
      <c r="F56" s="15" cm="1">
        <f t="array" ref="F56">MMS_Poultry_LeachingAndRunoff_Equations.VEERG_4_6_1_7__1_AnnualEmissionsFromLeachingAndRunoffFromMMS(F35, $I$49, $I$50)</f>
        <v>3.345185304685715E-7</v>
      </c>
      <c r="G56" s="15" cm="1">
        <f t="array" ref="G56">MMS_Poultry_LeachingAndRunoff_Equations.VEERG_4_6_1_7__1_AnnualEmissionsFromLeachingAndRunoffFromMMS(G35, $I$49, $I$50)</f>
        <v>3.5706018495085714E-7</v>
      </c>
      <c r="H56" s="15" cm="1">
        <f t="array" ref="H56">MMS_Poultry_LeachingAndRunoff_Equations.VEERG_4_6_1_7__1_AnnualEmissionsFromLeachingAndRunoffFromMMS(H35, $I$49, $I$50)</f>
        <v>4.1913556125257138E-7</v>
      </c>
      <c r="I56" s="15" cm="1">
        <f t="array" ref="I56">MMS_Poultry_LeachingAndRunoff_Equations.VEERG_4_6_1_7__1_AnnualEmissionsFromLeachingAndRunoffFromMMS(I35, $I$49, $I$50)</f>
        <v>3.5706018495085714E-7</v>
      </c>
      <c r="J56" s="16"/>
      <c r="N56" s="15" t="str">
        <f>INDEX(X_Table_Poultry_Stage1MMS,3,1)</f>
        <v>Belt manure removal</v>
      </c>
      <c r="O56" s="15" t="str">
        <f>INDEX(X_Table_Poultry_Stage2MMS_BeltManureRemoval,2,1)</f>
        <v>Solid storage</v>
      </c>
      <c r="P56" s="15" cm="1">
        <f t="array" ref="P56">MMS_Poultry_LeachingAndRunoff_Equations.VEERG_4_6_1_7__1_AnnualEmissionsFromLeachingAndRunoffFromMMS(P35, $I$49, $I$50)</f>
        <v>3.345185304685715E-7</v>
      </c>
      <c r="Q56" s="15" cm="1">
        <f t="array" ref="Q56">MMS_Poultry_LeachingAndRunoff_Equations.VEERG_4_6_1_7__1_AnnualEmissionsFromLeachingAndRunoffFromMMS(Q35, $I$49, $I$50)</f>
        <v>3.5706018495085714E-7</v>
      </c>
      <c r="R56" s="15" cm="1">
        <f t="array" ref="R56">MMS_Poultry_LeachingAndRunoff_Equations.VEERG_4_6_1_7__1_AnnualEmissionsFromLeachingAndRunoffFromMMS(R35, $I$49, $I$50)</f>
        <v>4.1913556125257138E-7</v>
      </c>
      <c r="S56" s="15" cm="1">
        <f t="array" ref="S56">MMS_Poultry_LeachingAndRunoff_Equations.VEERG_4_6_1_7__1_AnnualEmissionsFromLeachingAndRunoffFromMMS(S35, $I$49, $I$50)</f>
        <v>3.5706018495085714E-7</v>
      </c>
      <c r="T56" s="16"/>
    </row>
    <row r="57" spans="1:20" ht="20.100000000000001" customHeight="1" x14ac:dyDescent="0.2">
      <c r="A57" s="5" t="str">
        <f>HYPERLINK("#'Constants - Common'!A1", "Constants - Common")</f>
        <v>Constants - Common</v>
      </c>
      <c r="D57" s="15" t="str">
        <f>INDEX(X_Table_Poultry_Stage1MMS,4,1)</f>
        <v>Manure stored in house</v>
      </c>
      <c r="E57" s="15" t="str">
        <f>INDEX(X_Table_Poultry_Stage2MMS_ManureStoredInHouse,2,1)</f>
        <v>Solid storage</v>
      </c>
      <c r="F57" s="15" cm="1">
        <f t="array" ref="F57">MMS_Poultry_LeachingAndRunoff_Equations.VEERG_4_6_1_7__1_AnnualEmissionsFromLeachingAndRunoffFromMMS(F36, $I$49, $I$50)</f>
        <v>2.1114499446857149E-7</v>
      </c>
      <c r="G57" s="15" cm="1">
        <f t="array" ref="G57">MMS_Poultry_LeachingAndRunoff_Equations.VEERG_4_6_1_7__1_AnnualEmissionsFromLeachingAndRunoffFromMMS(G36, $I$49, $I$50)</f>
        <v>2.253730777508571E-7</v>
      </c>
      <c r="H57" s="15" cm="1">
        <f t="array" ref="H57">MMS_Poultry_LeachingAndRunoff_Equations.VEERG_4_6_1_7__1_AnnualEmissionsFromLeachingAndRunoffFromMMS(H36, $I$49, $I$50)</f>
        <v>2.6455447965257135E-7</v>
      </c>
      <c r="I57" s="15" cm="1">
        <f t="array" ref="I57">MMS_Poultry_LeachingAndRunoff_Equations.VEERG_4_6_1_7__1_AnnualEmissionsFromLeachingAndRunoffFromMMS(I36, $I$49, $I$50)</f>
        <v>2.253730777508571E-7</v>
      </c>
      <c r="J57" s="16"/>
      <c r="N57" s="15" t="str">
        <f>INDEX(X_Table_Poultry_Stage1MMS,4,1)</f>
        <v>Manure stored in house</v>
      </c>
      <c r="O57" s="15" t="str">
        <f>INDEX(X_Table_Poultry_Stage2MMS_ManureStoredInHouse,2,1)</f>
        <v>Solid storage</v>
      </c>
      <c r="P57" s="15" cm="1">
        <f t="array" ref="P57">MMS_Poultry_LeachingAndRunoff_Equations.VEERG_4_6_1_7__1_AnnualEmissionsFromLeachingAndRunoffFromMMS(P36, $I$49, $I$50)</f>
        <v>2.1114499446857149E-7</v>
      </c>
      <c r="Q57" s="15" cm="1">
        <f t="array" ref="Q57">MMS_Poultry_LeachingAndRunoff_Equations.VEERG_4_6_1_7__1_AnnualEmissionsFromLeachingAndRunoffFromMMS(Q36, $I$49, $I$50)</f>
        <v>2.253730777508571E-7</v>
      </c>
      <c r="R57" s="15" cm="1">
        <f t="array" ref="R57">MMS_Poultry_LeachingAndRunoff_Equations.VEERG_4_6_1_7__1_AnnualEmissionsFromLeachingAndRunoffFromMMS(R36, $I$49, $I$50)</f>
        <v>2.6455447965257135E-7</v>
      </c>
      <c r="S57" s="15" cm="1">
        <f t="array" ref="S57">MMS_Poultry_LeachingAndRunoff_Equations.VEERG_4_6_1_7__1_AnnualEmissionsFromLeachingAndRunoffFromMMS(S36, $I$49, $I$50)</f>
        <v>2.253730777508571E-7</v>
      </c>
      <c r="T57" s="16"/>
    </row>
    <row r="59" spans="1:20" ht="20.100000000000001" customHeight="1" x14ac:dyDescent="0.2">
      <c r="D59" s="85" t="s">
        <v>435</v>
      </c>
      <c r="E59" s="86">
        <f>SUM(F55:I57)</f>
        <v>3.4753311014399998E-6</v>
      </c>
      <c r="F59" s="95" t="str">
        <f>$E$46</f>
        <v>t N2O</v>
      </c>
      <c r="N59" s="85" t="s">
        <v>435</v>
      </c>
      <c r="O59" s="86">
        <f>SUM(P55:S57)</f>
        <v>3.4753311014399998E-6</v>
      </c>
      <c r="P59" s="95" t="str">
        <f>$E$46</f>
        <v>t N2O</v>
      </c>
    </row>
    <row r="61" spans="1:20" ht="20.100000000000001" customHeight="1" x14ac:dyDescent="0.2">
      <c r="D61" s="126" t="str" cm="1">
        <f t="array" ref="D61:E62">Common_Equations.Common_ConvertN2OToCO2e_Arguments()</f>
        <v>EN2O</v>
      </c>
      <c r="E61" s="129" t="str">
        <v>Nitrous oxide emissions (t N2O)</v>
      </c>
      <c r="F61" s="130"/>
      <c r="G61" s="15">
        <f>VEERG_4_6_1_7__1_AnnualEmissionsFromLeachingAndRunoffFromMMS_Result_Method1</f>
        <v>3.4753311014399998E-6</v>
      </c>
      <c r="N61" s="126" t="str" cm="1">
        <f t="array" ref="N61:O62">Common_Equations.Common_ConvertN2OToCO2e_Arguments()</f>
        <v>EN2O</v>
      </c>
      <c r="O61" s="129" t="str">
        <v>Nitrous oxide emissions (t N2O)</v>
      </c>
      <c r="P61" s="130"/>
      <c r="Q61" s="15">
        <f>VEERG_4_6_1_7__1_AnnualEmissionsFromLeachingAndRunoffFromMMS_Result_Method2</f>
        <v>3.4753311014399998E-6</v>
      </c>
    </row>
    <row r="62" spans="1:20" ht="20.100000000000001" customHeight="1" x14ac:dyDescent="0.2">
      <c r="D62" s="126" t="str">
        <v>GWPN2O</v>
      </c>
      <c r="E62" s="129" t="str">
        <v>Global warming potential for nitrous oxide (t CO2-e / t N2O)</v>
      </c>
      <c r="F62" s="130"/>
      <c r="G62" s="15">
        <f>Common_InputFunctions.Utility_LookupValueInTableNumber("N2O", Table_GWPData[Gas],Table_GWPData[CO2-e factor])</f>
        <v>265</v>
      </c>
      <c r="N62" s="126" t="str">
        <v>GWPN2O</v>
      </c>
      <c r="O62" s="129" t="str">
        <v>Global warming potential for nitrous oxide (t CO2-e / t N2O)</v>
      </c>
      <c r="P62" s="130"/>
      <c r="Q62" s="15">
        <f>Common_InputFunctions.Utility_LookupValueInTableNumber("N2O", Table_GWPData[Gas],Table_GWPData[CO2-e factor])</f>
        <v>265</v>
      </c>
    </row>
    <row r="64" spans="1:20" ht="20.100000000000001" customHeight="1" x14ac:dyDescent="0.2">
      <c r="D64" s="83" t="s">
        <v>377</v>
      </c>
      <c r="E64" s="83" cm="1">
        <f t="array" ref="E64">Common_Equations.Common_ConvertN2OToCO2e(G61,G62)</f>
        <v>9.2096274188159999E-4</v>
      </c>
      <c r="F64" s="89" t="str" cm="1">
        <f t="array" ref="F64">Common_Equations.Common_ConvertN2OToCO2e_Unit()</f>
        <v>t CO2e</v>
      </c>
      <c r="N64" s="83" t="s">
        <v>377</v>
      </c>
      <c r="O64" s="83" cm="1">
        <f t="array" ref="O64">Common_Equations.Common_ConvertN2OToCO2e(Q61,Q62)</f>
        <v>9.2096274188159999E-4</v>
      </c>
      <c r="P64" s="89" t="str" cm="1">
        <f t="array" ref="P64">Common_Equations.Common_ConvertN2OToCO2e_Unit()</f>
        <v>t CO2e</v>
      </c>
    </row>
  </sheetData>
  <pageMargins left="0.7" right="0.7" top="0.75" bottom="0.75" header="0.3" footer="0.3"/>
  <pageSetup paperSize="9"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766FE-B849-4DB2-B090-E93AF1BE238D}">
  <sheetPr>
    <tabColor rgb="FF008000"/>
  </sheetPr>
  <dimension ref="A1:U205"/>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450</v>
      </c>
      <c r="L1"/>
    </row>
    <row r="2" spans="1:21" s="3" customFormat="1" ht="20.100000000000001" customHeight="1" x14ac:dyDescent="0.2">
      <c r="A2"/>
      <c r="L2"/>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MMS_Poultry_ManureAppliedToSoils_Equations.VEERG_4_6_1_9__1_MassOfNitrogenAppliedToSoilsScope1_Title()</f>
        <v>Mass of nitrogen applied to soils for scope 1 emissions</v>
      </c>
    </row>
    <row r="6" spans="1:21" ht="20.100000000000001" customHeight="1" x14ac:dyDescent="0.2">
      <c r="D6" s="17" t="str" cm="1">
        <f t="array" ref="D6">MMS_Poultry_ManureAppliedToSoils_Equations.VEERG_4_6_1_9__1_MassOfNitrogenAppliedToSoilsScope1_Source()</f>
        <v>VEERG 2026: 4.6.1.9, Equation (1)</v>
      </c>
    </row>
    <row r="7" spans="1:21" ht="20.100000000000001" customHeight="1" x14ac:dyDescent="0.2">
      <c r="D7" s="112" t="s">
        <v>328</v>
      </c>
      <c r="E7" s="112" t="str" cm="1">
        <f t="array" aca="1" ref="E7" ca="1">Common_InputFunctions.Utility_DisplayFunctionName(F105)</f>
        <v>=MMS_Poultry_ManureAppliedToSoils_Equations.VEERG_4_6_1_9__1_MassOfNitrogenAppliedToSoilsScope1</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MMS_Poultry_ManureAppliedToSoils_Equations.VEERG_4_6_1_9__1_MassOfNitrogenAppliedToSoilsScope1_Variable()</f>
        <v>MNSoil_scope1</v>
      </c>
    </row>
    <row r="11" spans="1:21" ht="20.100000000000001" customHeight="1" x14ac:dyDescent="0.2">
      <c r="A11" s="5" t="str">
        <f>HYPERLINK("#'Input - Poultry'!A1", "Poultry")</f>
        <v>Poultry</v>
      </c>
      <c r="D11" s="75" t="s">
        <v>118</v>
      </c>
      <c r="E11" s="9" t="str" cm="1">
        <f t="array" ref="E11">MMS_Poultry_ManureAppliedToSoils_Equations.VEERG_4_6_1_9__1_MassOfNitrogenAppliedToSoilsScope1_Unit()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7">_xlfn.CHOOSECOLS(MMS_Poultry_ManureAppliedToSoils_Equations.VEERG_4_6_1_9__1_MassOfNitrogenAppliedToSoilsScope1_Arguments(),1,2)</f>
        <v>MN_jmT2</v>
      </c>
      <c r="E13" s="122" t="str">
        <v>mass of N in secondary treatment stage as calculated for manure management</v>
      </c>
      <c r="F13" s="123"/>
      <c r="G13" s="113" t="str" cm="1">
        <f t="array" ref="G13:H17">_xlfn.CHOOSECOLS(MMS_Poultry_ManureAppliedToSoils_Equations.VEERG_4_6_1_9__1_MassOfNitrogenAppliedToSoilsScope1_Arguments(),3,4)</f>
        <v>kg N</v>
      </c>
      <c r="H13" s="115" t="str">
        <v>Calculated from 4.6.1.3 (6)</v>
      </c>
      <c r="I13" s="116" t="str" cm="1">
        <f t="array" aca="1" ref="I13" ca="1">HYPERLINK(Common_InputFunctions.Utility_SourceHyperlink($D$19),$D$19)</f>
        <v>M1_Table_MN_j_k_m_T-2</v>
      </c>
    </row>
    <row r="14" spans="1:21" ht="20.100000000000001" customHeight="1" x14ac:dyDescent="0.2">
      <c r="A14" s="5" t="str">
        <f>HYPERLINK("#'Input - Fuel'!A1", "Fuel")</f>
        <v>Fuel</v>
      </c>
      <c r="D14" s="113" t="str">
        <v>EF_mT2</v>
      </c>
      <c r="E14" s="122" t="str">
        <v>nitrous oxide emission factor for each MMS</v>
      </c>
      <c r="F14" s="123"/>
      <c r="G14" s="113" t="str">
        <v>kg N2O-N/kg N</v>
      </c>
      <c r="H14" s="115" t="str">
        <v>Constant</v>
      </c>
      <c r="I14" s="116" t="str" cm="1">
        <f t="array" aca="1" ref="I14" ca="1">HYPERLINK(Common_InputFunctions.Utility_SourceHyperlink($D$38),$D$38)</f>
        <v>Table_EF_m</v>
      </c>
    </row>
    <row r="15" spans="1:21" ht="20.100000000000001" customHeight="1" x14ac:dyDescent="0.2">
      <c r="A15" s="5" t="str">
        <f>HYPERLINK("#'Input - Electricity'!A1", "Electricity")</f>
        <v>Electricity</v>
      </c>
      <c r="D15" s="113" t="str">
        <v>FracGASM_mT2</v>
      </c>
      <c r="E15" s="122" t="str">
        <v>fraction of animal waste N volatilised in each MMS</v>
      </c>
      <c r="F15" s="123"/>
      <c r="G15" s="113" t="str">
        <v>(kg NH3-N + NOx-N)/kg N</v>
      </c>
      <c r="H15" s="115" t="str">
        <v>Constant</v>
      </c>
      <c r="I15" s="116" t="str" cm="1">
        <f t="array" aca="1" ref="I15" ca="1">HYPERLINK(Common_InputFunctions.Utility_SourceHyperlink($D$51),$D$51)</f>
        <v>Table_FracGASM_m_T</v>
      </c>
    </row>
    <row r="16" spans="1:21" ht="20.100000000000001" customHeight="1" x14ac:dyDescent="0.2">
      <c r="A16" s="5" t="str">
        <f>HYPERLINK("#'Input - Common farm inputs'!A1", "Common farm inputs")</f>
        <v>Common farm inputs</v>
      </c>
      <c r="D16" s="113" t="str">
        <v>MNLeach_MMS</v>
      </c>
      <c r="E16" s="122" t="str">
        <v>mass of N lost through leaching and runoff from MMS</v>
      </c>
      <c r="F16" s="123"/>
      <c r="G16" s="113" t="str">
        <v>kg N</v>
      </c>
      <c r="H16" s="115" t="str">
        <v>Calculated from 4.6.1.7 (2)</v>
      </c>
      <c r="I16" s="116" t="str" cm="1">
        <f t="array" aca="1" ref="I16" ca="1">HYPERLINK(Common_InputFunctions.Utility_SourceHyperlink($D$64),$D$64)</f>
        <v>M1_Table_MNLeach_MMS</v>
      </c>
    </row>
    <row r="17" spans="1:20" ht="20.100000000000001" customHeight="1" x14ac:dyDescent="0.2">
      <c r="A17" s="5" t="str">
        <f>HYPERLINK("#'Input - Livestock farm Inputs'!A1", "Livestock farm Inputs")</f>
        <v>Livestock farm Inputs</v>
      </c>
      <c r="D17" s="113" t="str">
        <v>PF</v>
      </c>
      <c r="E17" s="122" t="str">
        <v>fraction of manure applied to soil within the farm boundary</v>
      </c>
      <c r="F17" s="123"/>
      <c r="G17" s="113" t="str">
        <v>fraction</v>
      </c>
      <c r="H17" s="114" t="str">
        <v>Input</v>
      </c>
      <c r="I17" s="116" t="str" cm="1">
        <f t="array" aca="1" ref="I17" ca="1">HYPERLINK(Common_InputFunctions.Utility_SourceHyperlink($D$83),$D$83)</f>
        <v>Table_PF</v>
      </c>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118" t="s">
        <v>411</v>
      </c>
      <c r="N19" s="118" t="s">
        <v>412</v>
      </c>
    </row>
    <row r="20" spans="1:20" ht="20.100000000000001" customHeight="1" x14ac:dyDescent="0.2">
      <c r="A20" s="5" t="str">
        <f>HYPERLINK("#'Input - Manure sent off-site'!A1", "Manure sent off-site")</f>
        <v>Manure sent off-site</v>
      </c>
      <c r="D20" s="119" t="s">
        <v>413</v>
      </c>
      <c r="N20" s="119" t="s">
        <v>414</v>
      </c>
    </row>
    <row r="21" spans="1:20" ht="20.100000000000001" customHeight="1" x14ac:dyDescent="0.2">
      <c r="A21" s="5" t="str">
        <f>HYPERLINK("#'Input - Data quality'!A1", "Data quality")</f>
        <v>Data quality</v>
      </c>
      <c r="D21" s="120" t="s">
        <v>314</v>
      </c>
      <c r="E21" s="120" t="s">
        <v>318</v>
      </c>
      <c r="F21" s="120" t="s">
        <v>297</v>
      </c>
      <c r="G21" s="120" t="s">
        <v>298</v>
      </c>
      <c r="H21" s="120" t="s">
        <v>299</v>
      </c>
      <c r="I21" s="120" t="s">
        <v>300</v>
      </c>
      <c r="N21" s="120" t="s">
        <v>314</v>
      </c>
      <c r="O21" s="120" t="s">
        <v>318</v>
      </c>
      <c r="P21" s="120" t="s">
        <v>297</v>
      </c>
      <c r="Q21" s="120" t="s">
        <v>298</v>
      </c>
      <c r="R21" s="120" t="s">
        <v>299</v>
      </c>
      <c r="S21" s="120" t="s">
        <v>300</v>
      </c>
    </row>
    <row r="22" spans="1:20" ht="20.100000000000001" customHeight="1" x14ac:dyDescent="0.2">
      <c r="A22" s="5" t="str">
        <f>HYPERLINK("#'Input - Fert Prod System'!A1", "Fert Prod System")</f>
        <v>Fert Prod System</v>
      </c>
      <c r="D22" s="15" t="str">
        <f>INDEX(X_Table_Poultry_Stage1MMS,2,1)</f>
        <v>Poultry manure with bedding</v>
      </c>
      <c r="E22" s="15" t="str">
        <f>INDEX(X_Table_Poultry_Stage2MMS_PoultryManureWithBedding,2,1)</f>
        <v>Solid storage</v>
      </c>
      <c r="F22" s="15">
        <f>INDEX(M1_Table_MN_j_k_m_T2,2,3)</f>
        <v>0.71271158400000012</v>
      </c>
      <c r="G22" s="15">
        <f>INDEX(M1_Table_MN_j_k_m_T2,2,4)</f>
        <v>0.76073791680000002</v>
      </c>
      <c r="H22" s="15">
        <f>INDEX(M1_Table_MN_j_k_m_T2,2,5)</f>
        <v>0.89299319039999991</v>
      </c>
      <c r="I22" s="15">
        <f>INDEX(M1_Table_MN_j_k_m_T2,2,6)</f>
        <v>0.76073791680000002</v>
      </c>
      <c r="J22" s="16" t="str">
        <f>$G$13</f>
        <v>kg N</v>
      </c>
      <c r="N22" s="15" t="str">
        <f>INDEX(X_Table_Poultry_Stage1MMS,2,1)</f>
        <v>Poultry manure with bedding</v>
      </c>
      <c r="O22" s="15" t="str">
        <f>INDEX(X_Table_Poultry_Stage2MMS_PoultryManureWithBedding,2,1)</f>
        <v>Solid storage</v>
      </c>
      <c r="P22" s="15">
        <f>INDEX(M2_Table_MN_j_k_m_T2,2,3)</f>
        <v>0.71271158400000012</v>
      </c>
      <c r="Q22" s="15">
        <f>INDEX(M2_Table_MN_j_k_m_T2,2,4)</f>
        <v>0.76073791680000002</v>
      </c>
      <c r="R22" s="15">
        <f>INDEX(M2_Table_MN_j_k_m_T2,2,5)</f>
        <v>0.89299319039999991</v>
      </c>
      <c r="S22" s="15">
        <f>INDEX(M2_Table_MN_j_k_m_T2,2,6)</f>
        <v>0.76073791680000002</v>
      </c>
      <c r="T22" s="16" t="str">
        <f>$G$13</f>
        <v>kg N</v>
      </c>
    </row>
    <row r="23" spans="1:20" ht="20.100000000000001" customHeight="1" x14ac:dyDescent="0.2">
      <c r="A23" s="5" t="str">
        <f>HYPERLINK("#'Input - Fertiliser'!A1", "Fertiliser")</f>
        <v>Fertiliser</v>
      </c>
      <c r="D23" s="15"/>
      <c r="E23" s="15" t="str">
        <f>INDEX(X_Table_Poultry_Stage2MMS_PoultryManureWithBedding,3,1)</f>
        <v>Composting (passive windrow)</v>
      </c>
      <c r="F23" s="15">
        <f>'4.6.1.3-4 Direct N20'!F190</f>
        <v>0.71271158400000012</v>
      </c>
      <c r="G23" s="15">
        <f>'4.6.1.3-4 Direct N20'!G190</f>
        <v>0.76073791680000002</v>
      </c>
      <c r="H23" s="15">
        <f>'4.6.1.3-4 Direct N20'!H190</f>
        <v>0.89299319039999991</v>
      </c>
      <c r="I23" s="15">
        <f>'4.6.1.3-4 Direct N20'!I190</f>
        <v>0.76073791680000002</v>
      </c>
      <c r="J23" s="16"/>
      <c r="N23" s="15"/>
      <c r="O23" s="15" t="str">
        <f>INDEX(X_Table_Poultry_Stage2MMS_PoultryManureWithBedding,3,1)</f>
        <v>Composting (passive windrow)</v>
      </c>
      <c r="P23" s="15">
        <f>'4.6.1.3-4 Direct N20'!P190</f>
        <v>0.71271158400000012</v>
      </c>
      <c r="Q23" s="15">
        <f>'4.6.1.3-4 Direct N20'!Q190</f>
        <v>0.76073791680000002</v>
      </c>
      <c r="R23" s="15">
        <f>'4.6.1.3-4 Direct N20'!R190</f>
        <v>0.89299319039999991</v>
      </c>
      <c r="S23" s="15">
        <f>'4.6.1.3-4 Direct N20'!S190</f>
        <v>0.76073791680000002</v>
      </c>
      <c r="T23" s="16"/>
    </row>
    <row r="24" spans="1:20" ht="20.100000000000001" customHeight="1" x14ac:dyDescent="0.2">
      <c r="D24" s="15"/>
      <c r="E24" s="15" t="str">
        <f>INDEX(X_Table_Poultry_Stage2MMS_PoultryManureWithBedding,4,1)</f>
        <v>Digester / covered lagoons</v>
      </c>
      <c r="F24" s="15">
        <f>'4.6.1.3-4 Direct N20'!F191</f>
        <v>0.71271158400000012</v>
      </c>
      <c r="G24" s="15">
        <f>'4.6.1.3-4 Direct N20'!G191</f>
        <v>0.76073791680000002</v>
      </c>
      <c r="H24" s="15">
        <f>'4.6.1.3-4 Direct N20'!H191</f>
        <v>0.89299319039999991</v>
      </c>
      <c r="I24" s="15">
        <f>'4.6.1.3-4 Direct N20'!I191</f>
        <v>0.76073791680000002</v>
      </c>
      <c r="J24" s="16"/>
      <c r="N24" s="15"/>
      <c r="O24" s="15" t="str">
        <f>INDEX(X_Table_Poultry_Stage2MMS_PoultryManureWithBedding,4,1)</f>
        <v>Digester / covered lagoons</v>
      </c>
      <c r="P24" s="15">
        <f>'4.6.1.3-4 Direct N20'!P191</f>
        <v>0.71271158400000012</v>
      </c>
      <c r="Q24" s="15">
        <f>'4.6.1.3-4 Direct N20'!Q191</f>
        <v>0.76073791680000002</v>
      </c>
      <c r="R24" s="15">
        <f>'4.6.1.3-4 Direct N20'!R191</f>
        <v>0.89299319039999991</v>
      </c>
      <c r="S24" s="15">
        <f>'4.6.1.3-4 Direct N20'!S191</f>
        <v>0.76073791680000002</v>
      </c>
      <c r="T24" s="16"/>
    </row>
    <row r="25" spans="1:20" ht="20.100000000000001" customHeight="1" x14ac:dyDescent="0.2">
      <c r="D25" s="15"/>
      <c r="E25" s="15" t="str">
        <f>INDEX(X_Table_Poultry_Stage2MMS_PoultryManureWithBedding,5,1)</f>
        <v>Direct processing</v>
      </c>
      <c r="F25" s="15">
        <f>'4.6.1.3-4 Direct N20'!F192</f>
        <v>0.71271158400000012</v>
      </c>
      <c r="G25" s="15">
        <f>'4.6.1.3-4 Direct N20'!G192</f>
        <v>0.76073791680000002</v>
      </c>
      <c r="H25" s="15">
        <f>'4.6.1.3-4 Direct N20'!H192</f>
        <v>0.89299319039999991</v>
      </c>
      <c r="I25" s="15">
        <f>'4.6.1.3-4 Direct N20'!I192</f>
        <v>0.76073791680000002</v>
      </c>
      <c r="J25" s="16"/>
      <c r="N25" s="15"/>
      <c r="O25" s="15" t="str">
        <f>INDEX(X_Table_Poultry_Stage2MMS_PoultryManureWithBedding,5,1)</f>
        <v>Direct processing</v>
      </c>
      <c r="P25" s="15">
        <f>'4.6.1.3-4 Direct N20'!P192</f>
        <v>0.71271158400000012</v>
      </c>
      <c r="Q25" s="15">
        <f>'4.6.1.3-4 Direct N20'!Q192</f>
        <v>0.76073791680000002</v>
      </c>
      <c r="R25" s="15">
        <f>'4.6.1.3-4 Direct N20'!R192</f>
        <v>0.89299319039999991</v>
      </c>
      <c r="S25" s="15">
        <f>'4.6.1.3-4 Direct N20'!S192</f>
        <v>0.76073791680000002</v>
      </c>
      <c r="T25" s="16"/>
    </row>
    <row r="26" spans="1:20" ht="20.100000000000001" customHeight="1" x14ac:dyDescent="0.2">
      <c r="A26" s="6" t="s">
        <v>2</v>
      </c>
      <c r="D26" s="15"/>
      <c r="E26" s="15" t="str">
        <f>INDEX(X_Table_Poultry_Stage2MMS_PoultryManureWithBedding,6,1)</f>
        <v>Direct application</v>
      </c>
      <c r="F26" s="15">
        <f>'4.6.1.3-4 Direct N20'!F193</f>
        <v>0.7127115839999999</v>
      </c>
      <c r="G26" s="15">
        <f>'4.6.1.3-4 Direct N20'!G193</f>
        <v>0.7607379167999998</v>
      </c>
      <c r="H26" s="15">
        <f>'4.6.1.3-4 Direct N20'!H193</f>
        <v>0.89299319039999958</v>
      </c>
      <c r="I26" s="15">
        <f>'4.6.1.3-4 Direct N20'!I193</f>
        <v>0.7607379167999998</v>
      </c>
      <c r="N26" s="15"/>
      <c r="O26" s="15" t="str">
        <f>INDEX(X_Table_Poultry_Stage2MMS_PoultryManureWithBedding,6,1)</f>
        <v>Direct application</v>
      </c>
      <c r="P26" s="15">
        <f>'4.6.1.3-4 Direct N20'!P193</f>
        <v>0.7127115839999999</v>
      </c>
      <c r="Q26" s="15">
        <f>'4.6.1.3-4 Direct N20'!Q193</f>
        <v>0.7607379167999998</v>
      </c>
      <c r="R26" s="15">
        <f>'4.6.1.3-4 Direct N20'!R193</f>
        <v>0.89299319039999958</v>
      </c>
      <c r="S26" s="15">
        <f>'4.6.1.3-4 Direct N20'!S193</f>
        <v>0.7607379167999998</v>
      </c>
    </row>
    <row r="27" spans="1:20" ht="20.100000000000001" customHeight="1" x14ac:dyDescent="0.2">
      <c r="A27" s="5" t="str">
        <f>HYPERLINK("#'4.6.1.1-2 Methane'!A1", "4.6.1.1-2 Manure Methane")</f>
        <v>4.6.1.1-2 Manure Methane</v>
      </c>
      <c r="D27" s="15" t="str">
        <f>INDEX(X_Table_Poultry_Stage1MMS,3,1)</f>
        <v>Belt manure removal</v>
      </c>
      <c r="E27" s="15" t="str">
        <f>INDEX(X_Table_Poultry_Stage2MMS_BeltManureRemoval,2,1)</f>
        <v>Solid storage</v>
      </c>
      <c r="F27" s="15">
        <f>'4.6.1.3-4 Direct N20'!F194</f>
        <v>0.96761558400000025</v>
      </c>
      <c r="G27" s="15">
        <f>'4.6.1.3-4 Direct N20'!G194</f>
        <v>1.0328187168</v>
      </c>
      <c r="H27" s="15">
        <f>'4.6.1.3-4 Direct N20'!H194</f>
        <v>1.2123755904</v>
      </c>
      <c r="I27" s="15">
        <f>'4.6.1.3-4 Direct N20'!I194</f>
        <v>1.0328187168</v>
      </c>
      <c r="J27" s="16"/>
      <c r="N27" s="15" t="str">
        <f>INDEX(X_Table_Poultry_Stage1MMS,3,1)</f>
        <v>Belt manure removal</v>
      </c>
      <c r="O27" s="15" t="str">
        <f>INDEX(X_Table_Poultry_Stage2MMS_BeltManureRemoval,2,1)</f>
        <v>Solid storage</v>
      </c>
      <c r="P27" s="15">
        <f>'4.6.1.3-4 Direct N20'!P194</f>
        <v>0.96761558400000025</v>
      </c>
      <c r="Q27" s="15">
        <f>'4.6.1.3-4 Direct N20'!Q194</f>
        <v>1.0328187168</v>
      </c>
      <c r="R27" s="15">
        <f>'4.6.1.3-4 Direct N20'!R194</f>
        <v>1.2123755904</v>
      </c>
      <c r="S27" s="15">
        <f>'4.6.1.3-4 Direct N20'!S194</f>
        <v>1.0328187168</v>
      </c>
      <c r="T27" s="16"/>
    </row>
    <row r="28" spans="1:20" ht="20.100000000000001" customHeight="1" x14ac:dyDescent="0.2">
      <c r="A28" s="5" t="str">
        <f>HYPERLINK("#'4.6.1.3-4 Direct N20'!A1", "4.6.1.3-4 Manure Direct N2O")</f>
        <v>4.6.1.3-4 Manure Direct N2O</v>
      </c>
      <c r="D28" s="15"/>
      <c r="E28" s="15" t="str">
        <f>INDEX(X_Table_Poultry_Stage2MMS_BeltManureRemoval,3,1)</f>
        <v>Composting (passive windrow)</v>
      </c>
      <c r="F28" s="15">
        <f>'4.6.1.3-4 Direct N20'!F195</f>
        <v>0.96761558400000025</v>
      </c>
      <c r="G28" s="15">
        <f>'4.6.1.3-4 Direct N20'!G195</f>
        <v>1.0328187168</v>
      </c>
      <c r="H28" s="15">
        <f>'4.6.1.3-4 Direct N20'!H195</f>
        <v>1.2123755904</v>
      </c>
      <c r="I28" s="15">
        <f>'4.6.1.3-4 Direct N20'!I195</f>
        <v>1.0328187168</v>
      </c>
      <c r="J28" s="16"/>
      <c r="N28" s="15"/>
      <c r="O28" s="15" t="str">
        <f>INDEX(X_Table_Poultry_Stage2MMS_BeltManureRemoval,3,1)</f>
        <v>Composting (passive windrow)</v>
      </c>
      <c r="P28" s="15">
        <f>'4.6.1.3-4 Direct N20'!P195</f>
        <v>0.96761558400000025</v>
      </c>
      <c r="Q28" s="15">
        <f>'4.6.1.3-4 Direct N20'!Q195</f>
        <v>1.0328187168</v>
      </c>
      <c r="R28" s="15">
        <f>'4.6.1.3-4 Direct N20'!R195</f>
        <v>1.2123755904</v>
      </c>
      <c r="S28" s="15">
        <f>'4.6.1.3-4 Direct N20'!S195</f>
        <v>1.0328187168</v>
      </c>
      <c r="T28" s="16"/>
    </row>
    <row r="29" spans="1:20" ht="20.100000000000001" customHeight="1" x14ac:dyDescent="0.2">
      <c r="A29" s="5" t="str">
        <f>HYPERLINK("#'4.6.1.5-6 Atmos Dep'!A1", "4.6.1.5-6 Manure Atmos Dep")</f>
        <v>4.6.1.5-6 Manure Atmos Dep</v>
      </c>
      <c r="D29" s="15"/>
      <c r="E29" s="15" t="str">
        <f>INDEX(X_Table_Poultry_Stage2MMS_BeltManureRemoval,4,1)</f>
        <v>Digester / covered lagoons</v>
      </c>
      <c r="F29" s="15">
        <f>'4.6.1.3-4 Direct N20'!F196</f>
        <v>0.96761558400000025</v>
      </c>
      <c r="G29" s="15">
        <f>'4.6.1.3-4 Direct N20'!G196</f>
        <v>1.0328187168</v>
      </c>
      <c r="H29" s="15">
        <f>'4.6.1.3-4 Direct N20'!H196</f>
        <v>1.2123755904</v>
      </c>
      <c r="I29" s="15">
        <f>'4.6.1.3-4 Direct N20'!I196</f>
        <v>1.0328187168</v>
      </c>
      <c r="J29" s="16"/>
      <c r="N29" s="15"/>
      <c r="O29" s="15" t="str">
        <f>INDEX(X_Table_Poultry_Stage2MMS_BeltManureRemoval,4,1)</f>
        <v>Digester / covered lagoons</v>
      </c>
      <c r="P29" s="15">
        <f>'4.6.1.3-4 Direct N20'!P196</f>
        <v>0.96761558400000025</v>
      </c>
      <c r="Q29" s="15">
        <f>'4.6.1.3-4 Direct N20'!Q196</f>
        <v>1.0328187168</v>
      </c>
      <c r="R29" s="15">
        <f>'4.6.1.3-4 Direct N20'!R196</f>
        <v>1.2123755904</v>
      </c>
      <c r="S29" s="15">
        <f>'4.6.1.3-4 Direct N20'!S196</f>
        <v>1.0328187168</v>
      </c>
      <c r="T29" s="16"/>
    </row>
    <row r="30" spans="1:20" ht="20.100000000000001" customHeight="1" x14ac:dyDescent="0.2">
      <c r="A30" s="5" t="str">
        <f>HYPERLINK("#'4.6.1.7-8 Leaching and runoff'!A1", "4.6.1.7-8 Manure Leaching and runoff")</f>
        <v>4.6.1.7-8 Manure Leaching and runoff</v>
      </c>
      <c r="D30" s="15"/>
      <c r="E30" s="15" t="str">
        <f>INDEX(X_Table_Poultry_Stage2MMS_BeltManureRemoval,5,1)</f>
        <v>Direct processing</v>
      </c>
      <c r="F30" s="15">
        <f>'4.6.1.3-4 Direct N20'!F197</f>
        <v>0.96761558400000025</v>
      </c>
      <c r="G30" s="15">
        <f>'4.6.1.3-4 Direct N20'!G197</f>
        <v>1.0328187168</v>
      </c>
      <c r="H30" s="15">
        <f>'4.6.1.3-4 Direct N20'!H197</f>
        <v>1.2123755904</v>
      </c>
      <c r="I30" s="15">
        <f>'4.6.1.3-4 Direct N20'!I197</f>
        <v>1.0328187168</v>
      </c>
      <c r="J30" s="16"/>
      <c r="N30" s="15"/>
      <c r="O30" s="15" t="str">
        <f>INDEX(X_Table_Poultry_Stage2MMS_BeltManureRemoval,5,1)</f>
        <v>Direct processing</v>
      </c>
      <c r="P30" s="15">
        <f>'4.6.1.3-4 Direct N20'!P197</f>
        <v>0.96761558400000025</v>
      </c>
      <c r="Q30" s="15">
        <f>'4.6.1.3-4 Direct N20'!Q197</f>
        <v>1.0328187168</v>
      </c>
      <c r="R30" s="15">
        <f>'4.6.1.3-4 Direct N20'!R197</f>
        <v>1.2123755904</v>
      </c>
      <c r="S30" s="15">
        <f>'4.6.1.3-4 Direct N20'!S197</f>
        <v>1.0328187168</v>
      </c>
      <c r="T30" s="16"/>
    </row>
    <row r="31" spans="1:20" ht="20.100000000000001" customHeight="1" x14ac:dyDescent="0.2">
      <c r="A31" s="117" t="str">
        <f>HYPERLINK("#'4.6.1.9 Manure applied to soils'!A1", "4.6.1.9 Manure applied to soils")</f>
        <v>4.6.1.9 Manure applied to soils</v>
      </c>
      <c r="D31" s="15"/>
      <c r="E31" s="15" t="str">
        <f>INDEX(X_Table_Poultry_Stage2MMS_BeltManureRemoval,6,1)</f>
        <v>Direct application</v>
      </c>
      <c r="F31" s="15">
        <f>'4.6.1.3-4 Direct N20'!F198</f>
        <v>0.96761558399999992</v>
      </c>
      <c r="G31" s="15">
        <f>'4.6.1.3-4 Direct N20'!G198</f>
        <v>1.0328187167999998</v>
      </c>
      <c r="H31" s="15">
        <f>'4.6.1.3-4 Direct N20'!H198</f>
        <v>1.2123755903999998</v>
      </c>
      <c r="I31" s="15">
        <f>'4.6.1.3-4 Direct N20'!I198</f>
        <v>1.0328187167999998</v>
      </c>
      <c r="N31" s="15"/>
      <c r="O31" s="15" t="str">
        <f>INDEX(X_Table_Poultry_Stage2MMS_BeltManureRemoval,6,1)</f>
        <v>Direct application</v>
      </c>
      <c r="P31" s="15">
        <f>'4.6.1.3-4 Direct N20'!P198</f>
        <v>0.96761558399999992</v>
      </c>
      <c r="Q31" s="15">
        <f>'4.6.1.3-4 Direct N20'!Q198</f>
        <v>1.0328187167999998</v>
      </c>
      <c r="R31" s="15">
        <f>'4.6.1.3-4 Direct N20'!R198</f>
        <v>1.2123755903999998</v>
      </c>
      <c r="S31" s="15">
        <f>'4.6.1.3-4 Direct N20'!S198</f>
        <v>1.0328187167999998</v>
      </c>
    </row>
    <row r="32" spans="1:20" ht="20.100000000000001" customHeight="1" x14ac:dyDescent="0.2">
      <c r="A32" s="5" t="str">
        <f>HYPERLINK("#'4.6.1.10-11 Soil direct N2O'!A1", "4.6.1.10-11 Soil direct N2O")</f>
        <v>4.6.1.10-11 Soil direct N2O</v>
      </c>
      <c r="D32" s="15" t="str">
        <f>INDEX(X_Table_Poultry_Stage1MMS,4,1)</f>
        <v>Manure stored in house</v>
      </c>
      <c r="E32" s="15" t="str">
        <f>INDEX(X_Table_Poultry_Stage2MMS_ManureStoredInHouse,2,1)</f>
        <v>Solid storage</v>
      </c>
      <c r="F32" s="15">
        <f>'4.6.1.3-4 Direct N20'!F199</f>
        <v>0.61074998400000013</v>
      </c>
      <c r="G32" s="15">
        <f>'4.6.1.3-4 Direct N20'!G199</f>
        <v>0.65190559679999993</v>
      </c>
      <c r="H32" s="15">
        <f>'4.6.1.3-4 Direct N20'!H199</f>
        <v>0.76524023039999989</v>
      </c>
      <c r="I32" s="15">
        <f>'4.6.1.3-4 Direct N20'!I199</f>
        <v>0.65190559679999993</v>
      </c>
      <c r="J32" s="16"/>
      <c r="N32" s="15" t="str">
        <f>INDEX(X_Table_Poultry_Stage1MMS,4,1)</f>
        <v>Manure stored in house</v>
      </c>
      <c r="O32" s="15" t="str">
        <f>INDEX(X_Table_Poultry_Stage2MMS_ManureStoredInHouse,2,1)</f>
        <v>Solid storage</v>
      </c>
      <c r="P32" s="15">
        <f>'4.6.1.3-4 Direct N20'!P199</f>
        <v>0.61074998400000013</v>
      </c>
      <c r="Q32" s="15">
        <f>'4.6.1.3-4 Direct N20'!Q199</f>
        <v>0.65190559679999993</v>
      </c>
      <c r="R32" s="15">
        <f>'4.6.1.3-4 Direct N20'!R199</f>
        <v>0.76524023039999989</v>
      </c>
      <c r="S32" s="15">
        <f>'4.6.1.3-4 Direct N20'!S199</f>
        <v>0.65190559679999993</v>
      </c>
      <c r="T32" s="16"/>
    </row>
    <row r="33" spans="1:20" ht="20.100000000000001" customHeight="1" x14ac:dyDescent="0.2">
      <c r="A33" s="5" t="str">
        <f>HYPERLINK("#'4.6.1.12-13 Soil atmos dep'!A1", "4.6.1.12-13 Soil atmos dep")</f>
        <v>4.6.1.12-13 Soil atmos dep</v>
      </c>
      <c r="D33" s="15"/>
      <c r="E33" s="15" t="str">
        <f>INDEX(X_Table_Poultry_Stage2MMS_ManureStoredInHouse,3,1)</f>
        <v>Composting (passive windrow)</v>
      </c>
      <c r="F33" s="15">
        <f>'4.6.1.3-4 Direct N20'!F200</f>
        <v>0.61074998400000013</v>
      </c>
      <c r="G33" s="15">
        <f>'4.6.1.3-4 Direct N20'!G200</f>
        <v>0.65190559679999993</v>
      </c>
      <c r="H33" s="15">
        <f>'4.6.1.3-4 Direct N20'!H200</f>
        <v>0.76524023039999989</v>
      </c>
      <c r="I33" s="15">
        <f>'4.6.1.3-4 Direct N20'!I200</f>
        <v>0.65190559679999993</v>
      </c>
      <c r="J33" s="16"/>
      <c r="N33" s="15"/>
      <c r="O33" s="15" t="str">
        <f>INDEX(X_Table_Poultry_Stage2MMS_ManureStoredInHouse,3,1)</f>
        <v>Composting (passive windrow)</v>
      </c>
      <c r="P33" s="15">
        <f>'4.6.1.3-4 Direct N20'!P200</f>
        <v>0.61074998400000013</v>
      </c>
      <c r="Q33" s="15">
        <f>'4.6.1.3-4 Direct N20'!Q200</f>
        <v>0.65190559679999993</v>
      </c>
      <c r="R33" s="15">
        <f>'4.6.1.3-4 Direct N20'!R200</f>
        <v>0.76524023039999989</v>
      </c>
      <c r="S33" s="15">
        <f>'4.6.1.3-4 Direct N20'!S200</f>
        <v>0.65190559679999993</v>
      </c>
      <c r="T33" s="16"/>
    </row>
    <row r="34" spans="1:20" ht="20.100000000000001" customHeight="1" x14ac:dyDescent="0.2">
      <c r="A34" s="5" t="str">
        <f>HYPERLINK("#'4.6.1.14-15 Soil leach runoff'!A1", "4.6.1.14-15 Soil leach runoff")</f>
        <v>4.6.1.14-15 Soil leach runoff</v>
      </c>
      <c r="D34" s="15"/>
      <c r="E34" s="15" t="str">
        <f>INDEX(X_Table_Poultry_Stage2MMS_ManureStoredInHouse,4,1)</f>
        <v>Digester / covered lagoons</v>
      </c>
      <c r="F34" s="15">
        <f>'4.6.1.3-4 Direct N20'!F201</f>
        <v>0.61074998400000013</v>
      </c>
      <c r="G34" s="15">
        <f>'4.6.1.3-4 Direct N20'!G201</f>
        <v>0.65190559679999993</v>
      </c>
      <c r="H34" s="15">
        <f>'4.6.1.3-4 Direct N20'!H201</f>
        <v>0.76524023039999989</v>
      </c>
      <c r="I34" s="15">
        <f>'4.6.1.3-4 Direct N20'!I201</f>
        <v>0.65190559679999993</v>
      </c>
      <c r="J34" s="16"/>
      <c r="N34" s="15"/>
      <c r="O34" s="15" t="str">
        <f>INDEX(X_Table_Poultry_Stage2MMS_ManureStoredInHouse,4,1)</f>
        <v>Digester / covered lagoons</v>
      </c>
      <c r="P34" s="15">
        <f>'4.6.1.3-4 Direct N20'!P201</f>
        <v>0.61074998400000013</v>
      </c>
      <c r="Q34" s="15">
        <f>'4.6.1.3-4 Direct N20'!Q201</f>
        <v>0.65190559679999993</v>
      </c>
      <c r="R34" s="15">
        <f>'4.6.1.3-4 Direct N20'!R201</f>
        <v>0.76524023039999989</v>
      </c>
      <c r="S34" s="15">
        <f>'4.6.1.3-4 Direct N20'!S201</f>
        <v>0.65190559679999993</v>
      </c>
      <c r="T34" s="16"/>
    </row>
    <row r="35" spans="1:20" ht="20.100000000000001" customHeight="1" x14ac:dyDescent="0.2">
      <c r="A35" s="5" t="str">
        <f>HYPERLINK("#'8.1.1.1-2 Transport fuel'!A1", "8.1.1.1-2 Transport fuel")</f>
        <v>8.1.1.1-2 Transport fuel</v>
      </c>
      <c r="D35" s="15"/>
      <c r="E35" s="15" t="str">
        <f>INDEX(X_Table_Poultry_Stage2MMS_ManureStoredInHouse,5,1)</f>
        <v>Direct processing</v>
      </c>
      <c r="F35" s="15">
        <f>'4.6.1.3-4 Direct N20'!F202</f>
        <v>0.61074998400000013</v>
      </c>
      <c r="G35" s="15">
        <f>'4.6.1.3-4 Direct N20'!G202</f>
        <v>0.65190559679999993</v>
      </c>
      <c r="H35" s="15">
        <f>'4.6.1.3-4 Direct N20'!H202</f>
        <v>0.76524023039999989</v>
      </c>
      <c r="I35" s="15">
        <f>'4.6.1.3-4 Direct N20'!I202</f>
        <v>0.65190559679999993</v>
      </c>
      <c r="J35" s="16"/>
      <c r="N35" s="15"/>
      <c r="O35" s="15" t="str">
        <f>INDEX(X_Table_Poultry_Stage2MMS_ManureStoredInHouse,5,1)</f>
        <v>Direct processing</v>
      </c>
      <c r="P35" s="15">
        <f>'4.6.1.3-4 Direct N20'!P202</f>
        <v>0.61074998400000013</v>
      </c>
      <c r="Q35" s="15">
        <f>'4.6.1.3-4 Direct N20'!Q202</f>
        <v>0.65190559679999993</v>
      </c>
      <c r="R35" s="15">
        <f>'4.6.1.3-4 Direct N20'!R202</f>
        <v>0.76524023039999989</v>
      </c>
      <c r="S35" s="15">
        <f>'4.6.1.3-4 Direct N20'!S202</f>
        <v>0.65190559679999993</v>
      </c>
      <c r="T35" s="16"/>
    </row>
    <row r="36" spans="1:20" ht="20.100000000000001" customHeight="1" x14ac:dyDescent="0.2">
      <c r="A36" s="5" t="str">
        <f>HYPERLINK("#'8.2.1.1-2 Stationary fuel'!A1", "8.2.1.1-2 Stationary fuel")</f>
        <v>8.2.1.1-2 Stationary fuel</v>
      </c>
      <c r="D36" s="15"/>
      <c r="E36" s="15" t="str">
        <f>INDEX(X_Table_Poultry_Stage2MMS_ManureStoredInHouse,6,1)</f>
        <v>Direct application</v>
      </c>
      <c r="F36" s="15">
        <f>'4.6.1.3-4 Direct N20'!F203</f>
        <v>0.61074998399999991</v>
      </c>
      <c r="G36" s="15">
        <f>'4.6.1.3-4 Direct N20'!G203</f>
        <v>0.65190559679999971</v>
      </c>
      <c r="H36" s="15">
        <f>'4.6.1.3-4 Direct N20'!H203</f>
        <v>0.76524023039999967</v>
      </c>
      <c r="I36" s="15">
        <f>'4.6.1.3-4 Direct N20'!I203</f>
        <v>0.65190559679999971</v>
      </c>
      <c r="N36" s="15"/>
      <c r="O36" s="15" t="str">
        <f>INDEX(X_Table_Poultry_Stage2MMS_ManureStoredInHouse,6,1)</f>
        <v>Direct application</v>
      </c>
      <c r="P36" s="15">
        <f>'4.6.1.3-4 Direct N20'!P203</f>
        <v>0.61074998399999991</v>
      </c>
      <c r="Q36" s="15">
        <f>'4.6.1.3-4 Direct N20'!Q203</f>
        <v>0.65190559679999971</v>
      </c>
      <c r="R36" s="15">
        <f>'4.6.1.3-4 Direct N20'!R203</f>
        <v>0.76524023039999967</v>
      </c>
      <c r="S36" s="15">
        <f>'4.6.1.3-4 Direct N20'!S203</f>
        <v>0.65190559679999971</v>
      </c>
    </row>
    <row r="37" spans="1:20" ht="20.100000000000001" customHeight="1" x14ac:dyDescent="0.2">
      <c r="A37" s="5" t="str">
        <f>HYPERLINK("#'10.1.1-2 Solid waste treatment'!A1", "10.1.1.1-2 Solid waste")</f>
        <v>10.1.1.1-2 Solid waste</v>
      </c>
    </row>
    <row r="38" spans="1:20" ht="20.100000000000001" customHeight="1" x14ac:dyDescent="0.2">
      <c r="A38" s="5" t="str">
        <f>HYPERLINK("#'14.1.1-2 Purchased electricity'!A1", "14.1.1-2 Purchased electricity")</f>
        <v>14.1.1-2 Purchased electricity</v>
      </c>
      <c r="D38" s="118" t="s">
        <v>404</v>
      </c>
    </row>
    <row r="39" spans="1:20" ht="20.100000000000001" customHeight="1" x14ac:dyDescent="0.2">
      <c r="A39" s="5" t="str">
        <f>HYPERLINK("#'15 Scope 3'!A1", "15 Scope 3")</f>
        <v>15 Scope 3</v>
      </c>
      <c r="D39" s="119" t="s">
        <v>405</v>
      </c>
    </row>
    <row r="40" spans="1:20" ht="20.100000000000001" customHeight="1" x14ac:dyDescent="0.2">
      <c r="A40" s="5" t="str">
        <f>HYPERLINK("#'Calcs - Manure sent off-site'!A1", "Calcs - Manure sent off-site")</f>
        <v>Calcs - Manure sent off-site</v>
      </c>
      <c r="D40" s="120" t="s">
        <v>314</v>
      </c>
      <c r="E40" s="120" t="s">
        <v>406</v>
      </c>
    </row>
    <row r="41" spans="1:20" ht="20.100000000000001" customHeight="1" x14ac:dyDescent="0.2">
      <c r="A41" s="5" t="str">
        <f>HYPERLINK("#'5.1.1.1-2 Inorganic fert N2O'!A1", "5.1.1.1-2 Inorganic fert N2O")</f>
        <v>5.1.1.1-2 Inorganic fert N2O</v>
      </c>
      <c r="D41" s="15" t="str">
        <f>'Constants - Poultry'!$D$29</f>
        <v>Poultry manure with bedding</v>
      </c>
      <c r="E41" s="15" cm="1">
        <f t="array" ref="E41">Common_InputFunctions.Utility_LookupValueInTableNumber(D41, Table_SourceData_Poultry_EFmT[NIR reference],Table_SourceData_Poultry_EFmT[EFmT])</f>
        <v>1E-3</v>
      </c>
      <c r="F41" s="16" t="str">
        <f>$G$14</f>
        <v>kg N2O-N/kg N</v>
      </c>
    </row>
    <row r="42" spans="1:20" ht="20.100000000000001" customHeight="1" x14ac:dyDescent="0.2">
      <c r="A42" s="5" t="str">
        <f>HYPERLINK("#'5.1.1.3-4 Inorganic fert CO2'!A1", "5.1.1.3-4 Inorganic fert CO2")</f>
        <v>5.1.1.3-4 Inorganic fert CO2</v>
      </c>
      <c r="D42" s="15" t="str">
        <f>'Constants - Poultry'!$D$30</f>
        <v>Belt manure removal</v>
      </c>
      <c r="E42" s="15" cm="1">
        <f t="array" ref="E42">Common_InputFunctions.Utility_LookupValueInTableNumber(D42, Table_SourceData_Poultry_EFmT[NIR reference],Table_SourceData_Poultry_EFmT[EFmT])</f>
        <v>1E-3</v>
      </c>
    </row>
    <row r="43" spans="1:20" ht="20.100000000000001" customHeight="1" x14ac:dyDescent="0.2">
      <c r="A43" s="5" t="str">
        <f>HYPERLINK("#'5.2.1.1-2 Organic Fert N2O'!A1", "5.2.1.1-2 Organic Fert N2O")</f>
        <v>5.2.1.1-2 Organic Fert N2O</v>
      </c>
      <c r="D43" s="15" t="str">
        <f>'Constants - Poultry'!$D$31</f>
        <v>Manure stored in house</v>
      </c>
      <c r="E43" s="15" cm="1">
        <f t="array" ref="E43">Common_InputFunctions.Utility_LookupValueInTableNumber(D43, Table_SourceData_Poultry_EFmT[NIR reference],Table_SourceData_Poultry_EFmT[EFmT])</f>
        <v>1E-3</v>
      </c>
    </row>
    <row r="44" spans="1:20" ht="20.100000000000001" customHeight="1" x14ac:dyDescent="0.2">
      <c r="A44" s="5" t="str">
        <f>HYPERLINK("#'5.3.1.1-2 Lime CO2'!A1", "5.3.1.1-2 Lime CO2")</f>
        <v>5.3.1.1-2 Lime CO2</v>
      </c>
      <c r="D44" s="15" t="str">
        <f>'Constants - Poultry'!$D$32</f>
        <v>Pasture range and paddock</v>
      </c>
      <c r="E44" s="15" cm="1">
        <f t="array" ref="E44">Common_InputFunctions.Utility_LookupValueInTableNumber(D44, Table_SourceData_Poultry_EFmT[NIR reference],Table_SourceData_Poultry_EFmT[EFmT])</f>
        <v>0.02</v>
      </c>
    </row>
    <row r="45" spans="1:20" ht="20.100000000000001" customHeight="1" x14ac:dyDescent="0.2">
      <c r="A45" s="5" t="str">
        <f>HYPERLINK("#'5.4.1.1-4 Atmos deposition'!A1", "5.4.1.1-4 Atmos deposition")</f>
        <v>5.4.1.1-4 Atmos deposition</v>
      </c>
      <c r="D45" s="15" t="str">
        <f>'Constants - Poultry'!$D$33</f>
        <v>Solid storage</v>
      </c>
      <c r="E45" s="15" cm="1">
        <f t="array" ref="E45">Common_InputFunctions.Utility_LookupValueInTableNumber(D45, Table_SourceData_Poultry_EFmT[NIR reference],Table_SourceData_Poultry_EFmT[EFmT])</f>
        <v>5.0000000000000001E-3</v>
      </c>
    </row>
    <row r="46" spans="1:20" ht="20.100000000000001" customHeight="1" x14ac:dyDescent="0.2">
      <c r="A46" s="5" t="str">
        <f>HYPERLINK("#'5.5.1.1-2 Leaching and runoff'!A1", "5.5.1.1-2 Leaching and runoff")</f>
        <v>5.5.1.1-2 Leaching and runoff</v>
      </c>
      <c r="D46" s="15" t="str">
        <f>'Constants - Poultry'!$D$34</f>
        <v>Composting (passive windrow)</v>
      </c>
      <c r="E46" s="15" cm="1">
        <f t="array" ref="E46">Common_InputFunctions.Utility_LookupValueInTableNumber(D46, Table_SourceData_Poultry_EFmT[NIR reference],Table_SourceData_Poultry_EFmT[EFmT])</f>
        <v>0.01</v>
      </c>
    </row>
    <row r="47" spans="1:20" ht="20.100000000000001" customHeight="1" x14ac:dyDescent="0.2">
      <c r="D47" s="15" t="str">
        <f>'Constants - Poultry'!$D$35</f>
        <v>Digester / covered lagoons</v>
      </c>
      <c r="E47" s="15" cm="1">
        <f t="array" ref="E47">Common_InputFunctions.Utility_LookupValueInTableNumber(D47, Table_SourceData_Poultry_EFmT[NIR reference],Table_SourceData_Poultry_EFmT[EFmT])</f>
        <v>0</v>
      </c>
    </row>
    <row r="48" spans="1:20" ht="20.100000000000001" customHeight="1" x14ac:dyDescent="0.2">
      <c r="D48" s="15" t="str">
        <f>'Constants - Poultry'!$D$36</f>
        <v>Direct processing</v>
      </c>
      <c r="E48" s="15" cm="1">
        <f t="array" ref="E48">Common_InputFunctions.Utility_LookupValueInTableNumber(D48, Table_SourceData_Poultry_EFmT[NIR reference],Table_SourceData_Poultry_EFmT[EFmT])</f>
        <v>0</v>
      </c>
    </row>
    <row r="49" spans="1:14" ht="20.100000000000001" customHeight="1" x14ac:dyDescent="0.2">
      <c r="A49" s="80" t="s">
        <v>1</v>
      </c>
      <c r="D49" s="15" t="str">
        <f>'Constants - Poultry'!$D$37</f>
        <v>Direct application</v>
      </c>
      <c r="E49" s="15" cm="1">
        <f t="array" ref="E49">Common_InputFunctions.Utility_LookupValueInTableNumber(D49, Table_SourceData_Poultry_EFmT[NIR reference],Table_SourceData_Poultry_EFmT[EFmT])</f>
        <v>0</v>
      </c>
    </row>
    <row r="50" spans="1:14" ht="20.100000000000001" customHeight="1" x14ac:dyDescent="0.2">
      <c r="A50" s="5" t="str">
        <f>HYPERLINK("#'Constants - Poultry'!A1", "Constants - Poultry")</f>
        <v>Constants - Poultry</v>
      </c>
    </row>
    <row r="51" spans="1:14" ht="20.100000000000001" customHeight="1" x14ac:dyDescent="0.2">
      <c r="A51" s="5" t="str">
        <f>HYPERLINK("#'Constants - Common livestock'!A1", "Constants - Common Livestock")</f>
        <v>Constants - Common Livestock</v>
      </c>
      <c r="D51" s="118" t="s">
        <v>428</v>
      </c>
    </row>
    <row r="52" spans="1:14" ht="20.100000000000001" customHeight="1" x14ac:dyDescent="0.2">
      <c r="A52" s="5" t="str">
        <f>HYPERLINK("#'Constants - Electricity'!A1", "Constants - Electricity")</f>
        <v>Constants - Electricity</v>
      </c>
      <c r="D52" s="119" t="s">
        <v>429</v>
      </c>
    </row>
    <row r="53" spans="1:14" ht="20.100000000000001" customHeight="1" x14ac:dyDescent="0.2">
      <c r="A53" s="5" t="str">
        <f>HYPERLINK("#'Constants - Fertiliser'!A1", "Constants - Fertiliser")</f>
        <v>Constants - Fertiliser</v>
      </c>
      <c r="D53" s="120" t="s">
        <v>350</v>
      </c>
      <c r="E53" s="120" t="s">
        <v>403</v>
      </c>
    </row>
    <row r="54" spans="1:14" ht="20.100000000000001" customHeight="1" x14ac:dyDescent="0.2">
      <c r="A54" s="5" t="str">
        <f>HYPERLINK("#'Constants - Fuel'!A1", "Constants - Fuel")</f>
        <v>Constants - Fuel</v>
      </c>
      <c r="D54" s="15" t="str">
        <f>'Constants - Poultry'!$D$29</f>
        <v>Poultry manure with bedding</v>
      </c>
      <c r="E54" s="15" cm="1">
        <f t="array" ref="E54">Common_InputFunctions.Utility_LookupValueInTableNumber(D54, Table_SourceData_Poultry_FracGASM[NIR reference],Table_SourceData_Poultry_FracGASM[FracGASMmT])</f>
        <v>0.3</v>
      </c>
      <c r="F54" s="16" t="str">
        <f>$G$15</f>
        <v>(kg NH3-N + NOx-N)/kg N</v>
      </c>
    </row>
    <row r="55" spans="1:14" ht="20.100000000000001" customHeight="1" x14ac:dyDescent="0.2">
      <c r="A55" s="5" t="str">
        <f>HYPERLINK("#'Constants - Scope 3'!A1", "Constants - Scope 3")</f>
        <v>Constants - Scope 3</v>
      </c>
      <c r="D55" s="15" t="str">
        <f>'Constants - Poultry'!$D$30</f>
        <v>Belt manure removal</v>
      </c>
      <c r="E55" s="15" cm="1">
        <f t="array" ref="E55">Common_InputFunctions.Utility_LookupValueInTableNumber(D55, Table_SourceData_Poultry_FracGASM[NIR reference],Table_SourceData_Poultry_FracGASM[FracGASMmT])</f>
        <v>0.05</v>
      </c>
    </row>
    <row r="56" spans="1:14" ht="20.100000000000001" customHeight="1" x14ac:dyDescent="0.2">
      <c r="A56" s="5" t="str">
        <f>HYPERLINK("#'Constants - Solid Waste'!A1", "Constants - Solid Waste")</f>
        <v>Constants - Solid Waste</v>
      </c>
      <c r="D56" s="15" t="str">
        <f>'Constants - Poultry'!$D$31</f>
        <v>Manure stored in house</v>
      </c>
      <c r="E56" s="15" cm="1">
        <f t="array" ref="E56">Common_InputFunctions.Utility_LookupValueInTableNumber(D56, Table_SourceData_Poultry_FracGASM[NIR reference],Table_SourceData_Poultry_FracGASM[FracGASMmT])</f>
        <v>0.4</v>
      </c>
    </row>
    <row r="57" spans="1:14" ht="20.100000000000001" customHeight="1" x14ac:dyDescent="0.2">
      <c r="A57" s="5" t="str">
        <f>HYPERLINK("#'Constants - Common'!A1", "Constants - Common")</f>
        <v>Constants - Common</v>
      </c>
      <c r="D57" s="15" t="str">
        <f>'Constants - Poultry'!$D$32</f>
        <v>Pasture range and paddock</v>
      </c>
      <c r="E57" s="15" cm="1">
        <f t="array" ref="E57">Common_InputFunctions.Utility_LookupValueInTableNumber(D57, Table_SourceData_Poultry_FracGASM[NIR reference],Table_SourceData_Poultry_FracGASM[FracGASMmT])</f>
        <v>0</v>
      </c>
    </row>
    <row r="58" spans="1:14" ht="20.100000000000001" customHeight="1" x14ac:dyDescent="0.2">
      <c r="D58" s="15" t="str">
        <f>'Constants - Poultry'!$D$33</f>
        <v>Solid storage</v>
      </c>
      <c r="E58" s="15" cm="1">
        <f t="array" ref="E58">Common_InputFunctions.Utility_LookupValueInTableNumber(D58, Table_SourceData_Poultry_FracGASM[NIR reference],Table_SourceData_Poultry_FracGASM[FracGASMmT])</f>
        <v>0.2</v>
      </c>
    </row>
    <row r="59" spans="1:14" ht="20.100000000000001" customHeight="1" x14ac:dyDescent="0.2">
      <c r="D59" s="15" t="str">
        <f>'Constants - Poultry'!$D$34</f>
        <v>Composting (passive windrow)</v>
      </c>
      <c r="E59" s="15" cm="1">
        <f t="array" ref="E59">Common_InputFunctions.Utility_LookupValueInTableNumber(D59, Table_SourceData_Poultry_FracGASM[NIR reference],Table_SourceData_Poultry_FracGASM[FracGASMmT])</f>
        <v>0.2</v>
      </c>
    </row>
    <row r="60" spans="1:14" ht="20.100000000000001" customHeight="1" x14ac:dyDescent="0.2">
      <c r="D60" s="15" t="str">
        <f>'Constants - Poultry'!$D$35</f>
        <v>Digester / covered lagoons</v>
      </c>
      <c r="E60" s="15" cm="1">
        <f t="array" ref="E60">Common_InputFunctions.Utility_LookupValueInTableNumber(D60, Table_SourceData_Poultry_FracGASM[NIR reference],Table_SourceData_Poultry_FracGASM[FracGASMmT])</f>
        <v>0</v>
      </c>
    </row>
    <row r="61" spans="1:14" ht="20.100000000000001" customHeight="1" x14ac:dyDescent="0.2">
      <c r="D61" s="15" t="str">
        <f>'Constants - Poultry'!$D$36</f>
        <v>Direct processing</v>
      </c>
      <c r="E61" s="15" cm="1">
        <f t="array" ref="E61">Common_InputFunctions.Utility_LookupValueInTableNumber(D61, Table_SourceData_Poultry_FracGASM[NIR reference],Table_SourceData_Poultry_FracGASM[FracGASMmT])</f>
        <v>0</v>
      </c>
    </row>
    <row r="62" spans="1:14" ht="20.100000000000001" customHeight="1" x14ac:dyDescent="0.2">
      <c r="D62" s="15" t="str">
        <f>'Constants - Poultry'!$D$37</f>
        <v>Direct application</v>
      </c>
      <c r="E62" s="15" cm="1">
        <f t="array" ref="E62">Common_InputFunctions.Utility_LookupValueInTableNumber(D62, Table_SourceData_Poultry_FracGASM[NIR reference],Table_SourceData_Poultry_FracGASM[FracGASMmT])</f>
        <v>0</v>
      </c>
    </row>
    <row r="64" spans="1:14" ht="20.100000000000001" customHeight="1" x14ac:dyDescent="0.2">
      <c r="D64" s="118" t="s">
        <v>451</v>
      </c>
      <c r="N64" s="118" t="s">
        <v>452</v>
      </c>
    </row>
    <row r="65" spans="1:20" ht="20.100000000000001" customHeight="1" x14ac:dyDescent="0.2">
      <c r="D65" s="119" t="s">
        <v>444</v>
      </c>
      <c r="N65" s="119" t="s">
        <v>445</v>
      </c>
    </row>
    <row r="66" spans="1:20" ht="20.100000000000001" customHeight="1" x14ac:dyDescent="0.2">
      <c r="D66" s="120" t="s">
        <v>314</v>
      </c>
      <c r="E66" s="120" t="s">
        <v>318</v>
      </c>
      <c r="F66" s="120" t="s">
        <v>297</v>
      </c>
      <c r="G66" s="120" t="s">
        <v>298</v>
      </c>
      <c r="H66" s="120" t="s">
        <v>299</v>
      </c>
      <c r="I66" s="120" t="s">
        <v>300</v>
      </c>
      <c r="N66" s="120" t="s">
        <v>314</v>
      </c>
      <c r="O66" s="120" t="s">
        <v>318</v>
      </c>
      <c r="P66" s="120" t="s">
        <v>297</v>
      </c>
      <c r="Q66" s="120" t="s">
        <v>298</v>
      </c>
      <c r="R66" s="120" t="s">
        <v>299</v>
      </c>
      <c r="S66" s="120" t="s">
        <v>300</v>
      </c>
    </row>
    <row r="67" spans="1:20" ht="20.100000000000001" customHeight="1" x14ac:dyDescent="0.2">
      <c r="D67" s="15" t="str">
        <f>INDEX(X_Table_Poultry_Stage1MMS,2,1)</f>
        <v>Poultry manure with bedding</v>
      </c>
      <c r="E67" s="15" t="str">
        <f>INDEX(X_Table_Poultry_Stage2MMS_PoultryManureWithBedding,2,1)</f>
        <v>Solid storage</v>
      </c>
      <c r="F67" s="15">
        <f>INDEX(M1_Table_MN_Leach_j_k_m4,2,3)</f>
        <v>1.4254231680000003E-2</v>
      </c>
      <c r="G67" s="15">
        <f>INDEX(M1_Table_MN_Leach_j_k_m4,2,4)</f>
        <v>1.5214758336E-2</v>
      </c>
      <c r="H67" s="15">
        <f>INDEX(M1_Table_MN_Leach_j_k_m4,2,5)</f>
        <v>1.7859863808E-2</v>
      </c>
      <c r="I67" s="15">
        <f>INDEX(M1_Table_MN_Leach_j_k_m4,2,6)</f>
        <v>1.5214758336E-2</v>
      </c>
      <c r="J67" s="16" t="str">
        <f>$G$16</f>
        <v>kg N</v>
      </c>
      <c r="N67" s="15" t="str">
        <f>INDEX(X_Table_Poultry_Stage1MMS,2,1)</f>
        <v>Poultry manure with bedding</v>
      </c>
      <c r="O67" s="15" t="str">
        <f>INDEX(X_Table_Poultry_Stage2MMS_PoultryManureWithBedding,2,1)</f>
        <v>Solid storage</v>
      </c>
      <c r="P67" s="15">
        <f>INDEX(M2_Table_MN_j_k_m4,2,3)</f>
        <v>1.4254231680000003E-2</v>
      </c>
      <c r="Q67" s="15">
        <f>INDEX(M2_Table_MN_j_k_m4,2,4)</f>
        <v>1.5214758336E-2</v>
      </c>
      <c r="R67" s="15">
        <f>INDEX(M2_Table_MN_j_k_m4,2,5)</f>
        <v>1.7859863808E-2</v>
      </c>
      <c r="S67" s="15">
        <f>INDEX(M2_Table_MN_j_k_m4,2,6)</f>
        <v>1.5214758336E-2</v>
      </c>
      <c r="T67" s="16" t="str">
        <f>$G$16</f>
        <v>kg N</v>
      </c>
    </row>
    <row r="68" spans="1:20" ht="20.100000000000001" customHeight="1" x14ac:dyDescent="0.2">
      <c r="A68" s="79" t="str">
        <f>HYPERLINK("#A1", "▲ Back to top")</f>
        <v>▲ Back to top</v>
      </c>
      <c r="D68" s="15"/>
      <c r="E68" s="15" t="str">
        <f>INDEX(X_Table_Poultry_Stage2MMS_PoultryManureWithBedding,3,1)</f>
        <v>Composting (passive windrow)</v>
      </c>
      <c r="F68" s="15">
        <v>0</v>
      </c>
      <c r="G68" s="15">
        <v>0</v>
      </c>
      <c r="H68" s="15">
        <v>0</v>
      </c>
      <c r="I68" s="15">
        <v>0</v>
      </c>
      <c r="J68" s="16"/>
      <c r="N68" s="15"/>
      <c r="O68" s="15" t="str">
        <f>INDEX(X_Table_Poultry_Stage2MMS_PoultryManureWithBedding,3,1)</f>
        <v>Composting (passive windrow)</v>
      </c>
      <c r="P68" s="15">
        <v>0</v>
      </c>
      <c r="Q68" s="15">
        <v>0</v>
      </c>
      <c r="R68" s="15">
        <v>0</v>
      </c>
      <c r="S68" s="15">
        <v>0</v>
      </c>
      <c r="T68" s="16"/>
    </row>
    <row r="69" spans="1:20" ht="20.100000000000001" customHeight="1" x14ac:dyDescent="0.2">
      <c r="D69" s="15"/>
      <c r="E69" s="15" t="str">
        <f>INDEX(X_Table_Poultry_Stage2MMS_PoultryManureWithBedding,4,1)</f>
        <v>Digester / covered lagoons</v>
      </c>
      <c r="F69" s="15">
        <v>0</v>
      </c>
      <c r="G69" s="15">
        <v>0</v>
      </c>
      <c r="H69" s="15">
        <v>0</v>
      </c>
      <c r="I69" s="15">
        <v>0</v>
      </c>
      <c r="J69" s="16"/>
      <c r="N69" s="15"/>
      <c r="O69" s="15" t="str">
        <f>INDEX(X_Table_Poultry_Stage2MMS_PoultryManureWithBedding,4,1)</f>
        <v>Digester / covered lagoons</v>
      </c>
      <c r="P69" s="15">
        <v>0</v>
      </c>
      <c r="Q69" s="15">
        <v>0</v>
      </c>
      <c r="R69" s="15">
        <v>0</v>
      </c>
      <c r="S69" s="15">
        <v>0</v>
      </c>
      <c r="T69" s="16"/>
    </row>
    <row r="70" spans="1:20" ht="20.100000000000001" customHeight="1" x14ac:dyDescent="0.2">
      <c r="D70" s="15"/>
      <c r="E70" s="15" t="str">
        <f>INDEX(X_Table_Poultry_Stage2MMS_PoultryManureWithBedding,5,1)</f>
        <v>Direct processing</v>
      </c>
      <c r="F70" s="15">
        <v>0</v>
      </c>
      <c r="G70" s="15">
        <v>0</v>
      </c>
      <c r="H70" s="15">
        <v>0</v>
      </c>
      <c r="I70" s="15">
        <v>0</v>
      </c>
      <c r="J70" s="16"/>
      <c r="N70" s="15"/>
      <c r="O70" s="15" t="str">
        <f>INDEX(X_Table_Poultry_Stage2MMS_PoultryManureWithBedding,5,1)</f>
        <v>Direct processing</v>
      </c>
      <c r="P70" s="15">
        <v>0</v>
      </c>
      <c r="Q70" s="15">
        <v>0</v>
      </c>
      <c r="R70" s="15">
        <v>0</v>
      </c>
      <c r="S70" s="15">
        <v>0</v>
      </c>
      <c r="T70" s="16"/>
    </row>
    <row r="71" spans="1:20" ht="20.100000000000001" customHeight="1" x14ac:dyDescent="0.2">
      <c r="D71" s="15"/>
      <c r="E71" s="15" t="str">
        <f>INDEX(X_Table_Poultry_Stage2MMS_PoultryManureWithBedding,6,1)</f>
        <v>Direct application</v>
      </c>
      <c r="F71" s="15">
        <v>0</v>
      </c>
      <c r="G71" s="15">
        <v>0</v>
      </c>
      <c r="H71" s="15">
        <v>0</v>
      </c>
      <c r="I71" s="15">
        <v>0</v>
      </c>
      <c r="N71" s="15"/>
      <c r="O71" s="15" t="str">
        <f>INDEX(X_Table_Poultry_Stage2MMS_PoultryManureWithBedding,6,1)</f>
        <v>Direct application</v>
      </c>
      <c r="P71" s="15">
        <v>0</v>
      </c>
      <c r="Q71" s="15">
        <v>0</v>
      </c>
      <c r="R71" s="15">
        <v>0</v>
      </c>
      <c r="S71" s="15">
        <v>0</v>
      </c>
    </row>
    <row r="72" spans="1:20" ht="20.100000000000001" customHeight="1" x14ac:dyDescent="0.2">
      <c r="D72" s="15" t="str">
        <f>INDEX(X_Table_Poultry_Stage1MMS,3,1)</f>
        <v>Belt manure removal</v>
      </c>
      <c r="E72" s="15" t="str">
        <f>INDEX(X_Table_Poultry_Stage2MMS_BeltManureRemoval,2,1)</f>
        <v>Solid storage</v>
      </c>
      <c r="F72" s="15">
        <f>INDEX(M1_Table_MN_Leach_j_k_m4,3,3)</f>
        <v>1.9352311680000005E-2</v>
      </c>
      <c r="G72" s="15">
        <f>INDEX(M1_Table_MN_Leach_j_k_m4,3,4)</f>
        <v>2.0656374336E-2</v>
      </c>
      <c r="H72" s="15">
        <f>INDEX(M1_Table_MN_Leach_j_k_m4,3,5)</f>
        <v>2.4247511808E-2</v>
      </c>
      <c r="I72" s="15">
        <f>INDEX(M1_Table_MN_Leach_j_k_m4,3,6)</f>
        <v>2.0656374336E-2</v>
      </c>
      <c r="J72" s="16"/>
      <c r="N72" s="15" t="str">
        <f>INDEX(X_Table_Poultry_Stage1MMS,3,1)</f>
        <v>Belt manure removal</v>
      </c>
      <c r="O72" s="15" t="str">
        <f>INDEX(X_Table_Poultry_Stage2MMS_BeltManureRemoval,2,1)</f>
        <v>Solid storage</v>
      </c>
      <c r="P72" s="15">
        <f>INDEX(M2_Table_MN_j_k_m4,3,3)</f>
        <v>1.9352311680000005E-2</v>
      </c>
      <c r="Q72" s="15">
        <f>INDEX(M2_Table_MN_j_k_m4,3,4)</f>
        <v>2.0656374336E-2</v>
      </c>
      <c r="R72" s="15">
        <f>INDEX(M2_Table_MN_j_k_m4,3,5)</f>
        <v>2.4247511808E-2</v>
      </c>
      <c r="S72" s="15">
        <f>INDEX(M2_Table_MN_j_k_m4,3,6)</f>
        <v>2.0656374336E-2</v>
      </c>
      <c r="T72" s="16"/>
    </row>
    <row r="73" spans="1:20" ht="20.100000000000001" customHeight="1" x14ac:dyDescent="0.2">
      <c r="D73" s="15"/>
      <c r="E73" s="15" t="str">
        <f>INDEX(X_Table_Poultry_Stage2MMS_BeltManureRemoval,3,1)</f>
        <v>Composting (passive windrow)</v>
      </c>
      <c r="F73" s="15">
        <v>0</v>
      </c>
      <c r="G73" s="15">
        <v>0</v>
      </c>
      <c r="H73" s="15">
        <v>0</v>
      </c>
      <c r="I73" s="15">
        <v>0</v>
      </c>
      <c r="J73" s="16"/>
      <c r="N73" s="15"/>
      <c r="O73" s="15" t="str">
        <f>INDEX(X_Table_Poultry_Stage2MMS_BeltManureRemoval,3,1)</f>
        <v>Composting (passive windrow)</v>
      </c>
      <c r="P73" s="15">
        <v>0</v>
      </c>
      <c r="Q73" s="15">
        <v>0</v>
      </c>
      <c r="R73" s="15">
        <v>0</v>
      </c>
      <c r="S73" s="15">
        <v>0</v>
      </c>
      <c r="T73" s="16"/>
    </row>
    <row r="74" spans="1:20" ht="20.100000000000001" customHeight="1" x14ac:dyDescent="0.2">
      <c r="D74" s="15"/>
      <c r="E74" s="15" t="str">
        <f>INDEX(X_Table_Poultry_Stage2MMS_BeltManureRemoval,4,1)</f>
        <v>Digester / covered lagoons</v>
      </c>
      <c r="F74" s="15">
        <v>0</v>
      </c>
      <c r="G74" s="15">
        <v>0</v>
      </c>
      <c r="H74" s="15">
        <v>0</v>
      </c>
      <c r="I74" s="15">
        <v>0</v>
      </c>
      <c r="J74" s="16"/>
      <c r="N74" s="15"/>
      <c r="O74" s="15" t="str">
        <f>INDEX(X_Table_Poultry_Stage2MMS_BeltManureRemoval,4,1)</f>
        <v>Digester / covered lagoons</v>
      </c>
      <c r="P74" s="15">
        <v>0</v>
      </c>
      <c r="Q74" s="15">
        <v>0</v>
      </c>
      <c r="R74" s="15">
        <v>0</v>
      </c>
      <c r="S74" s="15">
        <v>0</v>
      </c>
      <c r="T74" s="16"/>
    </row>
    <row r="75" spans="1:20" ht="20.100000000000001" customHeight="1" x14ac:dyDescent="0.2">
      <c r="D75" s="15"/>
      <c r="E75" s="15" t="str">
        <f>INDEX(X_Table_Poultry_Stage2MMS_BeltManureRemoval,5,1)</f>
        <v>Direct processing</v>
      </c>
      <c r="F75" s="15">
        <v>0</v>
      </c>
      <c r="G75" s="15">
        <v>0</v>
      </c>
      <c r="H75" s="15">
        <v>0</v>
      </c>
      <c r="I75" s="15">
        <v>0</v>
      </c>
      <c r="J75" s="16"/>
      <c r="N75" s="15"/>
      <c r="O75" s="15" t="str">
        <f>INDEX(X_Table_Poultry_Stage2MMS_BeltManureRemoval,5,1)</f>
        <v>Direct processing</v>
      </c>
      <c r="P75" s="15">
        <v>0</v>
      </c>
      <c r="Q75" s="15">
        <v>0</v>
      </c>
      <c r="R75" s="15">
        <v>0</v>
      </c>
      <c r="S75" s="15">
        <v>0</v>
      </c>
      <c r="T75" s="16"/>
    </row>
    <row r="76" spans="1:20" ht="20.100000000000001" customHeight="1" x14ac:dyDescent="0.2">
      <c r="D76" s="15"/>
      <c r="E76" s="15" t="str">
        <f>INDEX(X_Table_Poultry_Stage2MMS_BeltManureRemoval,6,1)</f>
        <v>Direct application</v>
      </c>
      <c r="F76" s="15">
        <v>0</v>
      </c>
      <c r="G76" s="15">
        <v>0</v>
      </c>
      <c r="H76" s="15">
        <v>0</v>
      </c>
      <c r="I76" s="15">
        <v>0</v>
      </c>
      <c r="N76" s="15"/>
      <c r="O76" s="15" t="str">
        <f>INDEX(X_Table_Poultry_Stage2MMS_BeltManureRemoval,6,1)</f>
        <v>Direct application</v>
      </c>
      <c r="P76" s="15">
        <v>0</v>
      </c>
      <c r="Q76" s="15">
        <v>0</v>
      </c>
      <c r="R76" s="15">
        <v>0</v>
      </c>
      <c r="S76" s="15">
        <v>0</v>
      </c>
    </row>
    <row r="77" spans="1:20" ht="20.100000000000001" customHeight="1" x14ac:dyDescent="0.2">
      <c r="D77" s="15" t="str">
        <f>INDEX(X_Table_Poultry_Stage1MMS,4,1)</f>
        <v>Manure stored in house</v>
      </c>
      <c r="E77" s="15" t="str">
        <f>INDEX(X_Table_Poultry_Stage2MMS_ManureStoredInHouse,2,1)</f>
        <v>Solid storage</v>
      </c>
      <c r="F77" s="15">
        <f>INDEX(M1_Table_MN_Leach_j_k_m4,4,3)</f>
        <v>1.2214999680000003E-2</v>
      </c>
      <c r="G77" s="15">
        <f>INDEX(M1_Table_MN_Leach_j_k_m4,4,4)</f>
        <v>1.3038111936E-2</v>
      </c>
      <c r="H77" s="15">
        <f>INDEX(M1_Table_MN_Leach_j_k_m4,4,5)</f>
        <v>1.5304804607999998E-2</v>
      </c>
      <c r="I77" s="15">
        <f>INDEX(M1_Table_MN_Leach_j_k_m4,4,6)</f>
        <v>1.3038111936E-2</v>
      </c>
      <c r="J77" s="16"/>
      <c r="N77" s="15" t="str">
        <f>INDEX(X_Table_Poultry_Stage1MMS,4,1)</f>
        <v>Manure stored in house</v>
      </c>
      <c r="O77" s="15" t="str">
        <f>INDEX(X_Table_Poultry_Stage2MMS_ManureStoredInHouse,2,1)</f>
        <v>Solid storage</v>
      </c>
      <c r="P77" s="15">
        <f>INDEX(M2_Table_MN_j_k_m4,4,3)</f>
        <v>1.2214999680000003E-2</v>
      </c>
      <c r="Q77" s="15">
        <f>INDEX(M2_Table_MN_j_k_m4,4,4)</f>
        <v>1.3038111936E-2</v>
      </c>
      <c r="R77" s="15">
        <f>INDEX(M2_Table_MN_j_k_m4,4,5)</f>
        <v>1.5304804607999998E-2</v>
      </c>
      <c r="S77" s="15">
        <f>INDEX(M2_Table_MN_j_k_m4,4,6)</f>
        <v>1.3038111936E-2</v>
      </c>
      <c r="T77" s="16"/>
    </row>
    <row r="78" spans="1:20" ht="20.100000000000001" customHeight="1" x14ac:dyDescent="0.2">
      <c r="D78" s="15"/>
      <c r="E78" s="15" t="str">
        <f>INDEX(X_Table_Poultry_Stage2MMS_ManureStoredInHouse,3,1)</f>
        <v>Composting (passive windrow)</v>
      </c>
      <c r="F78" s="15">
        <v>0</v>
      </c>
      <c r="G78" s="15">
        <v>0</v>
      </c>
      <c r="H78" s="15">
        <v>0</v>
      </c>
      <c r="I78" s="15">
        <v>0</v>
      </c>
      <c r="J78" s="16"/>
      <c r="N78" s="15"/>
      <c r="O78" s="15" t="str">
        <f>INDEX(X_Table_Poultry_Stage2MMS_ManureStoredInHouse,3,1)</f>
        <v>Composting (passive windrow)</v>
      </c>
      <c r="P78" s="15">
        <v>0</v>
      </c>
      <c r="Q78" s="15">
        <v>0</v>
      </c>
      <c r="R78" s="15">
        <v>0</v>
      </c>
      <c r="S78" s="15">
        <v>0</v>
      </c>
      <c r="T78" s="16"/>
    </row>
    <row r="79" spans="1:20" ht="20.100000000000001" customHeight="1" x14ac:dyDescent="0.2">
      <c r="D79" s="15"/>
      <c r="E79" s="15" t="str">
        <f>INDEX(X_Table_Poultry_Stage2MMS_ManureStoredInHouse,4,1)</f>
        <v>Digester / covered lagoons</v>
      </c>
      <c r="F79" s="15">
        <v>0</v>
      </c>
      <c r="G79" s="15">
        <v>0</v>
      </c>
      <c r="H79" s="15">
        <v>0</v>
      </c>
      <c r="I79" s="15">
        <v>0</v>
      </c>
      <c r="J79" s="16"/>
      <c r="N79" s="15"/>
      <c r="O79" s="15" t="str">
        <f>INDEX(X_Table_Poultry_Stage2MMS_ManureStoredInHouse,4,1)</f>
        <v>Digester / covered lagoons</v>
      </c>
      <c r="P79" s="15">
        <v>0</v>
      </c>
      <c r="Q79" s="15">
        <v>0</v>
      </c>
      <c r="R79" s="15">
        <v>0</v>
      </c>
      <c r="S79" s="15">
        <v>0</v>
      </c>
      <c r="T79" s="16"/>
    </row>
    <row r="80" spans="1:20" ht="20.100000000000001" customHeight="1" x14ac:dyDescent="0.2">
      <c r="D80" s="15"/>
      <c r="E80" s="15" t="str">
        <f>INDEX(X_Table_Poultry_Stage2MMS_ManureStoredInHouse,5,1)</f>
        <v>Direct processing</v>
      </c>
      <c r="F80" s="15">
        <v>0</v>
      </c>
      <c r="G80" s="15">
        <v>0</v>
      </c>
      <c r="H80" s="15">
        <v>0</v>
      </c>
      <c r="I80" s="15">
        <v>0</v>
      </c>
      <c r="J80" s="16"/>
      <c r="N80" s="15"/>
      <c r="O80" s="15" t="str">
        <f>INDEX(X_Table_Poultry_Stage2MMS_ManureStoredInHouse,5,1)</f>
        <v>Direct processing</v>
      </c>
      <c r="P80" s="15">
        <v>0</v>
      </c>
      <c r="Q80" s="15">
        <v>0</v>
      </c>
      <c r="R80" s="15">
        <v>0</v>
      </c>
      <c r="S80" s="15">
        <v>0</v>
      </c>
      <c r="T80" s="16"/>
    </row>
    <row r="81" spans="4:19" ht="20.100000000000001" customHeight="1" x14ac:dyDescent="0.2">
      <c r="D81" s="15"/>
      <c r="E81" s="15" t="str">
        <f>INDEX(X_Table_Poultry_Stage2MMS_ManureStoredInHouse,6,1)</f>
        <v>Direct application</v>
      </c>
      <c r="F81" s="15">
        <v>0</v>
      </c>
      <c r="G81" s="15">
        <v>0</v>
      </c>
      <c r="H81" s="15">
        <v>0</v>
      </c>
      <c r="I81" s="15">
        <v>0</v>
      </c>
      <c r="N81" s="15"/>
      <c r="O81" s="15" t="str">
        <f>INDEX(X_Table_Poultry_Stage2MMS_ManureStoredInHouse,6,1)</f>
        <v>Direct application</v>
      </c>
      <c r="P81" s="15">
        <v>0</v>
      </c>
      <c r="Q81" s="15">
        <v>0</v>
      </c>
      <c r="R81" s="15">
        <v>0</v>
      </c>
      <c r="S81" s="15">
        <v>0</v>
      </c>
    </row>
    <row r="83" spans="4:19" ht="20.100000000000001" customHeight="1" x14ac:dyDescent="0.2">
      <c r="D83" s="118" t="s">
        <v>453</v>
      </c>
    </row>
    <row r="84" spans="4:19" ht="20.100000000000001" customHeight="1" x14ac:dyDescent="0.2">
      <c r="D84" s="119" t="s">
        <v>454</v>
      </c>
    </row>
    <row r="85" spans="4:19" ht="20.100000000000001" customHeight="1" x14ac:dyDescent="0.2">
      <c r="D85" s="78" t="s">
        <v>314</v>
      </c>
      <c r="E85" s="78" t="s">
        <v>318</v>
      </c>
      <c r="F85" s="78" t="s">
        <v>455</v>
      </c>
    </row>
    <row r="86" spans="4:19" ht="20.100000000000001" customHeight="1" x14ac:dyDescent="0.2">
      <c r="D86" s="15" t="str">
        <f>INDEX(X_Table_Poultry_Stage1MMS,2,1)</f>
        <v>Poultry manure with bedding</v>
      </c>
      <c r="E86" s="15" t="str">
        <f>INDEX(X_Table_Poultry_Stage2MMS_PoultryManureWithBedding,2,1)</f>
        <v>Solid storage</v>
      </c>
      <c r="F86" s="15">
        <f>INDEX(X_Table_Poultry_Stage2MMS_PoultryManureWithBedding_Destinations, 2,3)+INDEX(X_Table_Poultry_Stage2MMS_PoultryManureWithBedding_Destinations, 2,4)</f>
        <v>0.75</v>
      </c>
      <c r="G86" s="16" t="str">
        <f>$G$17</f>
        <v>fraction</v>
      </c>
    </row>
    <row r="87" spans="4:19" ht="20.100000000000001" customHeight="1" x14ac:dyDescent="0.2">
      <c r="D87" s="15"/>
      <c r="E87" s="15" t="str">
        <f>INDEX(X_Table_Poultry_Stage2MMS_PoultryManureWithBedding,3,1)</f>
        <v>Composting (passive windrow)</v>
      </c>
      <c r="F87" s="15">
        <f>INDEX(X_Table_Poultry_Stage2MMS_PoultryManureWithBedding_Destinations, 3,3)+INDEX(X_Table_Poultry_Stage2MMS_PoultryManureWithBedding_Destinations, 3,4)</f>
        <v>0.75</v>
      </c>
      <c r="G87" s="16"/>
    </row>
    <row r="88" spans="4:19" ht="20.100000000000001" customHeight="1" x14ac:dyDescent="0.2">
      <c r="D88" s="15"/>
      <c r="E88" s="15" t="str">
        <f>INDEX(X_Table_Poultry_Stage2MMS_PoultryManureWithBedding,4,1)</f>
        <v>Digester / covered lagoons</v>
      </c>
      <c r="F88" s="15">
        <f>INDEX(X_Table_Poultry_Stage2MMS_PoultryManureWithBedding_Destinations, 4,3)+INDEX(X_Table_Poultry_Stage2MMS_PoultryManureWithBedding_Destinations, 4,4)</f>
        <v>0.75</v>
      </c>
      <c r="G88" s="16"/>
    </row>
    <row r="89" spans="4:19" ht="20.100000000000001" customHeight="1" x14ac:dyDescent="0.2">
      <c r="D89" s="15"/>
      <c r="E89" s="15" t="str">
        <f>INDEX(X_Table_Poultry_Stage2MMS_PoultryManureWithBedding,5,1)</f>
        <v>Direct processing</v>
      </c>
      <c r="F89" s="15">
        <f>INDEX(X_Table_Poultry_Stage2MMS_PoultryManureWithBedding_Destinations, 5,3)+INDEX(X_Table_Poultry_Stage2MMS_PoultryManureWithBedding_Destinations, 5,4)</f>
        <v>0.75</v>
      </c>
      <c r="G89" s="16"/>
    </row>
    <row r="90" spans="4:19" ht="20.100000000000001" customHeight="1" x14ac:dyDescent="0.2">
      <c r="D90" s="15"/>
      <c r="E90" s="15" t="str">
        <f>INDEX(X_Table_Poultry_Stage2MMS_PoultryManureWithBedding,6,1)</f>
        <v>Direct application</v>
      </c>
      <c r="F90" s="15">
        <f>INDEX(X_Table_Poultry_Stage2MMS_PoultryManureWithBedding_Destinations, 6,3)+INDEX(X_Table_Poultry_Stage2MMS_PoultryManureWithBedding_Destinations, 6,4)</f>
        <v>1</v>
      </c>
    </row>
    <row r="91" spans="4:19" ht="20.100000000000001" customHeight="1" x14ac:dyDescent="0.2">
      <c r="D91" s="15" t="str">
        <f>INDEX(X_Table_Poultry_Stage1MMS,3,1)</f>
        <v>Belt manure removal</v>
      </c>
      <c r="E91" s="15" t="str">
        <f>INDEX(X_Table_Poultry_Stage2MMS_BeltManureRemoval,2,1)</f>
        <v>Solid storage</v>
      </c>
      <c r="F91" s="15">
        <f>INDEX(X_Table_Poultry_Stage2MMS_BeltManureRemoval_Destinations, 2,3)+INDEX(X_Table_Poultry_Stage2MMS_BeltManureRemoval_Destinations, 2,4)</f>
        <v>0.75</v>
      </c>
      <c r="G91" s="16"/>
    </row>
    <row r="92" spans="4:19" ht="20.100000000000001" customHeight="1" x14ac:dyDescent="0.2">
      <c r="D92" s="15"/>
      <c r="E92" s="15" t="str">
        <f>INDEX(X_Table_Poultry_Stage2MMS_BeltManureRemoval,3,1)</f>
        <v>Composting (passive windrow)</v>
      </c>
      <c r="F92" s="15">
        <f>INDEX(X_Table_Poultry_Stage2MMS_BeltManureRemoval_Destinations, 3,3)+INDEX(X_Table_Poultry_Stage2MMS_BeltManureRemoval_Destinations, 3,4)</f>
        <v>0.75</v>
      </c>
      <c r="G92" s="16"/>
    </row>
    <row r="93" spans="4:19" ht="20.100000000000001" customHeight="1" x14ac:dyDescent="0.2">
      <c r="D93" s="15"/>
      <c r="E93" s="15" t="str">
        <f>INDEX(X_Table_Poultry_Stage2MMS_BeltManureRemoval,4,1)</f>
        <v>Digester / covered lagoons</v>
      </c>
      <c r="F93" s="15">
        <f>INDEX(X_Table_Poultry_Stage2MMS_BeltManureRemoval_Destinations, 4,3)+INDEX(X_Table_Poultry_Stage2MMS_BeltManureRemoval_Destinations, 4,4)</f>
        <v>0.75</v>
      </c>
      <c r="G93" s="16"/>
    </row>
    <row r="94" spans="4:19" ht="20.100000000000001" customHeight="1" x14ac:dyDescent="0.2">
      <c r="D94" s="15"/>
      <c r="E94" s="15" t="str">
        <f>INDEX(X_Table_Poultry_Stage2MMS_BeltManureRemoval,5,1)</f>
        <v>Direct processing</v>
      </c>
      <c r="F94" s="15">
        <f>INDEX(X_Table_Poultry_Stage2MMS_BeltManureRemoval_Destinations, 5,3)+INDEX(X_Table_Poultry_Stage2MMS_BeltManureRemoval_Destinations, 5,4)</f>
        <v>0.75</v>
      </c>
      <c r="G94" s="16"/>
    </row>
    <row r="95" spans="4:19" ht="20.100000000000001" customHeight="1" x14ac:dyDescent="0.2">
      <c r="D95" s="15"/>
      <c r="E95" s="15" t="str">
        <f>INDEX(X_Table_Poultry_Stage2MMS_BeltManureRemoval,6,1)</f>
        <v>Direct application</v>
      </c>
      <c r="F95" s="15">
        <f>INDEX(X_Table_Poultry_Stage2MMS_BeltManureRemoval_Destinations, 6,3)+INDEX(X_Table_Poultry_Stage2MMS_BeltManureRemoval_Destinations, 6,4)</f>
        <v>1</v>
      </c>
    </row>
    <row r="96" spans="4:19" ht="20.100000000000001" customHeight="1" x14ac:dyDescent="0.2">
      <c r="D96" s="15" t="str">
        <f>INDEX(X_Table_Poultry_Stage1MMS,4,1)</f>
        <v>Manure stored in house</v>
      </c>
      <c r="E96" s="15" t="str">
        <f>INDEX(X_Table_Poultry_Stage2MMS_ManureStoredInHouse,2,1)</f>
        <v>Solid storage</v>
      </c>
      <c r="F96" s="15">
        <f>INDEX(X_Table_Poultry_Stage2MMS_ManureStoredInHouse_Destinations, 2,3)+INDEX(X_Table_Poultry_Stage2MMS_ManureStoredInHouse_Destinations, 2,4)</f>
        <v>0.75</v>
      </c>
      <c r="G96" s="16"/>
    </row>
    <row r="97" spans="1:20" ht="20.100000000000001" customHeight="1" x14ac:dyDescent="0.2">
      <c r="D97" s="15"/>
      <c r="E97" s="15" t="str">
        <f>INDEX(X_Table_Poultry_Stage2MMS_ManureStoredInHouse,3,1)</f>
        <v>Composting (passive windrow)</v>
      </c>
      <c r="F97" s="15">
        <f>INDEX(X_Table_Poultry_Stage2MMS_ManureStoredInHouse_Destinations, 3,3)+INDEX(X_Table_Poultry_Stage2MMS_ManureStoredInHouse_Destinations, 3,4)</f>
        <v>0.75</v>
      </c>
      <c r="G97" s="16"/>
    </row>
    <row r="98" spans="1:20" ht="20.100000000000001" customHeight="1" x14ac:dyDescent="0.2">
      <c r="A98" s="79" t="str">
        <f>HYPERLINK("#A1", "▲ Back to top")</f>
        <v>▲ Back to top</v>
      </c>
      <c r="D98" s="15"/>
      <c r="E98" s="15" t="str">
        <f>INDEX(X_Table_Poultry_Stage2MMS_ManureStoredInHouse,4,1)</f>
        <v>Digester / covered lagoons</v>
      </c>
      <c r="F98" s="15">
        <f>INDEX(X_Table_Poultry_Stage2MMS_ManureStoredInHouse_Destinations, 4,3)+INDEX(X_Table_Poultry_Stage2MMS_ManureStoredInHouse_Destinations, 4,4)</f>
        <v>0.75</v>
      </c>
      <c r="G98" s="16"/>
    </row>
    <row r="99" spans="1:20" ht="20.100000000000001" customHeight="1" x14ac:dyDescent="0.2">
      <c r="D99" s="15"/>
      <c r="E99" s="15" t="str">
        <f>INDEX(X_Table_Poultry_Stage2MMS_ManureStoredInHouse,5,1)</f>
        <v>Direct processing</v>
      </c>
      <c r="F99" s="15">
        <f>INDEX(X_Table_Poultry_Stage2MMS_ManureStoredInHouse_Destinations, 5,3)+INDEX(X_Table_Poultry_Stage2MMS_ManureStoredInHouse_Destinations, 5,4)</f>
        <v>0.75</v>
      </c>
      <c r="G99" s="16"/>
    </row>
    <row r="100" spans="1:20" ht="20.100000000000001" customHeight="1" x14ac:dyDescent="0.2">
      <c r="D100" s="15"/>
      <c r="E100" s="15" t="str">
        <f>INDEX(X_Table_Poultry_Stage2MMS_ManureStoredInHouse,6,1)</f>
        <v>Direct application</v>
      </c>
      <c r="F100" s="15">
        <f>INDEX(X_Table_Poultry_Stage2MMS_ManureStoredInHouse_Destinations, 6,3)+INDEX(X_Table_Poultry_Stage2MMS_ManureStoredInHouse_Destinations, 6,4)</f>
        <v>1</v>
      </c>
    </row>
    <row r="102" spans="1:20" ht="20.100000000000001" customHeight="1" x14ac:dyDescent="0.2">
      <c r="D102" s="118" t="s">
        <v>456</v>
      </c>
      <c r="N102" s="118" t="s">
        <v>457</v>
      </c>
    </row>
    <row r="103" spans="1:20" ht="20.100000000000001" customHeight="1" x14ac:dyDescent="0.2">
      <c r="D103" s="119" t="s">
        <v>458</v>
      </c>
      <c r="N103" s="119" t="s">
        <v>459</v>
      </c>
    </row>
    <row r="104" spans="1:20" ht="20.100000000000001" customHeight="1" x14ac:dyDescent="0.2">
      <c r="D104" s="120" t="s">
        <v>314</v>
      </c>
      <c r="E104" s="120" t="s">
        <v>318</v>
      </c>
      <c r="F104" s="120" t="s">
        <v>297</v>
      </c>
      <c r="G104" s="120" t="s">
        <v>298</v>
      </c>
      <c r="H104" s="120" t="s">
        <v>299</v>
      </c>
      <c r="I104" s="120" t="s">
        <v>300</v>
      </c>
      <c r="N104" s="120" t="s">
        <v>314</v>
      </c>
      <c r="O104" s="120" t="s">
        <v>318</v>
      </c>
      <c r="P104" s="120" t="s">
        <v>297</v>
      </c>
      <c r="Q104" s="120" t="s">
        <v>298</v>
      </c>
      <c r="R104" s="120" t="s">
        <v>299</v>
      </c>
      <c r="S104" s="120" t="s">
        <v>300</v>
      </c>
    </row>
    <row r="105" spans="1:20" ht="20.100000000000001" customHeight="1" x14ac:dyDescent="0.2">
      <c r="D105" s="15" t="str">
        <f>INDEX(X_Table_Poultry_Stage1MMS,2,1)</f>
        <v>Poultry manure with bedding</v>
      </c>
      <c r="E105" s="15" t="str">
        <f>INDEX(X_Table_Poultry_Stage2MMS_PoultryManureWithBedding,2,1)</f>
        <v>Solid storage</v>
      </c>
      <c r="F105" s="15" cm="1">
        <f t="array" ref="F105">MMS_Poultry_ManureAppliedToSoils_Equations.VEERG_4_6_1_9__1_MassOfNitrogenAppliedToSoilsScope1(F22,_xlfn.XLOOKUP($E105, $D$41:$D$49,$E$41:$E$49), _xlfn.XLOOKUP($E105, $D$54:$D$62,$E$54:$E$62), F67,$F86)</f>
        <v>0.41426360820000008</v>
      </c>
      <c r="G105" s="15" cm="1">
        <f t="array" ref="G105">MMS_Poultry_ManureAppliedToSoils_Equations.VEERG_4_6_1_9__1_MassOfNitrogenAppliedToSoilsScope1(G22,_xlfn.XLOOKUP($E105, $D$41:$D$49,$E$41:$E$49), _xlfn.XLOOKUP($E105, $D$54:$D$62,$E$54:$E$62), G67,$F86)</f>
        <v>0.44217891414000005</v>
      </c>
      <c r="H105" s="15" cm="1">
        <f t="array" ref="H105">MMS_Poultry_ManureAppliedToSoils_Equations.VEERG_4_6_1_9__1_MassOfNitrogenAppliedToSoilsScope1(H22,_xlfn.XLOOKUP($E105, $D$41:$D$49,$E$41:$E$49), _xlfn.XLOOKUP($E105, $D$54:$D$62,$E$54:$E$62), H67,$F86)</f>
        <v>0.51905229191999991</v>
      </c>
      <c r="I105" s="15" cm="1">
        <f t="array" ref="I105">MMS_Poultry_ManureAppliedToSoils_Equations.VEERG_4_6_1_9__1_MassOfNitrogenAppliedToSoilsScope1(I22,_xlfn.XLOOKUP($E105, $D$41:$D$49,$E$41:$E$49), _xlfn.XLOOKUP($E105, $D$54:$D$62,$E$54:$E$62), I67,$F86)</f>
        <v>0.44217891414000005</v>
      </c>
      <c r="J105" s="16" t="str">
        <f>$E$11</f>
        <v>kg N</v>
      </c>
      <c r="N105" s="15" t="str">
        <f>INDEX(X_Table_Poultry_Stage1MMS,2,1)</f>
        <v>Poultry manure with bedding</v>
      </c>
      <c r="O105" s="15" t="str">
        <f>INDEX(X_Table_Poultry_Stage2MMS_PoultryManureWithBedding,2,1)</f>
        <v>Solid storage</v>
      </c>
      <c r="P105" s="15" cm="1">
        <f t="array" ref="P105">MMS_Poultry_ManureAppliedToSoils_Equations.VEERG_4_6_1_9__1_MassOfNitrogenAppliedToSoilsScope1(P22,_xlfn.XLOOKUP($O105, $D$41:$D$49,$E$41:$E$49), _xlfn.XLOOKUP($O105, $D$54:$D$62,$E$54:$E$62), P67,$F86)</f>
        <v>0.41426360820000008</v>
      </c>
      <c r="Q105" s="15" cm="1">
        <f t="array" ref="Q105">MMS_Poultry_ManureAppliedToSoils_Equations.VEERG_4_6_1_9__1_MassOfNitrogenAppliedToSoilsScope1(Q22,_xlfn.XLOOKUP($O105, $D$41:$D$49,$E$41:$E$49), _xlfn.XLOOKUP($O105, $D$54:$D$62,$E$54:$E$62), Q67,$F86)</f>
        <v>0.44217891414000005</v>
      </c>
      <c r="R105" s="15" cm="1">
        <f t="array" ref="R105">MMS_Poultry_ManureAppliedToSoils_Equations.VEERG_4_6_1_9__1_MassOfNitrogenAppliedToSoilsScope1(R22,_xlfn.XLOOKUP($O105, $D$41:$D$49,$E$41:$E$49), _xlfn.XLOOKUP($O105, $D$54:$D$62,$E$54:$E$62), R67,$F86)</f>
        <v>0.51905229191999991</v>
      </c>
      <c r="S105" s="15" cm="1">
        <f t="array" ref="S105">MMS_Poultry_ManureAppliedToSoils_Equations.VEERG_4_6_1_9__1_MassOfNitrogenAppliedToSoilsScope1(S22,_xlfn.XLOOKUP($O105, $D$41:$D$49,$E$41:$E$49), _xlfn.XLOOKUP($O105, $D$54:$D$62,$E$54:$E$62), S67,$F86)</f>
        <v>0.44217891414000005</v>
      </c>
      <c r="T105" s="16" t="str">
        <f>$E$11</f>
        <v>kg N</v>
      </c>
    </row>
    <row r="106" spans="1:20" ht="20.100000000000001" customHeight="1" x14ac:dyDescent="0.2">
      <c r="D106" s="15"/>
      <c r="E106" s="15" t="str">
        <f>INDEX(X_Table_Poultry_Stage2MMS_PoultryManureWithBedding,3,1)</f>
        <v>Composting (passive windrow)</v>
      </c>
      <c r="F106" s="15" cm="1">
        <f t="array" ref="F106">MMS_Poultry_ManureAppliedToSoils_Equations.VEERG_4_6_1_9__1_MassOfNitrogenAppliedToSoilsScope1(F23,_xlfn.XLOOKUP($E106, $D$41:$D$49,$E$41:$E$49), _xlfn.XLOOKUP($E106, $D$54:$D$62,$E$54:$E$62), F68,$F87)</f>
        <v>0.4222816135200001</v>
      </c>
      <c r="G106" s="15" cm="1">
        <f t="array" ref="G106">MMS_Poultry_ManureAppliedToSoils_Equations.VEERG_4_6_1_9__1_MassOfNitrogenAppliedToSoilsScope1(G23,_xlfn.XLOOKUP($E106, $D$41:$D$49,$E$41:$E$49), _xlfn.XLOOKUP($E106, $D$54:$D$62,$E$54:$E$62), G68,$F87)</f>
        <v>0.45073721570399999</v>
      </c>
      <c r="H106" s="15" cm="1">
        <f t="array" ref="H106">MMS_Poultry_ManureAppliedToSoils_Equations.VEERG_4_6_1_9__1_MassOfNitrogenAppliedToSoilsScope1(H23,_xlfn.XLOOKUP($E106, $D$41:$D$49,$E$41:$E$49), _xlfn.XLOOKUP($E106, $D$54:$D$62,$E$54:$E$62), H68,$F87)</f>
        <v>0.529098465312</v>
      </c>
      <c r="I106" s="15" cm="1">
        <f t="array" ref="I106">MMS_Poultry_ManureAppliedToSoils_Equations.VEERG_4_6_1_9__1_MassOfNitrogenAppliedToSoilsScope1(I23,_xlfn.XLOOKUP($E106, $D$41:$D$49,$E$41:$E$49), _xlfn.XLOOKUP($E106, $D$54:$D$62,$E$54:$E$62), I68,$F87)</f>
        <v>0.45073721570399999</v>
      </c>
      <c r="J106" s="16"/>
      <c r="N106" s="15"/>
      <c r="O106" s="15" t="str">
        <f>INDEX(X_Table_Poultry_Stage2MMS_PoultryManureWithBedding,3,1)</f>
        <v>Composting (passive windrow)</v>
      </c>
      <c r="P106" s="15" cm="1">
        <f t="array" ref="P106">MMS_Poultry_ManureAppliedToSoils_Equations.VEERG_4_6_1_9__1_MassOfNitrogenAppliedToSoilsScope1(P23,_xlfn.XLOOKUP($O106, $D$41:$D$49,$E$41:$E$49), _xlfn.XLOOKUP($O106, $D$54:$D$62,$E$54:$E$62), P68,$F87)</f>
        <v>0.4222816135200001</v>
      </c>
      <c r="Q106" s="15" cm="1">
        <f t="array" ref="Q106">MMS_Poultry_ManureAppliedToSoils_Equations.VEERG_4_6_1_9__1_MassOfNitrogenAppliedToSoilsScope1(Q23,_xlfn.XLOOKUP($O106, $D$41:$D$49,$E$41:$E$49), _xlfn.XLOOKUP($O106, $D$54:$D$62,$E$54:$E$62), Q68,$F87)</f>
        <v>0.45073721570399999</v>
      </c>
      <c r="R106" s="15" cm="1">
        <f t="array" ref="R106">MMS_Poultry_ManureAppliedToSoils_Equations.VEERG_4_6_1_9__1_MassOfNitrogenAppliedToSoilsScope1(R23,_xlfn.XLOOKUP($O106, $D$41:$D$49,$E$41:$E$49), _xlfn.XLOOKUP($O106, $D$54:$D$62,$E$54:$E$62), R68,$F87)</f>
        <v>0.529098465312</v>
      </c>
      <c r="S106" s="15" cm="1">
        <f t="array" ref="S106">MMS_Poultry_ManureAppliedToSoils_Equations.VEERG_4_6_1_9__1_MassOfNitrogenAppliedToSoilsScope1(S23,_xlfn.XLOOKUP($O106, $D$41:$D$49,$E$41:$E$49), _xlfn.XLOOKUP($O106, $D$54:$D$62,$E$54:$E$62), S68,$F87)</f>
        <v>0.45073721570399999</v>
      </c>
      <c r="T106" s="16"/>
    </row>
    <row r="107" spans="1:20" ht="20.100000000000001" customHeight="1" x14ac:dyDescent="0.2">
      <c r="D107" s="15"/>
      <c r="E107" s="15" t="str">
        <f>INDEX(X_Table_Poultry_Stage2MMS_PoultryManureWithBedding,4,1)</f>
        <v>Digester / covered lagoons</v>
      </c>
      <c r="F107" s="15" cm="1">
        <f t="array" ref="F107">MMS_Poultry_ManureAppliedToSoils_Equations.VEERG_4_6_1_9__1_MassOfNitrogenAppliedToSoilsScope1(F24,_xlfn.XLOOKUP($E107, $D$41:$D$49,$E$41:$E$49), _xlfn.XLOOKUP($E107, $D$54:$D$62,$E$54:$E$62), F69,$F88)</f>
        <v>0.53453368800000012</v>
      </c>
      <c r="G107" s="15" cm="1">
        <f t="array" ref="G107">MMS_Poultry_ManureAppliedToSoils_Equations.VEERG_4_6_1_9__1_MassOfNitrogenAppliedToSoilsScope1(G24,_xlfn.XLOOKUP($E107, $D$41:$D$49,$E$41:$E$49), _xlfn.XLOOKUP($E107, $D$54:$D$62,$E$54:$E$62), G69,$F88)</f>
        <v>0.57055343759999999</v>
      </c>
      <c r="H107" s="15" cm="1">
        <f t="array" ref="H107">MMS_Poultry_ManureAppliedToSoils_Equations.VEERG_4_6_1_9__1_MassOfNitrogenAppliedToSoilsScope1(H24,_xlfn.XLOOKUP($E107, $D$41:$D$49,$E$41:$E$49), _xlfn.XLOOKUP($E107, $D$54:$D$62,$E$54:$E$62), H69,$F88)</f>
        <v>0.66974489279999994</v>
      </c>
      <c r="I107" s="15" cm="1">
        <f t="array" ref="I107">MMS_Poultry_ManureAppliedToSoils_Equations.VEERG_4_6_1_9__1_MassOfNitrogenAppliedToSoilsScope1(I24,_xlfn.XLOOKUP($E107, $D$41:$D$49,$E$41:$E$49), _xlfn.XLOOKUP($E107, $D$54:$D$62,$E$54:$E$62), I69,$F88)</f>
        <v>0.57055343759999999</v>
      </c>
      <c r="J107" s="16"/>
      <c r="N107" s="15"/>
      <c r="O107" s="15" t="str">
        <f>INDEX(X_Table_Poultry_Stage2MMS_PoultryManureWithBedding,4,1)</f>
        <v>Digester / covered lagoons</v>
      </c>
      <c r="P107" s="15" cm="1">
        <f t="array" ref="P107">MMS_Poultry_ManureAppliedToSoils_Equations.VEERG_4_6_1_9__1_MassOfNitrogenAppliedToSoilsScope1(P24,_xlfn.XLOOKUP($O107, $D$41:$D$49,$E$41:$E$49), _xlfn.XLOOKUP($O107, $D$54:$D$62,$E$54:$E$62), P69,$F88)</f>
        <v>0.53453368800000012</v>
      </c>
      <c r="Q107" s="15" cm="1">
        <f t="array" ref="Q107">MMS_Poultry_ManureAppliedToSoils_Equations.VEERG_4_6_1_9__1_MassOfNitrogenAppliedToSoilsScope1(Q24,_xlfn.XLOOKUP($O107, $D$41:$D$49,$E$41:$E$49), _xlfn.XLOOKUP($O107, $D$54:$D$62,$E$54:$E$62), Q69,$F88)</f>
        <v>0.57055343759999999</v>
      </c>
      <c r="R107" s="15" cm="1">
        <f t="array" ref="R107">MMS_Poultry_ManureAppliedToSoils_Equations.VEERG_4_6_1_9__1_MassOfNitrogenAppliedToSoilsScope1(R24,_xlfn.XLOOKUP($O107, $D$41:$D$49,$E$41:$E$49), _xlfn.XLOOKUP($O107, $D$54:$D$62,$E$54:$E$62), R69,$F88)</f>
        <v>0.66974489279999994</v>
      </c>
      <c r="S107" s="15" cm="1">
        <f t="array" ref="S107">MMS_Poultry_ManureAppliedToSoils_Equations.VEERG_4_6_1_9__1_MassOfNitrogenAppliedToSoilsScope1(S24,_xlfn.XLOOKUP($O107, $D$41:$D$49,$E$41:$E$49), _xlfn.XLOOKUP($O107, $D$54:$D$62,$E$54:$E$62), S69,$F88)</f>
        <v>0.57055343759999999</v>
      </c>
      <c r="T107" s="16"/>
    </row>
    <row r="108" spans="1:20" ht="20.100000000000001" customHeight="1" x14ac:dyDescent="0.2">
      <c r="D108" s="15"/>
      <c r="E108" s="15" t="str">
        <f>INDEX(X_Table_Poultry_Stage2MMS_PoultryManureWithBedding,5,1)</f>
        <v>Direct processing</v>
      </c>
      <c r="F108" s="15" cm="1">
        <f t="array" ref="F108">MMS_Poultry_ManureAppliedToSoils_Equations.VEERG_4_6_1_9__1_MassOfNitrogenAppliedToSoilsScope1(F25,_xlfn.XLOOKUP($E108, $D$41:$D$49,$E$41:$E$49), _xlfn.XLOOKUP($E108, $D$54:$D$62,$E$54:$E$62), F70,$F89)</f>
        <v>0.53453368800000012</v>
      </c>
      <c r="G108" s="15" cm="1">
        <f t="array" ref="G108">MMS_Poultry_ManureAppliedToSoils_Equations.VEERG_4_6_1_9__1_MassOfNitrogenAppliedToSoilsScope1(G25,_xlfn.XLOOKUP($E108, $D$41:$D$49,$E$41:$E$49), _xlfn.XLOOKUP($E108, $D$54:$D$62,$E$54:$E$62), G70,$F89)</f>
        <v>0.57055343759999999</v>
      </c>
      <c r="H108" s="15" cm="1">
        <f t="array" ref="H108">MMS_Poultry_ManureAppliedToSoils_Equations.VEERG_4_6_1_9__1_MassOfNitrogenAppliedToSoilsScope1(H25,_xlfn.XLOOKUP($E108, $D$41:$D$49,$E$41:$E$49), _xlfn.XLOOKUP($E108, $D$54:$D$62,$E$54:$E$62), H70,$F89)</f>
        <v>0.66974489279999994</v>
      </c>
      <c r="I108" s="15" cm="1">
        <f t="array" ref="I108">MMS_Poultry_ManureAppliedToSoils_Equations.VEERG_4_6_1_9__1_MassOfNitrogenAppliedToSoilsScope1(I25,_xlfn.XLOOKUP($E108, $D$41:$D$49,$E$41:$E$49), _xlfn.XLOOKUP($E108, $D$54:$D$62,$E$54:$E$62), I70,$F89)</f>
        <v>0.57055343759999999</v>
      </c>
      <c r="J108" s="16"/>
      <c r="N108" s="15"/>
      <c r="O108" s="15" t="str">
        <f>INDEX(X_Table_Poultry_Stage2MMS_PoultryManureWithBedding,5,1)</f>
        <v>Direct processing</v>
      </c>
      <c r="P108" s="15" cm="1">
        <f t="array" ref="P108">MMS_Poultry_ManureAppliedToSoils_Equations.VEERG_4_6_1_9__1_MassOfNitrogenAppliedToSoilsScope1(P25,_xlfn.XLOOKUP($O108, $D$41:$D$49,$E$41:$E$49), _xlfn.XLOOKUP($O108, $D$54:$D$62,$E$54:$E$62), P70,$F89)</f>
        <v>0.53453368800000012</v>
      </c>
      <c r="Q108" s="15" cm="1">
        <f t="array" ref="Q108">MMS_Poultry_ManureAppliedToSoils_Equations.VEERG_4_6_1_9__1_MassOfNitrogenAppliedToSoilsScope1(Q25,_xlfn.XLOOKUP($O108, $D$41:$D$49,$E$41:$E$49), _xlfn.XLOOKUP($O108, $D$54:$D$62,$E$54:$E$62), Q70,$F89)</f>
        <v>0.57055343759999999</v>
      </c>
      <c r="R108" s="15" cm="1">
        <f t="array" ref="R108">MMS_Poultry_ManureAppliedToSoils_Equations.VEERG_4_6_1_9__1_MassOfNitrogenAppliedToSoilsScope1(R25,_xlfn.XLOOKUP($O108, $D$41:$D$49,$E$41:$E$49), _xlfn.XLOOKUP($O108, $D$54:$D$62,$E$54:$E$62), R70,$F89)</f>
        <v>0.66974489279999994</v>
      </c>
      <c r="S108" s="15" cm="1">
        <f t="array" ref="S108">MMS_Poultry_ManureAppliedToSoils_Equations.VEERG_4_6_1_9__1_MassOfNitrogenAppliedToSoilsScope1(S25,_xlfn.XLOOKUP($O108, $D$41:$D$49,$E$41:$E$49), _xlfn.XLOOKUP($O108, $D$54:$D$62,$E$54:$E$62), S70,$F89)</f>
        <v>0.57055343759999999</v>
      </c>
      <c r="T108" s="16"/>
    </row>
    <row r="109" spans="1:20" ht="20.100000000000001" customHeight="1" x14ac:dyDescent="0.2">
      <c r="D109" s="15"/>
      <c r="E109" s="15" t="str">
        <f>INDEX(X_Table_Poultry_Stage2MMS_PoultryManureWithBedding,6,1)</f>
        <v>Direct application</v>
      </c>
      <c r="F109" s="15" cm="1">
        <f t="array" ref="F109">MMS_Poultry_ManureAppliedToSoils_Equations.VEERG_4_6_1_9__1_MassOfNitrogenAppliedToSoilsScope1(F26,_xlfn.XLOOKUP($E109, $D$41:$D$49,$E$41:$E$49), _xlfn.XLOOKUP($E109, $D$54:$D$62,$E$54:$E$62), F71,$F90)</f>
        <v>0.7127115839999999</v>
      </c>
      <c r="G109" s="15" cm="1">
        <f t="array" ref="G109">MMS_Poultry_ManureAppliedToSoils_Equations.VEERG_4_6_1_9__1_MassOfNitrogenAppliedToSoilsScope1(G26,_xlfn.XLOOKUP($E109, $D$41:$D$49,$E$41:$E$49), _xlfn.XLOOKUP($E109, $D$54:$D$62,$E$54:$E$62), G71,$F90)</f>
        <v>0.7607379167999998</v>
      </c>
      <c r="H109" s="15" cm="1">
        <f t="array" ref="H109">MMS_Poultry_ManureAppliedToSoils_Equations.VEERG_4_6_1_9__1_MassOfNitrogenAppliedToSoilsScope1(H26,_xlfn.XLOOKUP($E109, $D$41:$D$49,$E$41:$E$49), _xlfn.XLOOKUP($E109, $D$54:$D$62,$E$54:$E$62), H71,$F90)</f>
        <v>0.89299319039999958</v>
      </c>
      <c r="I109" s="15" cm="1">
        <f t="array" ref="I109">MMS_Poultry_ManureAppliedToSoils_Equations.VEERG_4_6_1_9__1_MassOfNitrogenAppliedToSoilsScope1(I26,_xlfn.XLOOKUP($E109, $D$41:$D$49,$E$41:$E$49), _xlfn.XLOOKUP($E109, $D$54:$D$62,$E$54:$E$62), I71,$F90)</f>
        <v>0.7607379167999998</v>
      </c>
      <c r="N109" s="15"/>
      <c r="O109" s="15" t="str">
        <f>INDEX(X_Table_Poultry_Stage2MMS_PoultryManureWithBedding,6,1)</f>
        <v>Direct application</v>
      </c>
      <c r="P109" s="15" cm="1">
        <f t="array" ref="P109">MMS_Poultry_ManureAppliedToSoils_Equations.VEERG_4_6_1_9__1_MassOfNitrogenAppliedToSoilsScope1(P26,_xlfn.XLOOKUP($O109, $D$41:$D$49,$E$41:$E$49), _xlfn.XLOOKUP($O109, $D$54:$D$62,$E$54:$E$62), P71,$F90)</f>
        <v>0.7127115839999999</v>
      </c>
      <c r="Q109" s="15" cm="1">
        <f t="array" ref="Q109">MMS_Poultry_ManureAppliedToSoils_Equations.VEERG_4_6_1_9__1_MassOfNitrogenAppliedToSoilsScope1(Q26,_xlfn.XLOOKUP($O109, $D$41:$D$49,$E$41:$E$49), _xlfn.XLOOKUP($O109, $D$54:$D$62,$E$54:$E$62), Q71,$F90)</f>
        <v>0.7607379167999998</v>
      </c>
      <c r="R109" s="15" cm="1">
        <f t="array" ref="R109">MMS_Poultry_ManureAppliedToSoils_Equations.VEERG_4_6_1_9__1_MassOfNitrogenAppliedToSoilsScope1(R26,_xlfn.XLOOKUP($O109, $D$41:$D$49,$E$41:$E$49), _xlfn.XLOOKUP($O109, $D$54:$D$62,$E$54:$E$62), R71,$F90)</f>
        <v>0.89299319039999958</v>
      </c>
      <c r="S109" s="15" cm="1">
        <f t="array" ref="S109">MMS_Poultry_ManureAppliedToSoils_Equations.VEERG_4_6_1_9__1_MassOfNitrogenAppliedToSoilsScope1(S26,_xlfn.XLOOKUP($O109, $D$41:$D$49,$E$41:$E$49), _xlfn.XLOOKUP($O109, $D$54:$D$62,$E$54:$E$62), S71,$F90)</f>
        <v>0.7607379167999998</v>
      </c>
    </row>
    <row r="110" spans="1:20" ht="20.100000000000001" customHeight="1" x14ac:dyDescent="0.2">
      <c r="D110" s="15" t="str">
        <f>INDEX(X_Table_Poultry_Stage1MMS,3,1)</f>
        <v>Belt manure removal</v>
      </c>
      <c r="E110" s="15" t="str">
        <f>INDEX(X_Table_Poultry_Stage2MMS_BeltManureRemoval,2,1)</f>
        <v>Solid storage</v>
      </c>
      <c r="F110" s="15" cm="1">
        <f t="array" ref="F110">MMS_Poultry_ManureAppliedToSoils_Equations.VEERG_4_6_1_9__1_MassOfNitrogenAppliedToSoilsScope1(F27,_xlfn.XLOOKUP($E110, $D$41:$D$49,$E$41:$E$49), _xlfn.XLOOKUP($E110, $D$54:$D$62,$E$54:$E$62), F72,$F91)</f>
        <v>0.56242655820000009</v>
      </c>
      <c r="G110" s="15" cm="1">
        <f t="array" ref="G110">MMS_Poultry_ManureAppliedToSoils_Equations.VEERG_4_6_1_9__1_MassOfNitrogenAppliedToSoilsScope1(G27,_xlfn.XLOOKUP($E110, $D$41:$D$49,$E$41:$E$49), _xlfn.XLOOKUP($E110, $D$54:$D$62,$E$54:$E$62), G72,$F91)</f>
        <v>0.60032587913999991</v>
      </c>
      <c r="H110" s="15" cm="1">
        <f t="array" ref="H110">MMS_Poultry_ManureAppliedToSoils_Equations.VEERG_4_6_1_9__1_MassOfNitrogenAppliedToSoilsScope1(H27,_xlfn.XLOOKUP($E110, $D$41:$D$49,$E$41:$E$49), _xlfn.XLOOKUP($E110, $D$54:$D$62,$E$54:$E$62), H72,$F91)</f>
        <v>0.70469331191999995</v>
      </c>
      <c r="I110" s="15" cm="1">
        <f t="array" ref="I110">MMS_Poultry_ManureAppliedToSoils_Equations.VEERG_4_6_1_9__1_MassOfNitrogenAppliedToSoilsScope1(I27,_xlfn.XLOOKUP($E110, $D$41:$D$49,$E$41:$E$49), _xlfn.XLOOKUP($E110, $D$54:$D$62,$E$54:$E$62), I72,$F91)</f>
        <v>0.60032587913999991</v>
      </c>
      <c r="J110" s="16"/>
      <c r="N110" s="15" t="str">
        <f>INDEX(X_Table_Poultry_Stage1MMS,3,1)</f>
        <v>Belt manure removal</v>
      </c>
      <c r="O110" s="15" t="str">
        <f>INDEX(X_Table_Poultry_Stage2MMS_BeltManureRemoval,2,1)</f>
        <v>Solid storage</v>
      </c>
      <c r="P110" s="15" cm="1">
        <f t="array" ref="P110">MMS_Poultry_ManureAppliedToSoils_Equations.VEERG_4_6_1_9__1_MassOfNitrogenAppliedToSoilsScope1(P27,_xlfn.XLOOKUP($O110, $D$41:$D$49,$E$41:$E$49), _xlfn.XLOOKUP($O110, $D$54:$D$62,$E$54:$E$62), P72,$F91)</f>
        <v>0.56242655820000009</v>
      </c>
      <c r="Q110" s="15" cm="1">
        <f t="array" ref="Q110">MMS_Poultry_ManureAppliedToSoils_Equations.VEERG_4_6_1_9__1_MassOfNitrogenAppliedToSoilsScope1(Q27,_xlfn.XLOOKUP($O110, $D$41:$D$49,$E$41:$E$49), _xlfn.XLOOKUP($O110, $D$54:$D$62,$E$54:$E$62), Q72,$F91)</f>
        <v>0.60032587913999991</v>
      </c>
      <c r="R110" s="15" cm="1">
        <f t="array" ref="R110">MMS_Poultry_ManureAppliedToSoils_Equations.VEERG_4_6_1_9__1_MassOfNitrogenAppliedToSoilsScope1(R27,_xlfn.XLOOKUP($O110, $D$41:$D$49,$E$41:$E$49), _xlfn.XLOOKUP($O110, $D$54:$D$62,$E$54:$E$62), R72,$F91)</f>
        <v>0.70469331191999995</v>
      </c>
      <c r="S110" s="15" cm="1">
        <f t="array" ref="S110">MMS_Poultry_ManureAppliedToSoils_Equations.VEERG_4_6_1_9__1_MassOfNitrogenAppliedToSoilsScope1(S27,_xlfn.XLOOKUP($O110, $D$41:$D$49,$E$41:$E$49), _xlfn.XLOOKUP($O110, $D$54:$D$62,$E$54:$E$62), S72,$F91)</f>
        <v>0.60032587913999991</v>
      </c>
      <c r="T110" s="16"/>
    </row>
    <row r="111" spans="1:20" ht="20.100000000000001" customHeight="1" x14ac:dyDescent="0.2">
      <c r="D111" s="15"/>
      <c r="E111" s="15" t="str">
        <f>INDEX(X_Table_Poultry_Stage2MMS_BeltManureRemoval,3,1)</f>
        <v>Composting (passive windrow)</v>
      </c>
      <c r="F111" s="15" cm="1">
        <f t="array" ref="F111">MMS_Poultry_ManureAppliedToSoils_Equations.VEERG_4_6_1_9__1_MassOfNitrogenAppliedToSoilsScope1(F28,_xlfn.XLOOKUP($E111, $D$41:$D$49,$E$41:$E$49), _xlfn.XLOOKUP($E111, $D$54:$D$62,$E$54:$E$62), F73,$F92)</f>
        <v>0.57331223352000016</v>
      </c>
      <c r="G111" s="15" cm="1">
        <f t="array" ref="G111">MMS_Poultry_ManureAppliedToSoils_Equations.VEERG_4_6_1_9__1_MassOfNitrogenAppliedToSoilsScope1(G28,_xlfn.XLOOKUP($E111, $D$41:$D$49,$E$41:$E$49), _xlfn.XLOOKUP($E111, $D$54:$D$62,$E$54:$E$62), G73,$F92)</f>
        <v>0.61194508970400008</v>
      </c>
      <c r="H111" s="15" cm="1">
        <f t="array" ref="H111">MMS_Poultry_ManureAppliedToSoils_Equations.VEERG_4_6_1_9__1_MassOfNitrogenAppliedToSoilsScope1(H28,_xlfn.XLOOKUP($E111, $D$41:$D$49,$E$41:$E$49), _xlfn.XLOOKUP($E111, $D$54:$D$62,$E$54:$E$62), H73,$F92)</f>
        <v>0.71833253731199997</v>
      </c>
      <c r="I111" s="15" cm="1">
        <f t="array" ref="I111">MMS_Poultry_ManureAppliedToSoils_Equations.VEERG_4_6_1_9__1_MassOfNitrogenAppliedToSoilsScope1(I28,_xlfn.XLOOKUP($E111, $D$41:$D$49,$E$41:$E$49), _xlfn.XLOOKUP($E111, $D$54:$D$62,$E$54:$E$62), I73,$F92)</f>
        <v>0.61194508970400008</v>
      </c>
      <c r="J111" s="16"/>
      <c r="N111" s="15"/>
      <c r="O111" s="15" t="str">
        <f>INDEX(X_Table_Poultry_Stage2MMS_BeltManureRemoval,3,1)</f>
        <v>Composting (passive windrow)</v>
      </c>
      <c r="P111" s="15" cm="1">
        <f t="array" ref="P111">MMS_Poultry_ManureAppliedToSoils_Equations.VEERG_4_6_1_9__1_MassOfNitrogenAppliedToSoilsScope1(P28,_xlfn.XLOOKUP($O111, $D$41:$D$49,$E$41:$E$49), _xlfn.XLOOKUP($O111, $D$54:$D$62,$E$54:$E$62), P73,$F92)</f>
        <v>0.57331223352000016</v>
      </c>
      <c r="Q111" s="15" cm="1">
        <f t="array" ref="Q111">MMS_Poultry_ManureAppliedToSoils_Equations.VEERG_4_6_1_9__1_MassOfNitrogenAppliedToSoilsScope1(Q28,_xlfn.XLOOKUP($O111, $D$41:$D$49,$E$41:$E$49), _xlfn.XLOOKUP($O111, $D$54:$D$62,$E$54:$E$62), Q73,$F92)</f>
        <v>0.61194508970400008</v>
      </c>
      <c r="R111" s="15" cm="1">
        <f t="array" ref="R111">MMS_Poultry_ManureAppliedToSoils_Equations.VEERG_4_6_1_9__1_MassOfNitrogenAppliedToSoilsScope1(R28,_xlfn.XLOOKUP($O111, $D$41:$D$49,$E$41:$E$49), _xlfn.XLOOKUP($O111, $D$54:$D$62,$E$54:$E$62), R73,$F92)</f>
        <v>0.71833253731199997</v>
      </c>
      <c r="S111" s="15" cm="1">
        <f t="array" ref="S111">MMS_Poultry_ManureAppliedToSoils_Equations.VEERG_4_6_1_9__1_MassOfNitrogenAppliedToSoilsScope1(S28,_xlfn.XLOOKUP($O111, $D$41:$D$49,$E$41:$E$49), _xlfn.XLOOKUP($O111, $D$54:$D$62,$E$54:$E$62), S73,$F92)</f>
        <v>0.61194508970400008</v>
      </c>
      <c r="T111" s="16"/>
    </row>
    <row r="112" spans="1:20" ht="20.100000000000001" customHeight="1" x14ac:dyDescent="0.2">
      <c r="D112" s="15"/>
      <c r="E112" s="15" t="str">
        <f>INDEX(X_Table_Poultry_Stage2MMS_BeltManureRemoval,4,1)</f>
        <v>Digester / covered lagoons</v>
      </c>
      <c r="F112" s="15" cm="1">
        <f t="array" ref="F112">MMS_Poultry_ManureAppliedToSoils_Equations.VEERG_4_6_1_9__1_MassOfNitrogenAppliedToSoilsScope1(F29,_xlfn.XLOOKUP($E112, $D$41:$D$49,$E$41:$E$49), _xlfn.XLOOKUP($E112, $D$54:$D$62,$E$54:$E$62), F74,$F93)</f>
        <v>0.72571168800000019</v>
      </c>
      <c r="G112" s="15" cm="1">
        <f t="array" ref="G112">MMS_Poultry_ManureAppliedToSoils_Equations.VEERG_4_6_1_9__1_MassOfNitrogenAppliedToSoilsScope1(G29,_xlfn.XLOOKUP($E112, $D$41:$D$49,$E$41:$E$49), _xlfn.XLOOKUP($E112, $D$54:$D$62,$E$54:$E$62), G74,$F93)</f>
        <v>0.77461403760000003</v>
      </c>
      <c r="H112" s="15" cm="1">
        <f t="array" ref="H112">MMS_Poultry_ManureAppliedToSoils_Equations.VEERG_4_6_1_9__1_MassOfNitrogenAppliedToSoilsScope1(H29,_xlfn.XLOOKUP($E112, $D$41:$D$49,$E$41:$E$49), _xlfn.XLOOKUP($E112, $D$54:$D$62,$E$54:$E$62), H74,$F93)</f>
        <v>0.90928169280000004</v>
      </c>
      <c r="I112" s="15" cm="1">
        <f t="array" ref="I112">MMS_Poultry_ManureAppliedToSoils_Equations.VEERG_4_6_1_9__1_MassOfNitrogenAppliedToSoilsScope1(I29,_xlfn.XLOOKUP($E112, $D$41:$D$49,$E$41:$E$49), _xlfn.XLOOKUP($E112, $D$54:$D$62,$E$54:$E$62), I74,$F93)</f>
        <v>0.77461403760000003</v>
      </c>
      <c r="J112" s="16"/>
      <c r="N112" s="15"/>
      <c r="O112" s="15" t="str">
        <f>INDEX(X_Table_Poultry_Stage2MMS_BeltManureRemoval,4,1)</f>
        <v>Digester / covered lagoons</v>
      </c>
      <c r="P112" s="15" cm="1">
        <f t="array" ref="P112">MMS_Poultry_ManureAppliedToSoils_Equations.VEERG_4_6_1_9__1_MassOfNitrogenAppliedToSoilsScope1(P29,_xlfn.XLOOKUP($O112, $D$41:$D$49,$E$41:$E$49), _xlfn.XLOOKUP($O112, $D$54:$D$62,$E$54:$E$62), P74,$F93)</f>
        <v>0.72571168800000019</v>
      </c>
      <c r="Q112" s="15" cm="1">
        <f t="array" ref="Q112">MMS_Poultry_ManureAppliedToSoils_Equations.VEERG_4_6_1_9__1_MassOfNitrogenAppliedToSoilsScope1(Q29,_xlfn.XLOOKUP($O112, $D$41:$D$49,$E$41:$E$49), _xlfn.XLOOKUP($O112, $D$54:$D$62,$E$54:$E$62), Q74,$F93)</f>
        <v>0.77461403760000003</v>
      </c>
      <c r="R112" s="15" cm="1">
        <f t="array" ref="R112">MMS_Poultry_ManureAppliedToSoils_Equations.VEERG_4_6_1_9__1_MassOfNitrogenAppliedToSoilsScope1(R29,_xlfn.XLOOKUP($O112, $D$41:$D$49,$E$41:$E$49), _xlfn.XLOOKUP($O112, $D$54:$D$62,$E$54:$E$62), R74,$F93)</f>
        <v>0.90928169280000004</v>
      </c>
      <c r="S112" s="15" cm="1">
        <f t="array" ref="S112">MMS_Poultry_ManureAppliedToSoils_Equations.VEERG_4_6_1_9__1_MassOfNitrogenAppliedToSoilsScope1(S29,_xlfn.XLOOKUP($O112, $D$41:$D$49,$E$41:$E$49), _xlfn.XLOOKUP($O112, $D$54:$D$62,$E$54:$E$62), S74,$F93)</f>
        <v>0.77461403760000003</v>
      </c>
      <c r="T112" s="16"/>
    </row>
    <row r="113" spans="1:21" ht="20.100000000000001" customHeight="1" x14ac:dyDescent="0.2">
      <c r="D113" s="15"/>
      <c r="E113" s="15" t="str">
        <f>INDEX(X_Table_Poultry_Stage2MMS_BeltManureRemoval,5,1)</f>
        <v>Direct processing</v>
      </c>
      <c r="F113" s="15" cm="1">
        <f t="array" ref="F113">MMS_Poultry_ManureAppliedToSoils_Equations.VEERG_4_6_1_9__1_MassOfNitrogenAppliedToSoilsScope1(F30,_xlfn.XLOOKUP($E113, $D$41:$D$49,$E$41:$E$49), _xlfn.XLOOKUP($E113, $D$54:$D$62,$E$54:$E$62), F75,$F94)</f>
        <v>0.72571168800000019</v>
      </c>
      <c r="G113" s="15" cm="1">
        <f t="array" ref="G113">MMS_Poultry_ManureAppliedToSoils_Equations.VEERG_4_6_1_9__1_MassOfNitrogenAppliedToSoilsScope1(G30,_xlfn.XLOOKUP($E113, $D$41:$D$49,$E$41:$E$49), _xlfn.XLOOKUP($E113, $D$54:$D$62,$E$54:$E$62), G75,$F94)</f>
        <v>0.77461403760000003</v>
      </c>
      <c r="H113" s="15" cm="1">
        <f t="array" ref="H113">MMS_Poultry_ManureAppliedToSoils_Equations.VEERG_4_6_1_9__1_MassOfNitrogenAppliedToSoilsScope1(H30,_xlfn.XLOOKUP($E113, $D$41:$D$49,$E$41:$E$49), _xlfn.XLOOKUP($E113, $D$54:$D$62,$E$54:$E$62), H75,$F94)</f>
        <v>0.90928169280000004</v>
      </c>
      <c r="I113" s="15" cm="1">
        <f t="array" ref="I113">MMS_Poultry_ManureAppliedToSoils_Equations.VEERG_4_6_1_9__1_MassOfNitrogenAppliedToSoilsScope1(I30,_xlfn.XLOOKUP($E113, $D$41:$D$49,$E$41:$E$49), _xlfn.XLOOKUP($E113, $D$54:$D$62,$E$54:$E$62), I75,$F94)</f>
        <v>0.77461403760000003</v>
      </c>
      <c r="J113" s="16"/>
      <c r="N113" s="15"/>
      <c r="O113" s="15" t="str">
        <f>INDEX(X_Table_Poultry_Stage2MMS_BeltManureRemoval,5,1)</f>
        <v>Direct processing</v>
      </c>
      <c r="P113" s="15" cm="1">
        <f t="array" ref="P113">MMS_Poultry_ManureAppliedToSoils_Equations.VEERG_4_6_1_9__1_MassOfNitrogenAppliedToSoilsScope1(P30,_xlfn.XLOOKUP($O113, $D$41:$D$49,$E$41:$E$49), _xlfn.XLOOKUP($O113, $D$54:$D$62,$E$54:$E$62), P75,$F94)</f>
        <v>0.72571168800000019</v>
      </c>
      <c r="Q113" s="15" cm="1">
        <f t="array" ref="Q113">MMS_Poultry_ManureAppliedToSoils_Equations.VEERG_4_6_1_9__1_MassOfNitrogenAppliedToSoilsScope1(Q30,_xlfn.XLOOKUP($O113, $D$41:$D$49,$E$41:$E$49), _xlfn.XLOOKUP($O113, $D$54:$D$62,$E$54:$E$62), Q75,$F94)</f>
        <v>0.77461403760000003</v>
      </c>
      <c r="R113" s="15" cm="1">
        <f t="array" ref="R113">MMS_Poultry_ManureAppliedToSoils_Equations.VEERG_4_6_1_9__1_MassOfNitrogenAppliedToSoilsScope1(R30,_xlfn.XLOOKUP($O113, $D$41:$D$49,$E$41:$E$49), _xlfn.XLOOKUP($O113, $D$54:$D$62,$E$54:$E$62), R75,$F94)</f>
        <v>0.90928169280000004</v>
      </c>
      <c r="S113" s="15" cm="1">
        <f t="array" ref="S113">MMS_Poultry_ManureAppliedToSoils_Equations.VEERG_4_6_1_9__1_MassOfNitrogenAppliedToSoilsScope1(S30,_xlfn.XLOOKUP($O113, $D$41:$D$49,$E$41:$E$49), _xlfn.XLOOKUP($O113, $D$54:$D$62,$E$54:$E$62), S75,$F94)</f>
        <v>0.77461403760000003</v>
      </c>
      <c r="T113" s="16"/>
    </row>
    <row r="114" spans="1:21" ht="20.100000000000001" customHeight="1" x14ac:dyDescent="0.2">
      <c r="D114" s="15"/>
      <c r="E114" s="15" t="str">
        <f>INDEX(X_Table_Poultry_Stage2MMS_BeltManureRemoval,6,1)</f>
        <v>Direct application</v>
      </c>
      <c r="F114" s="15" cm="1">
        <f t="array" ref="F114">MMS_Poultry_ManureAppliedToSoils_Equations.VEERG_4_6_1_9__1_MassOfNitrogenAppliedToSoilsScope1(F31,_xlfn.XLOOKUP($E114, $D$41:$D$49,$E$41:$E$49), _xlfn.XLOOKUP($E114, $D$54:$D$62,$E$54:$E$62), F76,$F95)</f>
        <v>0.96761558399999992</v>
      </c>
      <c r="G114" s="15" cm="1">
        <f t="array" ref="G114">MMS_Poultry_ManureAppliedToSoils_Equations.VEERG_4_6_1_9__1_MassOfNitrogenAppliedToSoilsScope1(G31,_xlfn.XLOOKUP($E114, $D$41:$D$49,$E$41:$E$49), _xlfn.XLOOKUP($E114, $D$54:$D$62,$E$54:$E$62), G76,$F95)</f>
        <v>1.0328187167999998</v>
      </c>
      <c r="H114" s="15" cm="1">
        <f t="array" ref="H114">MMS_Poultry_ManureAppliedToSoils_Equations.VEERG_4_6_1_9__1_MassOfNitrogenAppliedToSoilsScope1(H31,_xlfn.XLOOKUP($E114, $D$41:$D$49,$E$41:$E$49), _xlfn.XLOOKUP($E114, $D$54:$D$62,$E$54:$E$62), H76,$F95)</f>
        <v>1.2123755903999998</v>
      </c>
      <c r="I114" s="15" cm="1">
        <f t="array" ref="I114">MMS_Poultry_ManureAppliedToSoils_Equations.VEERG_4_6_1_9__1_MassOfNitrogenAppliedToSoilsScope1(I31,_xlfn.XLOOKUP($E114, $D$41:$D$49,$E$41:$E$49), _xlfn.XLOOKUP($E114, $D$54:$D$62,$E$54:$E$62), I76,$F95)</f>
        <v>1.0328187167999998</v>
      </c>
      <c r="N114" s="15"/>
      <c r="O114" s="15" t="str">
        <f>INDEX(X_Table_Poultry_Stage2MMS_BeltManureRemoval,6,1)</f>
        <v>Direct application</v>
      </c>
      <c r="P114" s="15" cm="1">
        <f t="array" ref="P114">MMS_Poultry_ManureAppliedToSoils_Equations.VEERG_4_6_1_9__1_MassOfNitrogenAppliedToSoilsScope1(P31,_xlfn.XLOOKUP($O114, $D$41:$D$49,$E$41:$E$49), _xlfn.XLOOKUP($O114, $D$54:$D$62,$E$54:$E$62), P76,$F95)</f>
        <v>0.96761558399999992</v>
      </c>
      <c r="Q114" s="15" cm="1">
        <f t="array" ref="Q114">MMS_Poultry_ManureAppliedToSoils_Equations.VEERG_4_6_1_9__1_MassOfNitrogenAppliedToSoilsScope1(Q31,_xlfn.XLOOKUP($O114, $D$41:$D$49,$E$41:$E$49), _xlfn.XLOOKUP($O114, $D$54:$D$62,$E$54:$E$62), Q76,$F95)</f>
        <v>1.0328187167999998</v>
      </c>
      <c r="R114" s="15" cm="1">
        <f t="array" ref="R114">MMS_Poultry_ManureAppliedToSoils_Equations.VEERG_4_6_1_9__1_MassOfNitrogenAppliedToSoilsScope1(R31,_xlfn.XLOOKUP($O114, $D$41:$D$49,$E$41:$E$49), _xlfn.XLOOKUP($O114, $D$54:$D$62,$E$54:$E$62), R76,$F95)</f>
        <v>1.2123755903999998</v>
      </c>
      <c r="S114" s="15" cm="1">
        <f t="array" ref="S114">MMS_Poultry_ManureAppliedToSoils_Equations.VEERG_4_6_1_9__1_MassOfNitrogenAppliedToSoilsScope1(S31,_xlfn.XLOOKUP($O114, $D$41:$D$49,$E$41:$E$49), _xlfn.XLOOKUP($O114, $D$54:$D$62,$E$54:$E$62), S76,$F95)</f>
        <v>1.0328187167999998</v>
      </c>
    </row>
    <row r="115" spans="1:21" ht="20.100000000000001" customHeight="1" x14ac:dyDescent="0.2">
      <c r="D115" s="15" t="str">
        <f>INDEX(X_Table_Poultry_Stage1MMS,4,1)</f>
        <v>Manure stored in house</v>
      </c>
      <c r="E115" s="15" t="str">
        <f>INDEX(X_Table_Poultry_Stage2MMS_ManureStoredInHouse,2,1)</f>
        <v>Solid storage</v>
      </c>
      <c r="F115" s="15" cm="1">
        <f t="array" ref="F115">MMS_Poultry_ManureAppliedToSoils_Equations.VEERG_4_6_1_9__1_MassOfNitrogenAppliedToSoilsScope1(F32,_xlfn.XLOOKUP($E115, $D$41:$D$49,$E$41:$E$49), _xlfn.XLOOKUP($E115, $D$54:$D$62,$E$54:$E$62), F77,$F96)</f>
        <v>0.35499842820000005</v>
      </c>
      <c r="G115" s="15" cm="1">
        <f t="array" ref="G115">MMS_Poultry_ManureAppliedToSoils_Equations.VEERG_4_6_1_9__1_MassOfNitrogenAppliedToSoilsScope1(G32,_xlfn.XLOOKUP($E115, $D$41:$D$49,$E$41:$E$49), _xlfn.XLOOKUP($E115, $D$54:$D$62,$E$54:$E$62), G77,$F96)</f>
        <v>0.37892012813999987</v>
      </c>
      <c r="H115" s="15" cm="1">
        <f t="array" ref="H115">MMS_Poultry_ManureAppliedToSoils_Equations.VEERG_4_6_1_9__1_MassOfNitrogenAppliedToSoilsScope1(H32,_xlfn.XLOOKUP($E115, $D$41:$D$49,$E$41:$E$49), _xlfn.XLOOKUP($E115, $D$54:$D$62,$E$54:$E$62), H77,$F96)</f>
        <v>0.44479588391999991</v>
      </c>
      <c r="I115" s="15" cm="1">
        <f t="array" ref="I115">MMS_Poultry_ManureAppliedToSoils_Equations.VEERG_4_6_1_9__1_MassOfNitrogenAppliedToSoilsScope1(I32,_xlfn.XLOOKUP($E115, $D$41:$D$49,$E$41:$E$49), _xlfn.XLOOKUP($E115, $D$54:$D$62,$E$54:$E$62), I77,$F96)</f>
        <v>0.37892012813999987</v>
      </c>
      <c r="J115" s="16"/>
      <c r="N115" s="15" t="str">
        <f>INDEX(X_Table_Poultry_Stage1MMS,4,1)</f>
        <v>Manure stored in house</v>
      </c>
      <c r="O115" s="15" t="str">
        <f>INDEX(X_Table_Poultry_Stage2MMS_ManureStoredInHouse,2,1)</f>
        <v>Solid storage</v>
      </c>
      <c r="P115" s="15" cm="1">
        <f t="array" ref="P115">MMS_Poultry_ManureAppliedToSoils_Equations.VEERG_4_6_1_9__1_MassOfNitrogenAppliedToSoilsScope1(P32,_xlfn.XLOOKUP($O115, $D$41:$D$49,$E$41:$E$49), _xlfn.XLOOKUP($O115, $D$54:$D$62,$E$54:$E$62), P77,$F96)</f>
        <v>0.35499842820000005</v>
      </c>
      <c r="Q115" s="15" cm="1">
        <f t="array" ref="Q115">MMS_Poultry_ManureAppliedToSoils_Equations.VEERG_4_6_1_9__1_MassOfNitrogenAppliedToSoilsScope1(Q32,_xlfn.XLOOKUP($O115, $D$41:$D$49,$E$41:$E$49), _xlfn.XLOOKUP($O115, $D$54:$D$62,$E$54:$E$62), Q77,$F96)</f>
        <v>0.37892012813999987</v>
      </c>
      <c r="R115" s="15" cm="1">
        <f t="array" ref="R115">MMS_Poultry_ManureAppliedToSoils_Equations.VEERG_4_6_1_9__1_MassOfNitrogenAppliedToSoilsScope1(R32,_xlfn.XLOOKUP($O115, $D$41:$D$49,$E$41:$E$49), _xlfn.XLOOKUP($O115, $D$54:$D$62,$E$54:$E$62), R77,$F96)</f>
        <v>0.44479588391999991</v>
      </c>
      <c r="S115" s="15" cm="1">
        <f t="array" ref="S115">MMS_Poultry_ManureAppliedToSoils_Equations.VEERG_4_6_1_9__1_MassOfNitrogenAppliedToSoilsScope1(S32,_xlfn.XLOOKUP($O115, $D$41:$D$49,$E$41:$E$49), _xlfn.XLOOKUP($O115, $D$54:$D$62,$E$54:$E$62), S77,$F96)</f>
        <v>0.37892012813999987</v>
      </c>
      <c r="T115" s="16"/>
    </row>
    <row r="116" spans="1:21" ht="20.100000000000001" customHeight="1" x14ac:dyDescent="0.2">
      <c r="D116" s="15"/>
      <c r="E116" s="15" t="str">
        <f>INDEX(X_Table_Poultry_Stage2MMS_ManureStoredInHouse,3,1)</f>
        <v>Composting (passive windrow)</v>
      </c>
      <c r="F116" s="15" cm="1">
        <f t="array" ref="F116">MMS_Poultry_ManureAppliedToSoils_Equations.VEERG_4_6_1_9__1_MassOfNitrogenAppliedToSoilsScope1(F33,_xlfn.XLOOKUP($E116, $D$41:$D$49,$E$41:$E$49), _xlfn.XLOOKUP($E116, $D$54:$D$62,$E$54:$E$62), F78,$F97)</f>
        <v>0.3618693655200001</v>
      </c>
      <c r="G116" s="15" cm="1">
        <f t="array" ref="G116">MMS_Poultry_ManureAppliedToSoils_Equations.VEERG_4_6_1_9__1_MassOfNitrogenAppliedToSoilsScope1(G33,_xlfn.XLOOKUP($E116, $D$41:$D$49,$E$41:$E$49), _xlfn.XLOOKUP($E116, $D$54:$D$62,$E$54:$E$62), G78,$F97)</f>
        <v>0.38625406610400004</v>
      </c>
      <c r="H116" s="15" cm="1">
        <f t="array" ref="H116">MMS_Poultry_ManureAppliedToSoils_Equations.VEERG_4_6_1_9__1_MassOfNitrogenAppliedToSoilsScope1(H33,_xlfn.XLOOKUP($E116, $D$41:$D$49,$E$41:$E$49), _xlfn.XLOOKUP($E116, $D$54:$D$62,$E$54:$E$62), H78,$F97)</f>
        <v>0.45340483651199992</v>
      </c>
      <c r="I116" s="15" cm="1">
        <f t="array" ref="I116">MMS_Poultry_ManureAppliedToSoils_Equations.VEERG_4_6_1_9__1_MassOfNitrogenAppliedToSoilsScope1(I33,_xlfn.XLOOKUP($E116, $D$41:$D$49,$E$41:$E$49), _xlfn.XLOOKUP($E116, $D$54:$D$62,$E$54:$E$62), I78,$F97)</f>
        <v>0.38625406610400004</v>
      </c>
      <c r="J116" s="16"/>
      <c r="N116" s="15"/>
      <c r="O116" s="15" t="str">
        <f>INDEX(X_Table_Poultry_Stage2MMS_ManureStoredInHouse,3,1)</f>
        <v>Composting (passive windrow)</v>
      </c>
      <c r="P116" s="15" cm="1">
        <f t="array" ref="P116">MMS_Poultry_ManureAppliedToSoils_Equations.VEERG_4_6_1_9__1_MassOfNitrogenAppliedToSoilsScope1(P33,_xlfn.XLOOKUP($O116, $D$41:$D$49,$E$41:$E$49), _xlfn.XLOOKUP($O116, $D$54:$D$62,$E$54:$E$62), P78,$F97)</f>
        <v>0.3618693655200001</v>
      </c>
      <c r="Q116" s="15" cm="1">
        <f t="array" ref="Q116">MMS_Poultry_ManureAppliedToSoils_Equations.VEERG_4_6_1_9__1_MassOfNitrogenAppliedToSoilsScope1(Q33,_xlfn.XLOOKUP($O116, $D$41:$D$49,$E$41:$E$49), _xlfn.XLOOKUP($O116, $D$54:$D$62,$E$54:$E$62), Q78,$F97)</f>
        <v>0.38625406610400004</v>
      </c>
      <c r="R116" s="15" cm="1">
        <f t="array" ref="R116">MMS_Poultry_ManureAppliedToSoils_Equations.VEERG_4_6_1_9__1_MassOfNitrogenAppliedToSoilsScope1(R33,_xlfn.XLOOKUP($O116, $D$41:$D$49,$E$41:$E$49), _xlfn.XLOOKUP($O116, $D$54:$D$62,$E$54:$E$62), R78,$F97)</f>
        <v>0.45340483651199992</v>
      </c>
      <c r="S116" s="15" cm="1">
        <f t="array" ref="S116">MMS_Poultry_ManureAppliedToSoils_Equations.VEERG_4_6_1_9__1_MassOfNitrogenAppliedToSoilsScope1(S33,_xlfn.XLOOKUP($O116, $D$41:$D$49,$E$41:$E$49), _xlfn.XLOOKUP($O116, $D$54:$D$62,$E$54:$E$62), S78,$F97)</f>
        <v>0.38625406610400004</v>
      </c>
      <c r="T116" s="16"/>
    </row>
    <row r="117" spans="1:21" ht="20.100000000000001" customHeight="1" x14ac:dyDescent="0.2">
      <c r="D117" s="15"/>
      <c r="E117" s="15" t="str">
        <f>INDEX(X_Table_Poultry_Stage2MMS_ManureStoredInHouse,4,1)</f>
        <v>Digester / covered lagoons</v>
      </c>
      <c r="F117" s="15" cm="1">
        <f t="array" ref="F117">MMS_Poultry_ManureAppliedToSoils_Equations.VEERG_4_6_1_9__1_MassOfNitrogenAppliedToSoilsScope1(F34,_xlfn.XLOOKUP($E117, $D$41:$D$49,$E$41:$E$49), _xlfn.XLOOKUP($E117, $D$54:$D$62,$E$54:$E$62), F79,$F98)</f>
        <v>0.4580624880000001</v>
      </c>
      <c r="G117" s="15" cm="1">
        <f t="array" ref="G117">MMS_Poultry_ManureAppliedToSoils_Equations.VEERG_4_6_1_9__1_MassOfNitrogenAppliedToSoilsScope1(G34,_xlfn.XLOOKUP($E117, $D$41:$D$49,$E$41:$E$49), _xlfn.XLOOKUP($E117, $D$54:$D$62,$E$54:$E$62), G79,$F98)</f>
        <v>0.48892919759999998</v>
      </c>
      <c r="H117" s="15" cm="1">
        <f t="array" ref="H117">MMS_Poultry_ManureAppliedToSoils_Equations.VEERG_4_6_1_9__1_MassOfNitrogenAppliedToSoilsScope1(H34,_xlfn.XLOOKUP($E117, $D$41:$D$49,$E$41:$E$49), _xlfn.XLOOKUP($E117, $D$54:$D$62,$E$54:$E$62), H79,$F98)</f>
        <v>0.57393017279999992</v>
      </c>
      <c r="I117" s="15" cm="1">
        <f t="array" ref="I117">MMS_Poultry_ManureAppliedToSoils_Equations.VEERG_4_6_1_9__1_MassOfNitrogenAppliedToSoilsScope1(I34,_xlfn.XLOOKUP($E117, $D$41:$D$49,$E$41:$E$49), _xlfn.XLOOKUP($E117, $D$54:$D$62,$E$54:$E$62), I79,$F98)</f>
        <v>0.48892919759999998</v>
      </c>
      <c r="J117" s="16"/>
      <c r="N117" s="15"/>
      <c r="O117" s="15" t="str">
        <f>INDEX(X_Table_Poultry_Stage2MMS_ManureStoredInHouse,4,1)</f>
        <v>Digester / covered lagoons</v>
      </c>
      <c r="P117" s="15" cm="1">
        <f t="array" ref="P117">MMS_Poultry_ManureAppliedToSoils_Equations.VEERG_4_6_1_9__1_MassOfNitrogenAppliedToSoilsScope1(P34,_xlfn.XLOOKUP($O117, $D$41:$D$49,$E$41:$E$49), _xlfn.XLOOKUP($O117, $D$54:$D$62,$E$54:$E$62), P79,$F98)</f>
        <v>0.4580624880000001</v>
      </c>
      <c r="Q117" s="15" cm="1">
        <f t="array" ref="Q117">MMS_Poultry_ManureAppliedToSoils_Equations.VEERG_4_6_1_9__1_MassOfNitrogenAppliedToSoilsScope1(Q34,_xlfn.XLOOKUP($O117, $D$41:$D$49,$E$41:$E$49), _xlfn.XLOOKUP($O117, $D$54:$D$62,$E$54:$E$62), Q79,$F98)</f>
        <v>0.48892919759999998</v>
      </c>
      <c r="R117" s="15" cm="1">
        <f t="array" ref="R117">MMS_Poultry_ManureAppliedToSoils_Equations.VEERG_4_6_1_9__1_MassOfNitrogenAppliedToSoilsScope1(R34,_xlfn.XLOOKUP($O117, $D$41:$D$49,$E$41:$E$49), _xlfn.XLOOKUP($O117, $D$54:$D$62,$E$54:$E$62), R79,$F98)</f>
        <v>0.57393017279999992</v>
      </c>
      <c r="S117" s="15" cm="1">
        <f t="array" ref="S117">MMS_Poultry_ManureAppliedToSoils_Equations.VEERG_4_6_1_9__1_MassOfNitrogenAppliedToSoilsScope1(S34,_xlfn.XLOOKUP($O117, $D$41:$D$49,$E$41:$E$49), _xlfn.XLOOKUP($O117, $D$54:$D$62,$E$54:$E$62), S79,$F98)</f>
        <v>0.48892919759999998</v>
      </c>
      <c r="T117" s="16"/>
    </row>
    <row r="118" spans="1:21" ht="20.100000000000001" customHeight="1" x14ac:dyDescent="0.2">
      <c r="D118" s="15"/>
      <c r="E118" s="15" t="str">
        <f>INDEX(X_Table_Poultry_Stage2MMS_ManureStoredInHouse,5,1)</f>
        <v>Direct processing</v>
      </c>
      <c r="F118" s="15" cm="1">
        <f t="array" ref="F118">MMS_Poultry_ManureAppliedToSoils_Equations.VEERG_4_6_1_9__1_MassOfNitrogenAppliedToSoilsScope1(F35,_xlfn.XLOOKUP($E118, $D$41:$D$49,$E$41:$E$49), _xlfn.XLOOKUP($E118, $D$54:$D$62,$E$54:$E$62), F80,$F99)</f>
        <v>0.4580624880000001</v>
      </c>
      <c r="G118" s="15" cm="1">
        <f t="array" ref="G118">MMS_Poultry_ManureAppliedToSoils_Equations.VEERG_4_6_1_9__1_MassOfNitrogenAppliedToSoilsScope1(G35,_xlfn.XLOOKUP($E118, $D$41:$D$49,$E$41:$E$49), _xlfn.XLOOKUP($E118, $D$54:$D$62,$E$54:$E$62), G80,$F99)</f>
        <v>0.48892919759999998</v>
      </c>
      <c r="H118" s="15" cm="1">
        <f t="array" ref="H118">MMS_Poultry_ManureAppliedToSoils_Equations.VEERG_4_6_1_9__1_MassOfNitrogenAppliedToSoilsScope1(H35,_xlfn.XLOOKUP($E118, $D$41:$D$49,$E$41:$E$49), _xlfn.XLOOKUP($E118, $D$54:$D$62,$E$54:$E$62), H80,$F99)</f>
        <v>0.57393017279999992</v>
      </c>
      <c r="I118" s="15" cm="1">
        <f t="array" ref="I118">MMS_Poultry_ManureAppliedToSoils_Equations.VEERG_4_6_1_9__1_MassOfNitrogenAppliedToSoilsScope1(I35,_xlfn.XLOOKUP($E118, $D$41:$D$49,$E$41:$E$49), _xlfn.XLOOKUP($E118, $D$54:$D$62,$E$54:$E$62), I80,$F99)</f>
        <v>0.48892919759999998</v>
      </c>
      <c r="J118" s="16"/>
      <c r="N118" s="15"/>
      <c r="O118" s="15" t="str">
        <f>INDEX(X_Table_Poultry_Stage2MMS_ManureStoredInHouse,5,1)</f>
        <v>Direct processing</v>
      </c>
      <c r="P118" s="15" cm="1">
        <f t="array" ref="P118">MMS_Poultry_ManureAppliedToSoils_Equations.VEERG_4_6_1_9__1_MassOfNitrogenAppliedToSoilsScope1(P35,_xlfn.XLOOKUP($O118, $D$41:$D$49,$E$41:$E$49), _xlfn.XLOOKUP($O118, $D$54:$D$62,$E$54:$E$62), P80,$F99)</f>
        <v>0.4580624880000001</v>
      </c>
      <c r="Q118" s="15" cm="1">
        <f t="array" ref="Q118">MMS_Poultry_ManureAppliedToSoils_Equations.VEERG_4_6_1_9__1_MassOfNitrogenAppliedToSoilsScope1(Q35,_xlfn.XLOOKUP($O118, $D$41:$D$49,$E$41:$E$49), _xlfn.XLOOKUP($O118, $D$54:$D$62,$E$54:$E$62), Q80,$F99)</f>
        <v>0.48892919759999998</v>
      </c>
      <c r="R118" s="15" cm="1">
        <f t="array" ref="R118">MMS_Poultry_ManureAppliedToSoils_Equations.VEERG_4_6_1_9__1_MassOfNitrogenAppliedToSoilsScope1(R35,_xlfn.XLOOKUP($O118, $D$41:$D$49,$E$41:$E$49), _xlfn.XLOOKUP($O118, $D$54:$D$62,$E$54:$E$62), R80,$F99)</f>
        <v>0.57393017279999992</v>
      </c>
      <c r="S118" s="15" cm="1">
        <f t="array" ref="S118">MMS_Poultry_ManureAppliedToSoils_Equations.VEERG_4_6_1_9__1_MassOfNitrogenAppliedToSoilsScope1(S35,_xlfn.XLOOKUP($O118, $D$41:$D$49,$E$41:$E$49), _xlfn.XLOOKUP($O118, $D$54:$D$62,$E$54:$E$62), S80,$F99)</f>
        <v>0.48892919759999998</v>
      </c>
      <c r="T118" s="16"/>
    </row>
    <row r="119" spans="1:21" ht="20.100000000000001" customHeight="1" x14ac:dyDescent="0.2">
      <c r="D119" s="15"/>
      <c r="E119" s="15" t="str">
        <f>INDEX(X_Table_Poultry_Stage2MMS_ManureStoredInHouse,6,1)</f>
        <v>Direct application</v>
      </c>
      <c r="F119" s="15" cm="1">
        <f t="array" ref="F119">MMS_Poultry_ManureAppliedToSoils_Equations.VEERG_4_6_1_9__1_MassOfNitrogenAppliedToSoilsScope1(F36,_xlfn.XLOOKUP($E119, $D$41:$D$49,$E$41:$E$49), _xlfn.XLOOKUP($E119, $D$54:$D$62,$E$54:$E$62), F81,$F100)</f>
        <v>0.61074998399999991</v>
      </c>
      <c r="G119" s="15" cm="1">
        <f t="array" ref="G119">MMS_Poultry_ManureAppliedToSoils_Equations.VEERG_4_6_1_9__1_MassOfNitrogenAppliedToSoilsScope1(G36,_xlfn.XLOOKUP($E119, $D$41:$D$49,$E$41:$E$49), _xlfn.XLOOKUP($E119, $D$54:$D$62,$E$54:$E$62), G81,$F100)</f>
        <v>0.65190559679999971</v>
      </c>
      <c r="H119" s="15" cm="1">
        <f t="array" ref="H119">MMS_Poultry_ManureAppliedToSoils_Equations.VEERG_4_6_1_9__1_MassOfNitrogenAppliedToSoilsScope1(H36,_xlfn.XLOOKUP($E119, $D$41:$D$49,$E$41:$E$49), _xlfn.XLOOKUP($E119, $D$54:$D$62,$E$54:$E$62), H81,$F100)</f>
        <v>0.76524023039999967</v>
      </c>
      <c r="I119" s="15" cm="1">
        <f t="array" ref="I119">MMS_Poultry_ManureAppliedToSoils_Equations.VEERG_4_6_1_9__1_MassOfNitrogenAppliedToSoilsScope1(I36,_xlfn.XLOOKUP($E119, $D$41:$D$49,$E$41:$E$49), _xlfn.XLOOKUP($E119, $D$54:$D$62,$E$54:$E$62), I81,$F100)</f>
        <v>0.65190559679999971</v>
      </c>
      <c r="N119" s="15"/>
      <c r="O119" s="15" t="str">
        <f>INDEX(X_Table_Poultry_Stage2MMS_ManureStoredInHouse,6,1)</f>
        <v>Direct application</v>
      </c>
      <c r="P119" s="15" cm="1">
        <f t="array" ref="P119">MMS_Poultry_ManureAppliedToSoils_Equations.VEERG_4_6_1_9__1_MassOfNitrogenAppliedToSoilsScope1(P36,_xlfn.XLOOKUP($O119, $D$41:$D$49,$E$41:$E$49), _xlfn.XLOOKUP($O119, $D$54:$D$62,$E$54:$E$62), P81,$F100)</f>
        <v>0.61074998399999991</v>
      </c>
      <c r="Q119" s="15" cm="1">
        <f t="array" ref="Q119">MMS_Poultry_ManureAppliedToSoils_Equations.VEERG_4_6_1_9__1_MassOfNitrogenAppliedToSoilsScope1(Q36,_xlfn.XLOOKUP($O119, $D$41:$D$49,$E$41:$E$49), _xlfn.XLOOKUP($O119, $D$54:$D$62,$E$54:$E$62), Q81,$F100)</f>
        <v>0.65190559679999971</v>
      </c>
      <c r="R119" s="15" cm="1">
        <f t="array" ref="R119">MMS_Poultry_ManureAppliedToSoils_Equations.VEERG_4_6_1_9__1_MassOfNitrogenAppliedToSoilsScope1(R36,_xlfn.XLOOKUP($O119, $D$41:$D$49,$E$41:$E$49), _xlfn.XLOOKUP($O119, $D$54:$D$62,$E$54:$E$62), R81,$F100)</f>
        <v>0.76524023039999967</v>
      </c>
      <c r="S119" s="15" cm="1">
        <f t="array" ref="S119">MMS_Poultry_ManureAppliedToSoils_Equations.VEERG_4_6_1_9__1_MassOfNitrogenAppliedToSoilsScope1(S36,_xlfn.XLOOKUP($O119, $D$41:$D$49,$E$41:$E$49), _xlfn.XLOOKUP($O119, $D$54:$D$62,$E$54:$E$62), S81,$F100)</f>
        <v>0.65190559679999971</v>
      </c>
    </row>
    <row r="121" spans="1:21" ht="20.100000000000001" customHeight="1" x14ac:dyDescent="0.2">
      <c r="D121" s="85" t="s">
        <v>460</v>
      </c>
      <c r="E121" s="86">
        <f>SUM(F105:I119)</f>
        <v>36.930778279920006</v>
      </c>
      <c r="F121" s="95" t="str">
        <f>$E$11</f>
        <v>kg N</v>
      </c>
      <c r="N121" s="85" t="s">
        <v>460</v>
      </c>
      <c r="O121" s="86">
        <f>SUM(P105:S119)</f>
        <v>36.930778279920006</v>
      </c>
      <c r="P121" s="95" t="str">
        <f>$E$11</f>
        <v>kg N</v>
      </c>
    </row>
    <row r="124" spans="1:21" ht="20.100000000000001" customHeight="1" x14ac:dyDescent="0.2">
      <c r="C124" s="83"/>
      <c r="D124" s="83"/>
      <c r="E124" s="83"/>
      <c r="F124" s="83"/>
      <c r="G124" s="83"/>
      <c r="H124" s="83"/>
      <c r="I124" s="83"/>
      <c r="J124" s="83"/>
      <c r="K124" s="83"/>
      <c r="M124" s="83"/>
      <c r="N124" s="83"/>
      <c r="O124" s="83"/>
      <c r="P124" s="83"/>
      <c r="Q124" s="83"/>
      <c r="R124" s="83"/>
      <c r="S124" s="83"/>
      <c r="T124" s="83"/>
      <c r="U124" s="83"/>
    </row>
    <row r="125" spans="1:21" ht="20.100000000000001" customHeight="1" x14ac:dyDescent="0.2">
      <c r="D125" s="2" t="str" cm="1">
        <f t="array" ref="D125">MMS_Poultry_ManureAppliedToSoils_Equations.VEERG_4_6_1_9__2_MassOfNitrogenAppliedToSoilsScope3_Title()</f>
        <v>Mass of nitrogen applied to soils for scope 3 emissions</v>
      </c>
    </row>
    <row r="126" spans="1:21" ht="20.100000000000001" customHeight="1" x14ac:dyDescent="0.2">
      <c r="D126" s="17" t="str" cm="1">
        <f t="array" ref="D126">MMS_Poultry_ManureAppliedToSoils_Equations.VEERG_4_6_1_9__2_MassOfNitrogenAppliedToSoilsScope3_Source()</f>
        <v>VEERG 2026: 4.6.1.9, Equation (2)</v>
      </c>
    </row>
    <row r="127" spans="1:21" ht="20.100000000000001" customHeight="1" x14ac:dyDescent="0.2">
      <c r="D127" s="112" t="s">
        <v>328</v>
      </c>
      <c r="E127" s="112" t="str" cm="1">
        <f t="array" aca="1" ref="E127" ca="1">Common_InputFunctions.Utility_DisplayFunctionName(F142)</f>
        <v>=MMS_Poultry_ManureAppliedToSoils_Equations.VEERG_4_6_1_9__2_MassOfNitrogenAppliedToSoilsScope3</v>
      </c>
    </row>
    <row r="128" spans="1:21" ht="20.100000000000001" customHeight="1" x14ac:dyDescent="0.2">
      <c r="A128" s="79" t="str">
        <f>HYPERLINK("#A1", "▲ Back to top")</f>
        <v>▲ Back to top</v>
      </c>
    </row>
    <row r="130" spans="4:20" ht="20.100000000000001" customHeight="1" x14ac:dyDescent="0.2">
      <c r="D130" s="75" t="s">
        <v>329</v>
      </c>
      <c r="E130" s="1" t="str" cm="1">
        <f t="array" ref="E130">MMS_Poultry_ManureAppliedToSoils_Equations.VEERG_4_6_1_9__2_MassOfNitrogenAppliedToSoilsScope3_Variable()</f>
        <v>MNSoil_scope3</v>
      </c>
    </row>
    <row r="131" spans="4:20" ht="20.100000000000001" customHeight="1" x14ac:dyDescent="0.2">
      <c r="D131" s="75" t="s">
        <v>118</v>
      </c>
      <c r="E131" s="9" t="str" cm="1">
        <f t="array" ref="E131">MMS_Poultry_ManureAppliedToSoils_Equations.VEERG_4_6_1_9__2_MassOfNitrogenAppliedToSoilsScope3_Unit()</f>
        <v>kg N</v>
      </c>
    </row>
    <row r="133" spans="4:20" ht="20.100000000000001" customHeight="1" x14ac:dyDescent="0.2">
      <c r="D133" s="113" t="str" cm="1">
        <f t="array" ref="D133:E137">_xlfn.CHOOSECOLS(MMS_Poultry_ManureAppliedToSoils_Equations.VEERG_4_6_1_9__2_MassOfNitrogenAppliedToSoilsScope3_Arguments(),1,2)</f>
        <v>MN_jmT2</v>
      </c>
      <c r="E133" s="122" t="str">
        <v>mass of N in secondary treatment stage as calculated for manure management</v>
      </c>
      <c r="F133" s="123"/>
      <c r="G133" s="113" t="str" cm="1">
        <f t="array" ref="G133:H137">_xlfn.CHOOSECOLS(MMS_Poultry_ManureAppliedToSoils_Equations.VEERG_4_6_1_9__2_MassOfNitrogenAppliedToSoilsScope3_Arguments(),3,4)</f>
        <v>kg N</v>
      </c>
      <c r="H133" s="115" t="str">
        <v>Calculated from 4.6.1.3 (6)</v>
      </c>
      <c r="I133" s="116" t="str" cm="1">
        <f t="array" aca="1" ref="I133" ca="1">HYPERLINK(Common_InputFunctions.Utility_SourceHyperlink($D$19),$D$19)</f>
        <v>M1_Table_MN_j_k_m_T-2</v>
      </c>
    </row>
    <row r="134" spans="4:20" ht="20.100000000000001" customHeight="1" x14ac:dyDescent="0.2">
      <c r="D134" s="113" t="str">
        <v>EF_mT2</v>
      </c>
      <c r="E134" s="122" t="str">
        <v>nitrous oxide emission factor for each MMS</v>
      </c>
      <c r="F134" s="123"/>
      <c r="G134" s="113" t="str">
        <v>kg N2O-N/kg N</v>
      </c>
      <c r="H134" s="115" t="str">
        <v>Constant</v>
      </c>
      <c r="I134" s="116" t="str" cm="1">
        <f t="array" aca="1" ref="I134" ca="1">HYPERLINK(Common_InputFunctions.Utility_SourceHyperlink($D$38),$D$38)</f>
        <v>Table_EF_m</v>
      </c>
    </row>
    <row r="135" spans="4:20" ht="20.100000000000001" customHeight="1" x14ac:dyDescent="0.2">
      <c r="D135" s="113" t="str">
        <v>FracGASM_mT2</v>
      </c>
      <c r="E135" s="122" t="str">
        <v>fraction of animal waste N volatilised in each MMS</v>
      </c>
      <c r="F135" s="123"/>
      <c r="G135" s="113" t="str">
        <v>(kg NH3-N + NOx-N)/kg N</v>
      </c>
      <c r="H135" s="115" t="str">
        <v>Constant</v>
      </c>
      <c r="I135" s="116" t="str" cm="1">
        <f t="array" aca="1" ref="I135" ca="1">HYPERLINK(Common_InputFunctions.Utility_SourceHyperlink($D$51),$D$51)</f>
        <v>Table_FracGASM_m_T</v>
      </c>
    </row>
    <row r="136" spans="4:20" ht="20.100000000000001" customHeight="1" x14ac:dyDescent="0.2">
      <c r="D136" s="113" t="str">
        <v>MNLeach_MMS</v>
      </c>
      <c r="E136" s="122" t="str">
        <v>mass of N lost through leaching and runoff from MMS</v>
      </c>
      <c r="F136" s="123"/>
      <c r="G136" s="113" t="str">
        <v>kg N</v>
      </c>
      <c r="H136" s="115" t="str">
        <v>Calculated from 4.6.1.7 (2)</v>
      </c>
      <c r="I136" s="116" t="str" cm="1">
        <f t="array" aca="1" ref="I136" ca="1">HYPERLINK(Common_InputFunctions.Utility_SourceHyperlink($D$64),$D$64)</f>
        <v>M1_Table_MNLeach_MMS</v>
      </c>
    </row>
    <row r="137" spans="4:20" ht="20.100000000000001" customHeight="1" x14ac:dyDescent="0.2">
      <c r="D137" s="113" t="str">
        <v>PF</v>
      </c>
      <c r="E137" s="122" t="str">
        <v>fraction of manure applied to soil within the farm boundary</v>
      </c>
      <c r="F137" s="123"/>
      <c r="G137" s="113" t="str">
        <v>fraction</v>
      </c>
      <c r="H137" s="114" t="str">
        <v>Input</v>
      </c>
      <c r="I137" s="116" t="str" cm="1">
        <f t="array" aca="1" ref="I137" ca="1">HYPERLINK(Common_InputFunctions.Utility_SourceHyperlink($D$83),$D$83)</f>
        <v>Table_PF</v>
      </c>
    </row>
    <row r="139" spans="4:20" ht="20.100000000000001" customHeight="1" x14ac:dyDescent="0.2">
      <c r="D139" s="118" t="s">
        <v>461</v>
      </c>
      <c r="N139" s="118" t="s">
        <v>462</v>
      </c>
    </row>
    <row r="140" spans="4:20" ht="20.100000000000001" customHeight="1" x14ac:dyDescent="0.2">
      <c r="D140" s="119" t="s">
        <v>463</v>
      </c>
      <c r="N140" s="119" t="s">
        <v>464</v>
      </c>
    </row>
    <row r="141" spans="4:20" ht="20.100000000000001" customHeight="1" x14ac:dyDescent="0.2">
      <c r="D141" s="120" t="s">
        <v>314</v>
      </c>
      <c r="E141" s="120" t="s">
        <v>318</v>
      </c>
      <c r="F141" s="120" t="s">
        <v>297</v>
      </c>
      <c r="G141" s="120" t="s">
        <v>298</v>
      </c>
      <c r="H141" s="120" t="s">
        <v>299</v>
      </c>
      <c r="I141" s="120" t="s">
        <v>300</v>
      </c>
      <c r="N141" s="120" t="s">
        <v>314</v>
      </c>
      <c r="O141" s="120" t="s">
        <v>318</v>
      </c>
      <c r="P141" s="120" t="s">
        <v>297</v>
      </c>
      <c r="Q141" s="120" t="s">
        <v>298</v>
      </c>
      <c r="R141" s="120" t="s">
        <v>299</v>
      </c>
      <c r="S141" s="120" t="s">
        <v>300</v>
      </c>
    </row>
    <row r="142" spans="4:20" ht="20.100000000000001" customHeight="1" x14ac:dyDescent="0.2">
      <c r="D142" s="15" t="str">
        <f>INDEX(X_Table_Poultry_Stage1MMS,2,1)</f>
        <v>Poultry manure with bedding</v>
      </c>
      <c r="E142" s="15" t="str">
        <f>INDEX(X_Table_Poultry_Stage2MMS_PoultryManureWithBedding,2,1)</f>
        <v>Solid storage</v>
      </c>
      <c r="F142" s="15" cm="1">
        <f t="array" ref="F142">MMS_Poultry_ManureAppliedToSoils_Equations.VEERG_4_6_1_9__2_MassOfNitrogenAppliedToSoilsScope3(F22,_xlfn.XLOOKUP($E142, $D$41:$D$49,$E$41:$E$49), _xlfn.XLOOKUP($E142, $D$54:$D$62,$E$54:$E$62), F67,$F86)</f>
        <v>0.13808786940000004</v>
      </c>
      <c r="G142" s="15" cm="1">
        <f t="array" ref="G142">MMS_Poultry_ManureAppliedToSoils_Equations.VEERG_4_6_1_9__2_MassOfNitrogenAppliedToSoilsScope3(G22,_xlfn.XLOOKUP($E142, $D$41:$D$49,$E$41:$E$49), _xlfn.XLOOKUP($E142, $D$54:$D$62,$E$54:$E$62), G67,$F86)</f>
        <v>0.14739297138000002</v>
      </c>
      <c r="H142" s="15" cm="1">
        <f t="array" ref="H142">MMS_Poultry_ManureAppliedToSoils_Equations.VEERG_4_6_1_9__2_MassOfNitrogenAppliedToSoilsScope3(H22,_xlfn.XLOOKUP($E142, $D$41:$D$49,$E$41:$E$49), _xlfn.XLOOKUP($E142, $D$54:$D$62,$E$54:$E$62), H67,$F86)</f>
        <v>0.17301743063999997</v>
      </c>
      <c r="I142" s="15" cm="1">
        <f t="array" ref="I142">MMS_Poultry_ManureAppliedToSoils_Equations.VEERG_4_6_1_9__2_MassOfNitrogenAppliedToSoilsScope3(I22,_xlfn.XLOOKUP($E142, $D$41:$D$49,$E$41:$E$49), _xlfn.XLOOKUP($E142, $D$54:$D$62,$E$54:$E$62), I67,$F86)</f>
        <v>0.14739297138000002</v>
      </c>
      <c r="J142" s="16" t="str">
        <f>$E$131</f>
        <v>kg N</v>
      </c>
      <c r="N142" s="15" t="str">
        <f>INDEX(X_Table_Poultry_Stage1MMS,2,1)</f>
        <v>Poultry manure with bedding</v>
      </c>
      <c r="O142" s="15" t="str">
        <f>INDEX(X_Table_Poultry_Stage2MMS_PoultryManureWithBedding,2,1)</f>
        <v>Solid storage</v>
      </c>
      <c r="P142" s="15" cm="1">
        <f t="array" ref="P142">MMS_Poultry_ManureAppliedToSoils_Equations.VEERG_4_6_1_9__2_MassOfNitrogenAppliedToSoilsScope3(P22,_xlfn.XLOOKUP($O142, $D$41:$D$49,$E$41:$E$49), _xlfn.XLOOKUP($O142, $D$54:$D$62,$E$54:$E$62), P67,$F86)</f>
        <v>0.13808786940000004</v>
      </c>
      <c r="Q142" s="15" cm="1">
        <f t="array" ref="Q142">MMS_Poultry_ManureAppliedToSoils_Equations.VEERG_4_6_1_9__2_MassOfNitrogenAppliedToSoilsScope3(Q22,_xlfn.XLOOKUP($O142, $D$41:$D$49,$E$41:$E$49), _xlfn.XLOOKUP($O142, $D$54:$D$62,$E$54:$E$62), Q67,$F86)</f>
        <v>0.14739297138000002</v>
      </c>
      <c r="R142" s="15" cm="1">
        <f t="array" ref="R142">MMS_Poultry_ManureAppliedToSoils_Equations.VEERG_4_6_1_9__2_MassOfNitrogenAppliedToSoilsScope3(R22,_xlfn.XLOOKUP($O142, $D$41:$D$49,$E$41:$E$49), _xlfn.XLOOKUP($O142, $D$54:$D$62,$E$54:$E$62), R67,$F86)</f>
        <v>0.17301743063999997</v>
      </c>
      <c r="S142" s="15" cm="1">
        <f t="array" ref="S142">MMS_Poultry_ManureAppliedToSoils_Equations.VEERG_4_6_1_9__2_MassOfNitrogenAppliedToSoilsScope3(S22,_xlfn.XLOOKUP($O142, $D$41:$D$49,$E$41:$E$49), _xlfn.XLOOKUP($O142, $D$54:$D$62,$E$54:$E$62), S67,$F86)</f>
        <v>0.14739297138000002</v>
      </c>
      <c r="T142" s="16" t="str">
        <f>$E$131</f>
        <v>kg N</v>
      </c>
    </row>
    <row r="143" spans="4:20" ht="20.100000000000001" customHeight="1" x14ac:dyDescent="0.2">
      <c r="D143" s="15"/>
      <c r="E143" s="15" t="str">
        <f>INDEX(X_Table_Poultry_Stage2MMS_PoultryManureWithBedding,3,1)</f>
        <v>Composting (passive windrow)</v>
      </c>
      <c r="F143" s="15" cm="1">
        <f t="array" ref="F143">MMS_Poultry_ManureAppliedToSoils_Equations.VEERG_4_6_1_9__2_MassOfNitrogenAppliedToSoilsScope3(F23,_xlfn.XLOOKUP($E143, $D$41:$D$49,$E$41:$E$49), _xlfn.XLOOKUP($E143, $D$54:$D$62,$E$54:$E$62), F68,$F87)</f>
        <v>0.14076053784000003</v>
      </c>
      <c r="G143" s="15" cm="1">
        <f t="array" ref="G143">MMS_Poultry_ManureAppliedToSoils_Equations.VEERG_4_6_1_9__2_MassOfNitrogenAppliedToSoilsScope3(G23,_xlfn.XLOOKUP($E143, $D$41:$D$49,$E$41:$E$49), _xlfn.XLOOKUP($E143, $D$54:$D$62,$E$54:$E$62), G68,$F87)</f>
        <v>0.150245738568</v>
      </c>
      <c r="H143" s="15" cm="1">
        <f t="array" ref="H143">MMS_Poultry_ManureAppliedToSoils_Equations.VEERG_4_6_1_9__2_MassOfNitrogenAppliedToSoilsScope3(H23,_xlfn.XLOOKUP($E143, $D$41:$D$49,$E$41:$E$49), _xlfn.XLOOKUP($E143, $D$54:$D$62,$E$54:$E$62), H68,$F87)</f>
        <v>0.176366155104</v>
      </c>
      <c r="I143" s="15" cm="1">
        <f t="array" ref="I143">MMS_Poultry_ManureAppliedToSoils_Equations.VEERG_4_6_1_9__2_MassOfNitrogenAppliedToSoilsScope3(I23,_xlfn.XLOOKUP($E143, $D$41:$D$49,$E$41:$E$49), _xlfn.XLOOKUP($E143, $D$54:$D$62,$E$54:$E$62), I68,$F87)</f>
        <v>0.150245738568</v>
      </c>
      <c r="J143" s="16"/>
      <c r="N143" s="15"/>
      <c r="O143" s="15" t="str">
        <f>INDEX(X_Table_Poultry_Stage2MMS_PoultryManureWithBedding,3,1)</f>
        <v>Composting (passive windrow)</v>
      </c>
      <c r="P143" s="15" cm="1">
        <f t="array" ref="P143">MMS_Poultry_ManureAppliedToSoils_Equations.VEERG_4_6_1_9__2_MassOfNitrogenAppliedToSoilsScope3(P23,_xlfn.XLOOKUP($O143, $D$41:$D$49,$E$41:$E$49), _xlfn.XLOOKUP($O143, $D$54:$D$62,$E$54:$E$62), P68,$F87)</f>
        <v>0.14076053784000003</v>
      </c>
      <c r="Q143" s="15" cm="1">
        <f t="array" ref="Q143">MMS_Poultry_ManureAppliedToSoils_Equations.VEERG_4_6_1_9__2_MassOfNitrogenAppliedToSoilsScope3(Q23,_xlfn.XLOOKUP($O143, $D$41:$D$49,$E$41:$E$49), _xlfn.XLOOKUP($O143, $D$54:$D$62,$E$54:$E$62), Q68,$F87)</f>
        <v>0.150245738568</v>
      </c>
      <c r="R143" s="15" cm="1">
        <f t="array" ref="R143">MMS_Poultry_ManureAppliedToSoils_Equations.VEERG_4_6_1_9__2_MassOfNitrogenAppliedToSoilsScope3(R23,_xlfn.XLOOKUP($O143, $D$41:$D$49,$E$41:$E$49), _xlfn.XLOOKUP($O143, $D$54:$D$62,$E$54:$E$62), R68,$F87)</f>
        <v>0.176366155104</v>
      </c>
      <c r="S143" s="15" cm="1">
        <f t="array" ref="S143">MMS_Poultry_ManureAppliedToSoils_Equations.VEERG_4_6_1_9__2_MassOfNitrogenAppliedToSoilsScope3(S23,_xlfn.XLOOKUP($O143, $D$41:$D$49,$E$41:$E$49), _xlfn.XLOOKUP($O143, $D$54:$D$62,$E$54:$E$62), S68,$F87)</f>
        <v>0.150245738568</v>
      </c>
      <c r="T143" s="16"/>
    </row>
    <row r="144" spans="4:20" ht="20.100000000000001" customHeight="1" x14ac:dyDescent="0.2">
      <c r="D144" s="15"/>
      <c r="E144" s="15" t="str">
        <f>INDEX(X_Table_Poultry_Stage2MMS_PoultryManureWithBedding,4,1)</f>
        <v>Digester / covered lagoons</v>
      </c>
      <c r="F144" s="15" cm="1">
        <f t="array" ref="F144">MMS_Poultry_ManureAppliedToSoils_Equations.VEERG_4_6_1_9__2_MassOfNitrogenAppliedToSoilsScope3(F24,_xlfn.XLOOKUP($E144, $D$41:$D$49,$E$41:$E$49), _xlfn.XLOOKUP($E144, $D$54:$D$62,$E$54:$E$62), F69,$F88)</f>
        <v>0.17817789600000003</v>
      </c>
      <c r="G144" s="15" cm="1">
        <f t="array" ref="G144">MMS_Poultry_ManureAppliedToSoils_Equations.VEERG_4_6_1_9__2_MassOfNitrogenAppliedToSoilsScope3(G24,_xlfn.XLOOKUP($E144, $D$41:$D$49,$E$41:$E$49), _xlfn.XLOOKUP($E144, $D$54:$D$62,$E$54:$E$62), G69,$F88)</f>
        <v>0.19018447920000001</v>
      </c>
      <c r="H144" s="15" cm="1">
        <f t="array" ref="H144">MMS_Poultry_ManureAppliedToSoils_Equations.VEERG_4_6_1_9__2_MassOfNitrogenAppliedToSoilsScope3(H24,_xlfn.XLOOKUP($E144, $D$41:$D$49,$E$41:$E$49), _xlfn.XLOOKUP($E144, $D$54:$D$62,$E$54:$E$62), H69,$F88)</f>
        <v>0.22324829759999998</v>
      </c>
      <c r="I144" s="15" cm="1">
        <f t="array" ref="I144">MMS_Poultry_ManureAppliedToSoils_Equations.VEERG_4_6_1_9__2_MassOfNitrogenAppliedToSoilsScope3(I24,_xlfn.XLOOKUP($E144, $D$41:$D$49,$E$41:$E$49), _xlfn.XLOOKUP($E144, $D$54:$D$62,$E$54:$E$62), I69,$F88)</f>
        <v>0.19018447920000001</v>
      </c>
      <c r="J144" s="16"/>
      <c r="N144" s="15"/>
      <c r="O144" s="15" t="str">
        <f>INDEX(X_Table_Poultry_Stage2MMS_PoultryManureWithBedding,4,1)</f>
        <v>Digester / covered lagoons</v>
      </c>
      <c r="P144" s="15" cm="1">
        <f t="array" ref="P144">MMS_Poultry_ManureAppliedToSoils_Equations.VEERG_4_6_1_9__2_MassOfNitrogenAppliedToSoilsScope3(P24,_xlfn.XLOOKUP($O144, $D$41:$D$49,$E$41:$E$49), _xlfn.XLOOKUP($O144, $D$54:$D$62,$E$54:$E$62), P69,$F88)</f>
        <v>0.17817789600000003</v>
      </c>
      <c r="Q144" s="15" cm="1">
        <f t="array" ref="Q144">MMS_Poultry_ManureAppliedToSoils_Equations.VEERG_4_6_1_9__2_MassOfNitrogenAppliedToSoilsScope3(Q24,_xlfn.XLOOKUP($O144, $D$41:$D$49,$E$41:$E$49), _xlfn.XLOOKUP($O144, $D$54:$D$62,$E$54:$E$62), Q69,$F88)</f>
        <v>0.19018447920000001</v>
      </c>
      <c r="R144" s="15" cm="1">
        <f t="array" ref="R144">MMS_Poultry_ManureAppliedToSoils_Equations.VEERG_4_6_1_9__2_MassOfNitrogenAppliedToSoilsScope3(R24,_xlfn.XLOOKUP($O144, $D$41:$D$49,$E$41:$E$49), _xlfn.XLOOKUP($O144, $D$54:$D$62,$E$54:$E$62), R69,$F88)</f>
        <v>0.22324829759999998</v>
      </c>
      <c r="S144" s="15" cm="1">
        <f t="array" ref="S144">MMS_Poultry_ManureAppliedToSoils_Equations.VEERG_4_6_1_9__2_MassOfNitrogenAppliedToSoilsScope3(S24,_xlfn.XLOOKUP($O144, $D$41:$D$49,$E$41:$E$49), _xlfn.XLOOKUP($O144, $D$54:$D$62,$E$54:$E$62), S69,$F88)</f>
        <v>0.19018447920000001</v>
      </c>
      <c r="T144" s="16"/>
    </row>
    <row r="145" spans="1:20" ht="20.100000000000001" customHeight="1" x14ac:dyDescent="0.2">
      <c r="D145" s="15"/>
      <c r="E145" s="15" t="str">
        <f>INDEX(X_Table_Poultry_Stage2MMS_PoultryManureWithBedding,5,1)</f>
        <v>Direct processing</v>
      </c>
      <c r="F145" s="15" cm="1">
        <f t="array" ref="F145">MMS_Poultry_ManureAppliedToSoils_Equations.VEERG_4_6_1_9__2_MassOfNitrogenAppliedToSoilsScope3(F25,_xlfn.XLOOKUP($E145, $D$41:$D$49,$E$41:$E$49), _xlfn.XLOOKUP($E145, $D$54:$D$62,$E$54:$E$62), F70,$F89)</f>
        <v>0.17817789600000003</v>
      </c>
      <c r="G145" s="15" cm="1">
        <f t="array" ref="G145">MMS_Poultry_ManureAppliedToSoils_Equations.VEERG_4_6_1_9__2_MassOfNitrogenAppliedToSoilsScope3(G25,_xlfn.XLOOKUP($E145, $D$41:$D$49,$E$41:$E$49), _xlfn.XLOOKUP($E145, $D$54:$D$62,$E$54:$E$62), G70,$F89)</f>
        <v>0.19018447920000001</v>
      </c>
      <c r="H145" s="15" cm="1">
        <f t="array" ref="H145">MMS_Poultry_ManureAppliedToSoils_Equations.VEERG_4_6_1_9__2_MassOfNitrogenAppliedToSoilsScope3(H25,_xlfn.XLOOKUP($E145, $D$41:$D$49,$E$41:$E$49), _xlfn.XLOOKUP($E145, $D$54:$D$62,$E$54:$E$62), H70,$F89)</f>
        <v>0.22324829759999998</v>
      </c>
      <c r="I145" s="15" cm="1">
        <f t="array" ref="I145">MMS_Poultry_ManureAppliedToSoils_Equations.VEERG_4_6_1_9__2_MassOfNitrogenAppliedToSoilsScope3(I25,_xlfn.XLOOKUP($E145, $D$41:$D$49,$E$41:$E$49), _xlfn.XLOOKUP($E145, $D$54:$D$62,$E$54:$E$62), I70,$F89)</f>
        <v>0.19018447920000001</v>
      </c>
      <c r="J145" s="16"/>
      <c r="N145" s="15"/>
      <c r="O145" s="15" t="str">
        <f>INDEX(X_Table_Poultry_Stage2MMS_PoultryManureWithBedding,5,1)</f>
        <v>Direct processing</v>
      </c>
      <c r="P145" s="15" cm="1">
        <f t="array" ref="P145">MMS_Poultry_ManureAppliedToSoils_Equations.VEERG_4_6_1_9__2_MassOfNitrogenAppliedToSoilsScope3(P25,_xlfn.XLOOKUP($O145, $D$41:$D$49,$E$41:$E$49), _xlfn.XLOOKUP($O145, $D$54:$D$62,$E$54:$E$62), P70,$F89)</f>
        <v>0.17817789600000003</v>
      </c>
      <c r="Q145" s="15" cm="1">
        <f t="array" ref="Q145">MMS_Poultry_ManureAppliedToSoils_Equations.VEERG_4_6_1_9__2_MassOfNitrogenAppliedToSoilsScope3(Q25,_xlfn.XLOOKUP($O145, $D$41:$D$49,$E$41:$E$49), _xlfn.XLOOKUP($O145, $D$54:$D$62,$E$54:$E$62), Q70,$F89)</f>
        <v>0.19018447920000001</v>
      </c>
      <c r="R145" s="15" cm="1">
        <f t="array" ref="R145">MMS_Poultry_ManureAppliedToSoils_Equations.VEERG_4_6_1_9__2_MassOfNitrogenAppliedToSoilsScope3(R25,_xlfn.XLOOKUP($O145, $D$41:$D$49,$E$41:$E$49), _xlfn.XLOOKUP($O145, $D$54:$D$62,$E$54:$E$62), R70,$F89)</f>
        <v>0.22324829759999998</v>
      </c>
      <c r="S145" s="15" cm="1">
        <f t="array" ref="S145">MMS_Poultry_ManureAppliedToSoils_Equations.VEERG_4_6_1_9__2_MassOfNitrogenAppliedToSoilsScope3(S25,_xlfn.XLOOKUP($O145, $D$41:$D$49,$E$41:$E$49), _xlfn.XLOOKUP($O145, $D$54:$D$62,$E$54:$E$62), S70,$F89)</f>
        <v>0.19018447920000001</v>
      </c>
      <c r="T145" s="16"/>
    </row>
    <row r="146" spans="1:20" ht="20.100000000000001" customHeight="1" x14ac:dyDescent="0.2">
      <c r="D146" s="15"/>
      <c r="E146" s="15" t="str">
        <f>INDEX(X_Table_Poultry_Stage2MMS_PoultryManureWithBedding,6,1)</f>
        <v>Direct application</v>
      </c>
      <c r="F146" s="15" cm="1">
        <f t="array" ref="F146">MMS_Poultry_ManureAppliedToSoils_Equations.VEERG_4_6_1_9__2_MassOfNitrogenAppliedToSoilsScope3(F26,_xlfn.XLOOKUP($E146, $D$41:$D$49,$E$41:$E$49), _xlfn.XLOOKUP($E146, $D$54:$D$62,$E$54:$E$62), F71,$F90)</f>
        <v>0</v>
      </c>
      <c r="G146" s="15" cm="1">
        <f t="array" ref="G146">MMS_Poultry_ManureAppliedToSoils_Equations.VEERG_4_6_1_9__2_MassOfNitrogenAppliedToSoilsScope3(G26,_xlfn.XLOOKUP($E146, $D$41:$D$49,$E$41:$E$49), _xlfn.XLOOKUP($E146, $D$54:$D$62,$E$54:$E$62), G71,$F90)</f>
        <v>0</v>
      </c>
      <c r="H146" s="15" cm="1">
        <f t="array" ref="H146">MMS_Poultry_ManureAppliedToSoils_Equations.VEERG_4_6_1_9__2_MassOfNitrogenAppliedToSoilsScope3(H26,_xlfn.XLOOKUP($E146, $D$41:$D$49,$E$41:$E$49), _xlfn.XLOOKUP($E146, $D$54:$D$62,$E$54:$E$62), H71,$F90)</f>
        <v>0</v>
      </c>
      <c r="I146" s="15" cm="1">
        <f t="array" ref="I146">MMS_Poultry_ManureAppliedToSoils_Equations.VEERG_4_6_1_9__2_MassOfNitrogenAppliedToSoilsScope3(I26,_xlfn.XLOOKUP($E146, $D$41:$D$49,$E$41:$E$49), _xlfn.XLOOKUP($E146, $D$54:$D$62,$E$54:$E$62), I71,$F90)</f>
        <v>0</v>
      </c>
      <c r="N146" s="15"/>
      <c r="O146" s="15" t="str">
        <f>INDEX(X_Table_Poultry_Stage2MMS_PoultryManureWithBedding,6,1)</f>
        <v>Direct application</v>
      </c>
      <c r="P146" s="15" cm="1">
        <f t="array" ref="P146">MMS_Poultry_ManureAppliedToSoils_Equations.VEERG_4_6_1_9__2_MassOfNitrogenAppliedToSoilsScope3(P26,_xlfn.XLOOKUP($O146, $D$41:$D$49,$E$41:$E$49), _xlfn.XLOOKUP($O146, $D$54:$D$62,$E$54:$E$62), P71,$F90)</f>
        <v>0</v>
      </c>
      <c r="Q146" s="15" cm="1">
        <f t="array" ref="Q146">MMS_Poultry_ManureAppliedToSoils_Equations.VEERG_4_6_1_9__2_MassOfNitrogenAppliedToSoilsScope3(Q26,_xlfn.XLOOKUP($O146, $D$41:$D$49,$E$41:$E$49), _xlfn.XLOOKUP($O146, $D$54:$D$62,$E$54:$E$62), Q71,$F90)</f>
        <v>0</v>
      </c>
      <c r="R146" s="15" cm="1">
        <f t="array" ref="R146">MMS_Poultry_ManureAppliedToSoils_Equations.VEERG_4_6_1_9__2_MassOfNitrogenAppliedToSoilsScope3(R26,_xlfn.XLOOKUP($O146, $D$41:$D$49,$E$41:$E$49), _xlfn.XLOOKUP($O146, $D$54:$D$62,$E$54:$E$62), R71,$F90)</f>
        <v>0</v>
      </c>
      <c r="S146" s="15" cm="1">
        <f t="array" ref="S146">MMS_Poultry_ManureAppliedToSoils_Equations.VEERG_4_6_1_9__2_MassOfNitrogenAppliedToSoilsScope3(S26,_xlfn.XLOOKUP($O146, $D$41:$D$49,$E$41:$E$49), _xlfn.XLOOKUP($O146, $D$54:$D$62,$E$54:$E$62), S71,$F90)</f>
        <v>0</v>
      </c>
    </row>
    <row r="147" spans="1:20" ht="20.100000000000001" customHeight="1" x14ac:dyDescent="0.2">
      <c r="D147" s="15" t="str">
        <f>INDEX(X_Table_Poultry_Stage1MMS,3,1)</f>
        <v>Belt manure removal</v>
      </c>
      <c r="E147" s="15" t="str">
        <f>INDEX(X_Table_Poultry_Stage2MMS_BeltManureRemoval,2,1)</f>
        <v>Solid storage</v>
      </c>
      <c r="F147" s="15" cm="1">
        <f t="array" ref="F147">MMS_Poultry_ManureAppliedToSoils_Equations.VEERG_4_6_1_9__2_MassOfNitrogenAppliedToSoilsScope3(F27,_xlfn.XLOOKUP($E147, $D$41:$D$49,$E$41:$E$49), _xlfn.XLOOKUP($E147, $D$54:$D$62,$E$54:$E$62), F72,$F91)</f>
        <v>0.18747551940000004</v>
      </c>
      <c r="G147" s="15" cm="1">
        <f t="array" ref="G147">MMS_Poultry_ManureAppliedToSoils_Equations.VEERG_4_6_1_9__2_MassOfNitrogenAppliedToSoilsScope3(G27,_xlfn.XLOOKUP($E147, $D$41:$D$49,$E$41:$E$49), _xlfn.XLOOKUP($E147, $D$54:$D$62,$E$54:$E$62), G72,$F91)</f>
        <v>0.20010862637999999</v>
      </c>
      <c r="H147" s="15" cm="1">
        <f t="array" ref="H147">MMS_Poultry_ManureAppliedToSoils_Equations.VEERG_4_6_1_9__2_MassOfNitrogenAppliedToSoilsScope3(H27,_xlfn.XLOOKUP($E147, $D$41:$D$49,$E$41:$E$49), _xlfn.XLOOKUP($E147, $D$54:$D$62,$E$54:$E$62), H72,$F91)</f>
        <v>0.23489777063999998</v>
      </c>
      <c r="I147" s="15" cm="1">
        <f t="array" ref="I147">MMS_Poultry_ManureAppliedToSoils_Equations.VEERG_4_6_1_9__2_MassOfNitrogenAppliedToSoilsScope3(I27,_xlfn.XLOOKUP($E147, $D$41:$D$49,$E$41:$E$49), _xlfn.XLOOKUP($E147, $D$54:$D$62,$E$54:$E$62), I72,$F91)</f>
        <v>0.20010862637999999</v>
      </c>
      <c r="J147" s="16"/>
      <c r="N147" s="15" t="str">
        <f>INDEX(X_Table_Poultry_Stage1MMS,3,1)</f>
        <v>Belt manure removal</v>
      </c>
      <c r="O147" s="15" t="str">
        <f>INDEX(X_Table_Poultry_Stage2MMS_BeltManureRemoval,2,1)</f>
        <v>Solid storage</v>
      </c>
      <c r="P147" s="15" cm="1">
        <f t="array" ref="P147">MMS_Poultry_ManureAppliedToSoils_Equations.VEERG_4_6_1_9__2_MassOfNitrogenAppliedToSoilsScope3(P27,_xlfn.XLOOKUP($O147, $D$41:$D$49,$E$41:$E$49), _xlfn.XLOOKUP($O147, $D$54:$D$62,$E$54:$E$62), P72,$F91)</f>
        <v>0.18747551940000004</v>
      </c>
      <c r="Q147" s="15" cm="1">
        <f t="array" ref="Q147">MMS_Poultry_ManureAppliedToSoils_Equations.VEERG_4_6_1_9__2_MassOfNitrogenAppliedToSoilsScope3(Q27,_xlfn.XLOOKUP($O147, $D$41:$D$49,$E$41:$E$49), _xlfn.XLOOKUP($O147, $D$54:$D$62,$E$54:$E$62), Q72,$F91)</f>
        <v>0.20010862637999999</v>
      </c>
      <c r="R147" s="15" cm="1">
        <f t="array" ref="R147">MMS_Poultry_ManureAppliedToSoils_Equations.VEERG_4_6_1_9__2_MassOfNitrogenAppliedToSoilsScope3(R27,_xlfn.XLOOKUP($O147, $D$41:$D$49,$E$41:$E$49), _xlfn.XLOOKUP($O147, $D$54:$D$62,$E$54:$E$62), R72,$F91)</f>
        <v>0.23489777063999998</v>
      </c>
      <c r="S147" s="15" cm="1">
        <f t="array" ref="S147">MMS_Poultry_ManureAppliedToSoils_Equations.VEERG_4_6_1_9__2_MassOfNitrogenAppliedToSoilsScope3(S27,_xlfn.XLOOKUP($O147, $D$41:$D$49,$E$41:$E$49), _xlfn.XLOOKUP($O147, $D$54:$D$62,$E$54:$E$62), S72,$F91)</f>
        <v>0.20010862637999999</v>
      </c>
      <c r="T147" s="16"/>
    </row>
    <row r="148" spans="1:20" ht="20.100000000000001" customHeight="1" x14ac:dyDescent="0.2">
      <c r="D148" s="15"/>
      <c r="E148" s="15" t="str">
        <f>INDEX(X_Table_Poultry_Stage2MMS_BeltManureRemoval,3,1)</f>
        <v>Composting (passive windrow)</v>
      </c>
      <c r="F148" s="15" cm="1">
        <f t="array" ref="F148">MMS_Poultry_ManureAppliedToSoils_Equations.VEERG_4_6_1_9__2_MassOfNitrogenAppliedToSoilsScope3(F28,_xlfn.XLOOKUP($E148, $D$41:$D$49,$E$41:$E$49), _xlfn.XLOOKUP($E148, $D$54:$D$62,$E$54:$E$62), F73,$F92)</f>
        <v>0.19110407784000005</v>
      </c>
      <c r="G148" s="15" cm="1">
        <f t="array" ref="G148">MMS_Poultry_ManureAppliedToSoils_Equations.VEERG_4_6_1_9__2_MassOfNitrogenAppliedToSoilsScope3(G28,_xlfn.XLOOKUP($E148, $D$41:$D$49,$E$41:$E$49), _xlfn.XLOOKUP($E148, $D$54:$D$62,$E$54:$E$62), G73,$F92)</f>
        <v>0.20398169656800003</v>
      </c>
      <c r="H148" s="15" cm="1">
        <f t="array" ref="H148">MMS_Poultry_ManureAppliedToSoils_Equations.VEERG_4_6_1_9__2_MassOfNitrogenAppliedToSoilsScope3(H28,_xlfn.XLOOKUP($E148, $D$41:$D$49,$E$41:$E$49), _xlfn.XLOOKUP($E148, $D$54:$D$62,$E$54:$E$62), H73,$F92)</f>
        <v>0.23944417910400001</v>
      </c>
      <c r="I148" s="15" cm="1">
        <f t="array" ref="I148">MMS_Poultry_ManureAppliedToSoils_Equations.VEERG_4_6_1_9__2_MassOfNitrogenAppliedToSoilsScope3(I28,_xlfn.XLOOKUP($E148, $D$41:$D$49,$E$41:$E$49), _xlfn.XLOOKUP($E148, $D$54:$D$62,$E$54:$E$62), I73,$F92)</f>
        <v>0.20398169656800003</v>
      </c>
      <c r="J148" s="16"/>
      <c r="N148" s="15"/>
      <c r="O148" s="15" t="str">
        <f>INDEX(X_Table_Poultry_Stage2MMS_BeltManureRemoval,3,1)</f>
        <v>Composting (passive windrow)</v>
      </c>
      <c r="P148" s="15" cm="1">
        <f t="array" ref="P148">MMS_Poultry_ManureAppliedToSoils_Equations.VEERG_4_6_1_9__2_MassOfNitrogenAppliedToSoilsScope3(P28,_xlfn.XLOOKUP($O148, $D$41:$D$49,$E$41:$E$49), _xlfn.XLOOKUP($O148, $D$54:$D$62,$E$54:$E$62), P73,$F92)</f>
        <v>0.19110407784000005</v>
      </c>
      <c r="Q148" s="15" cm="1">
        <f t="array" ref="Q148">MMS_Poultry_ManureAppliedToSoils_Equations.VEERG_4_6_1_9__2_MassOfNitrogenAppliedToSoilsScope3(Q28,_xlfn.XLOOKUP($O148, $D$41:$D$49,$E$41:$E$49), _xlfn.XLOOKUP($O148, $D$54:$D$62,$E$54:$E$62), Q73,$F92)</f>
        <v>0.20398169656800003</v>
      </c>
      <c r="R148" s="15" cm="1">
        <f t="array" ref="R148">MMS_Poultry_ManureAppliedToSoils_Equations.VEERG_4_6_1_9__2_MassOfNitrogenAppliedToSoilsScope3(R28,_xlfn.XLOOKUP($O148, $D$41:$D$49,$E$41:$E$49), _xlfn.XLOOKUP($O148, $D$54:$D$62,$E$54:$E$62), R73,$F92)</f>
        <v>0.23944417910400001</v>
      </c>
      <c r="S148" s="15" cm="1">
        <f t="array" ref="S148">MMS_Poultry_ManureAppliedToSoils_Equations.VEERG_4_6_1_9__2_MassOfNitrogenAppliedToSoilsScope3(S28,_xlfn.XLOOKUP($O148, $D$41:$D$49,$E$41:$E$49), _xlfn.XLOOKUP($O148, $D$54:$D$62,$E$54:$E$62), S73,$F92)</f>
        <v>0.20398169656800003</v>
      </c>
      <c r="T148" s="16"/>
    </row>
    <row r="149" spans="1:20" ht="20.100000000000001" customHeight="1" x14ac:dyDescent="0.2">
      <c r="D149" s="15"/>
      <c r="E149" s="15" t="str">
        <f>INDEX(X_Table_Poultry_Stage2MMS_BeltManureRemoval,4,1)</f>
        <v>Digester / covered lagoons</v>
      </c>
      <c r="F149" s="15" cm="1">
        <f t="array" ref="F149">MMS_Poultry_ManureAppliedToSoils_Equations.VEERG_4_6_1_9__2_MassOfNitrogenAppliedToSoilsScope3(F29,_xlfn.XLOOKUP($E149, $D$41:$D$49,$E$41:$E$49), _xlfn.XLOOKUP($E149, $D$54:$D$62,$E$54:$E$62), F74,$F93)</f>
        <v>0.24190389600000006</v>
      </c>
      <c r="G149" s="15" cm="1">
        <f t="array" ref="G149">MMS_Poultry_ManureAppliedToSoils_Equations.VEERG_4_6_1_9__2_MassOfNitrogenAppliedToSoilsScope3(G29,_xlfn.XLOOKUP($E149, $D$41:$D$49,$E$41:$E$49), _xlfn.XLOOKUP($E149, $D$54:$D$62,$E$54:$E$62), G74,$F93)</f>
        <v>0.25820467920000001</v>
      </c>
      <c r="H149" s="15" cm="1">
        <f t="array" ref="H149">MMS_Poultry_ManureAppliedToSoils_Equations.VEERG_4_6_1_9__2_MassOfNitrogenAppliedToSoilsScope3(H29,_xlfn.XLOOKUP($E149, $D$41:$D$49,$E$41:$E$49), _xlfn.XLOOKUP($E149, $D$54:$D$62,$E$54:$E$62), H74,$F93)</f>
        <v>0.3030938976</v>
      </c>
      <c r="I149" s="15" cm="1">
        <f t="array" ref="I149">MMS_Poultry_ManureAppliedToSoils_Equations.VEERG_4_6_1_9__2_MassOfNitrogenAppliedToSoilsScope3(I29,_xlfn.XLOOKUP($E149, $D$41:$D$49,$E$41:$E$49), _xlfn.XLOOKUP($E149, $D$54:$D$62,$E$54:$E$62), I74,$F93)</f>
        <v>0.25820467920000001</v>
      </c>
      <c r="J149" s="16"/>
      <c r="N149" s="15"/>
      <c r="O149" s="15" t="str">
        <f>INDEX(X_Table_Poultry_Stage2MMS_BeltManureRemoval,4,1)</f>
        <v>Digester / covered lagoons</v>
      </c>
      <c r="P149" s="15" cm="1">
        <f t="array" ref="P149">MMS_Poultry_ManureAppliedToSoils_Equations.VEERG_4_6_1_9__2_MassOfNitrogenAppliedToSoilsScope3(P29,_xlfn.XLOOKUP($O149, $D$41:$D$49,$E$41:$E$49), _xlfn.XLOOKUP($O149, $D$54:$D$62,$E$54:$E$62), P74,$F93)</f>
        <v>0.24190389600000006</v>
      </c>
      <c r="Q149" s="15" cm="1">
        <f t="array" ref="Q149">MMS_Poultry_ManureAppliedToSoils_Equations.VEERG_4_6_1_9__2_MassOfNitrogenAppliedToSoilsScope3(Q29,_xlfn.XLOOKUP($O149, $D$41:$D$49,$E$41:$E$49), _xlfn.XLOOKUP($O149, $D$54:$D$62,$E$54:$E$62), Q74,$F93)</f>
        <v>0.25820467920000001</v>
      </c>
      <c r="R149" s="15" cm="1">
        <f t="array" ref="R149">MMS_Poultry_ManureAppliedToSoils_Equations.VEERG_4_6_1_9__2_MassOfNitrogenAppliedToSoilsScope3(R29,_xlfn.XLOOKUP($O149, $D$41:$D$49,$E$41:$E$49), _xlfn.XLOOKUP($O149, $D$54:$D$62,$E$54:$E$62), R74,$F93)</f>
        <v>0.3030938976</v>
      </c>
      <c r="S149" s="15" cm="1">
        <f t="array" ref="S149">MMS_Poultry_ManureAppliedToSoils_Equations.VEERG_4_6_1_9__2_MassOfNitrogenAppliedToSoilsScope3(S29,_xlfn.XLOOKUP($O149, $D$41:$D$49,$E$41:$E$49), _xlfn.XLOOKUP($O149, $D$54:$D$62,$E$54:$E$62), S74,$F93)</f>
        <v>0.25820467920000001</v>
      </c>
      <c r="T149" s="16"/>
    </row>
    <row r="150" spans="1:20" ht="20.100000000000001" customHeight="1" x14ac:dyDescent="0.2">
      <c r="D150" s="15"/>
      <c r="E150" s="15" t="str">
        <f>INDEX(X_Table_Poultry_Stage2MMS_BeltManureRemoval,5,1)</f>
        <v>Direct processing</v>
      </c>
      <c r="F150" s="15" cm="1">
        <f t="array" ref="F150">MMS_Poultry_ManureAppliedToSoils_Equations.VEERG_4_6_1_9__2_MassOfNitrogenAppliedToSoilsScope3(F30,_xlfn.XLOOKUP($E150, $D$41:$D$49,$E$41:$E$49), _xlfn.XLOOKUP($E150, $D$54:$D$62,$E$54:$E$62), F75,$F94)</f>
        <v>0.24190389600000006</v>
      </c>
      <c r="G150" s="15" cm="1">
        <f t="array" ref="G150">MMS_Poultry_ManureAppliedToSoils_Equations.VEERG_4_6_1_9__2_MassOfNitrogenAppliedToSoilsScope3(G30,_xlfn.XLOOKUP($E150, $D$41:$D$49,$E$41:$E$49), _xlfn.XLOOKUP($E150, $D$54:$D$62,$E$54:$E$62), G75,$F94)</f>
        <v>0.25820467920000001</v>
      </c>
      <c r="H150" s="15" cm="1">
        <f t="array" ref="H150">MMS_Poultry_ManureAppliedToSoils_Equations.VEERG_4_6_1_9__2_MassOfNitrogenAppliedToSoilsScope3(H30,_xlfn.XLOOKUP($E150, $D$41:$D$49,$E$41:$E$49), _xlfn.XLOOKUP($E150, $D$54:$D$62,$E$54:$E$62), H75,$F94)</f>
        <v>0.3030938976</v>
      </c>
      <c r="I150" s="15" cm="1">
        <f t="array" ref="I150">MMS_Poultry_ManureAppliedToSoils_Equations.VEERG_4_6_1_9__2_MassOfNitrogenAppliedToSoilsScope3(I30,_xlfn.XLOOKUP($E150, $D$41:$D$49,$E$41:$E$49), _xlfn.XLOOKUP($E150, $D$54:$D$62,$E$54:$E$62), I75,$F94)</f>
        <v>0.25820467920000001</v>
      </c>
      <c r="J150" s="16"/>
      <c r="N150" s="15"/>
      <c r="O150" s="15" t="str">
        <f>INDEX(X_Table_Poultry_Stage2MMS_BeltManureRemoval,5,1)</f>
        <v>Direct processing</v>
      </c>
      <c r="P150" s="15" cm="1">
        <f t="array" ref="P150">MMS_Poultry_ManureAppliedToSoils_Equations.VEERG_4_6_1_9__2_MassOfNitrogenAppliedToSoilsScope3(P30,_xlfn.XLOOKUP($O150, $D$41:$D$49,$E$41:$E$49), _xlfn.XLOOKUP($O150, $D$54:$D$62,$E$54:$E$62), P75,$F94)</f>
        <v>0.24190389600000006</v>
      </c>
      <c r="Q150" s="15" cm="1">
        <f t="array" ref="Q150">MMS_Poultry_ManureAppliedToSoils_Equations.VEERG_4_6_1_9__2_MassOfNitrogenAppliedToSoilsScope3(Q30,_xlfn.XLOOKUP($O150, $D$41:$D$49,$E$41:$E$49), _xlfn.XLOOKUP($O150, $D$54:$D$62,$E$54:$E$62), Q75,$F94)</f>
        <v>0.25820467920000001</v>
      </c>
      <c r="R150" s="15" cm="1">
        <f t="array" ref="R150">MMS_Poultry_ManureAppliedToSoils_Equations.VEERG_4_6_1_9__2_MassOfNitrogenAppliedToSoilsScope3(R30,_xlfn.XLOOKUP($O150, $D$41:$D$49,$E$41:$E$49), _xlfn.XLOOKUP($O150, $D$54:$D$62,$E$54:$E$62), R75,$F94)</f>
        <v>0.3030938976</v>
      </c>
      <c r="S150" s="15" cm="1">
        <f t="array" ref="S150">MMS_Poultry_ManureAppliedToSoils_Equations.VEERG_4_6_1_9__2_MassOfNitrogenAppliedToSoilsScope3(S30,_xlfn.XLOOKUP($O150, $D$41:$D$49,$E$41:$E$49), _xlfn.XLOOKUP($O150, $D$54:$D$62,$E$54:$E$62), S75,$F94)</f>
        <v>0.25820467920000001</v>
      </c>
      <c r="T150" s="16"/>
    </row>
    <row r="151" spans="1:20" ht="20.100000000000001" customHeight="1" x14ac:dyDescent="0.2">
      <c r="D151" s="15"/>
      <c r="E151" s="15" t="str">
        <f>INDEX(X_Table_Poultry_Stage2MMS_BeltManureRemoval,6,1)</f>
        <v>Direct application</v>
      </c>
      <c r="F151" s="15" cm="1">
        <f t="array" ref="F151">MMS_Poultry_ManureAppliedToSoils_Equations.VEERG_4_6_1_9__2_MassOfNitrogenAppliedToSoilsScope3(F31,_xlfn.XLOOKUP($E151, $D$41:$D$49,$E$41:$E$49), _xlfn.XLOOKUP($E151, $D$54:$D$62,$E$54:$E$62), F76,$F95)</f>
        <v>0</v>
      </c>
      <c r="G151" s="15" cm="1">
        <f t="array" ref="G151">MMS_Poultry_ManureAppliedToSoils_Equations.VEERG_4_6_1_9__2_MassOfNitrogenAppliedToSoilsScope3(G31,_xlfn.XLOOKUP($E151, $D$41:$D$49,$E$41:$E$49), _xlfn.XLOOKUP($E151, $D$54:$D$62,$E$54:$E$62), G76,$F95)</f>
        <v>0</v>
      </c>
      <c r="H151" s="15" cm="1">
        <f t="array" ref="H151">MMS_Poultry_ManureAppliedToSoils_Equations.VEERG_4_6_1_9__2_MassOfNitrogenAppliedToSoilsScope3(H31,_xlfn.XLOOKUP($E151, $D$41:$D$49,$E$41:$E$49), _xlfn.XLOOKUP($E151, $D$54:$D$62,$E$54:$E$62), H76,$F95)</f>
        <v>0</v>
      </c>
      <c r="I151" s="15" cm="1">
        <f t="array" ref="I151">MMS_Poultry_ManureAppliedToSoils_Equations.VEERG_4_6_1_9__2_MassOfNitrogenAppliedToSoilsScope3(I31,_xlfn.XLOOKUP($E151, $D$41:$D$49,$E$41:$E$49), _xlfn.XLOOKUP($E151, $D$54:$D$62,$E$54:$E$62), I76,$F95)</f>
        <v>0</v>
      </c>
      <c r="N151" s="15"/>
      <c r="O151" s="15" t="str">
        <f>INDEX(X_Table_Poultry_Stage2MMS_BeltManureRemoval,6,1)</f>
        <v>Direct application</v>
      </c>
      <c r="P151" s="15" cm="1">
        <f t="array" ref="P151">MMS_Poultry_ManureAppliedToSoils_Equations.VEERG_4_6_1_9__2_MassOfNitrogenAppliedToSoilsScope3(P31,_xlfn.XLOOKUP($O151, $D$41:$D$49,$E$41:$E$49), _xlfn.XLOOKUP($O151, $D$54:$D$62,$E$54:$E$62), P76,$F95)</f>
        <v>0</v>
      </c>
      <c r="Q151" s="15" cm="1">
        <f t="array" ref="Q151">MMS_Poultry_ManureAppliedToSoils_Equations.VEERG_4_6_1_9__2_MassOfNitrogenAppliedToSoilsScope3(Q31,_xlfn.XLOOKUP($O151, $D$41:$D$49,$E$41:$E$49), _xlfn.XLOOKUP($O151, $D$54:$D$62,$E$54:$E$62), Q76,$F95)</f>
        <v>0</v>
      </c>
      <c r="R151" s="15" cm="1">
        <f t="array" ref="R151">MMS_Poultry_ManureAppliedToSoils_Equations.VEERG_4_6_1_9__2_MassOfNitrogenAppliedToSoilsScope3(R31,_xlfn.XLOOKUP($O151, $D$41:$D$49,$E$41:$E$49), _xlfn.XLOOKUP($O151, $D$54:$D$62,$E$54:$E$62), R76,$F95)</f>
        <v>0</v>
      </c>
      <c r="S151" s="15" cm="1">
        <f t="array" ref="S151">MMS_Poultry_ManureAppliedToSoils_Equations.VEERG_4_6_1_9__2_MassOfNitrogenAppliedToSoilsScope3(S31,_xlfn.XLOOKUP($O151, $D$41:$D$49,$E$41:$E$49), _xlfn.XLOOKUP($O151, $D$54:$D$62,$E$54:$E$62), S76,$F95)</f>
        <v>0</v>
      </c>
    </row>
    <row r="152" spans="1:20" ht="20.100000000000001" customHeight="1" x14ac:dyDescent="0.2">
      <c r="D152" s="15" t="str">
        <f>INDEX(X_Table_Poultry_Stage1MMS,4,1)</f>
        <v>Manure stored in house</v>
      </c>
      <c r="E152" s="15" t="str">
        <f>INDEX(X_Table_Poultry_Stage2MMS_ManureStoredInHouse,2,1)</f>
        <v>Solid storage</v>
      </c>
      <c r="F152" s="15" cm="1">
        <f t="array" ref="F152">MMS_Poultry_ManureAppliedToSoils_Equations.VEERG_4_6_1_9__2_MassOfNitrogenAppliedToSoilsScope3(F32,_xlfn.XLOOKUP($E152, $D$41:$D$49,$E$41:$E$49), _xlfn.XLOOKUP($E152, $D$54:$D$62,$E$54:$E$62), F77,$F96)</f>
        <v>0.11833280940000002</v>
      </c>
      <c r="G152" s="15" cm="1">
        <f t="array" ref="G152">MMS_Poultry_ManureAppliedToSoils_Equations.VEERG_4_6_1_9__2_MassOfNitrogenAppliedToSoilsScope3(G32,_xlfn.XLOOKUP($E152, $D$41:$D$49,$E$41:$E$49), _xlfn.XLOOKUP($E152, $D$54:$D$62,$E$54:$E$62), G77,$F96)</f>
        <v>0.12630670937999997</v>
      </c>
      <c r="H152" s="15" cm="1">
        <f t="array" ref="H152">MMS_Poultry_ManureAppliedToSoils_Equations.VEERG_4_6_1_9__2_MassOfNitrogenAppliedToSoilsScope3(H32,_xlfn.XLOOKUP($E152, $D$41:$D$49,$E$41:$E$49), _xlfn.XLOOKUP($E152, $D$54:$D$62,$E$54:$E$62), H77,$F96)</f>
        <v>0.14826529463999996</v>
      </c>
      <c r="I152" s="15" cm="1">
        <f t="array" ref="I152">MMS_Poultry_ManureAppliedToSoils_Equations.VEERG_4_6_1_9__2_MassOfNitrogenAppliedToSoilsScope3(I32,_xlfn.XLOOKUP($E152, $D$41:$D$49,$E$41:$E$49), _xlfn.XLOOKUP($E152, $D$54:$D$62,$E$54:$E$62), I77,$F96)</f>
        <v>0.12630670937999997</v>
      </c>
      <c r="J152" s="16"/>
      <c r="N152" s="15" t="str">
        <f>INDEX(X_Table_Poultry_Stage1MMS,4,1)</f>
        <v>Manure stored in house</v>
      </c>
      <c r="O152" s="15" t="str">
        <f>INDEX(X_Table_Poultry_Stage2MMS_ManureStoredInHouse,2,1)</f>
        <v>Solid storage</v>
      </c>
      <c r="P152" s="15" cm="1">
        <f t="array" ref="P152">MMS_Poultry_ManureAppliedToSoils_Equations.VEERG_4_6_1_9__2_MassOfNitrogenAppliedToSoilsScope3(P32,_xlfn.XLOOKUP($O152, $D$41:$D$49,$E$41:$E$49), _xlfn.XLOOKUP($O152, $D$54:$D$62,$E$54:$E$62), P77,$F96)</f>
        <v>0.11833280940000002</v>
      </c>
      <c r="Q152" s="15" cm="1">
        <f t="array" ref="Q152">MMS_Poultry_ManureAppliedToSoils_Equations.VEERG_4_6_1_9__2_MassOfNitrogenAppliedToSoilsScope3(Q32,_xlfn.XLOOKUP($O152, $D$41:$D$49,$E$41:$E$49), _xlfn.XLOOKUP($O152, $D$54:$D$62,$E$54:$E$62), Q77,$F96)</f>
        <v>0.12630670937999997</v>
      </c>
      <c r="R152" s="15" cm="1">
        <f t="array" ref="R152">MMS_Poultry_ManureAppliedToSoils_Equations.VEERG_4_6_1_9__2_MassOfNitrogenAppliedToSoilsScope3(R32,_xlfn.XLOOKUP($O152, $D$41:$D$49,$E$41:$E$49), _xlfn.XLOOKUP($O152, $D$54:$D$62,$E$54:$E$62), R77,$F96)</f>
        <v>0.14826529463999996</v>
      </c>
      <c r="S152" s="15" cm="1">
        <f t="array" ref="S152">MMS_Poultry_ManureAppliedToSoils_Equations.VEERG_4_6_1_9__2_MassOfNitrogenAppliedToSoilsScope3(S32,_xlfn.XLOOKUP($O152, $D$41:$D$49,$E$41:$E$49), _xlfn.XLOOKUP($O152, $D$54:$D$62,$E$54:$E$62), S77,$F96)</f>
        <v>0.12630670937999997</v>
      </c>
      <c r="T152" s="16"/>
    </row>
    <row r="153" spans="1:20" ht="20.100000000000001" customHeight="1" x14ac:dyDescent="0.2">
      <c r="D153" s="15"/>
      <c r="E153" s="15" t="str">
        <f>INDEX(X_Table_Poultry_Stage2MMS_ManureStoredInHouse,3,1)</f>
        <v>Composting (passive windrow)</v>
      </c>
      <c r="F153" s="15" cm="1">
        <f t="array" ref="F153">MMS_Poultry_ManureAppliedToSoils_Equations.VEERG_4_6_1_9__2_MassOfNitrogenAppliedToSoilsScope3(F33,_xlfn.XLOOKUP($E153, $D$41:$D$49,$E$41:$E$49), _xlfn.XLOOKUP($E153, $D$54:$D$62,$E$54:$E$62), F78,$F97)</f>
        <v>0.12062312184000003</v>
      </c>
      <c r="G153" s="15" cm="1">
        <f t="array" ref="G153">MMS_Poultry_ManureAppliedToSoils_Equations.VEERG_4_6_1_9__2_MassOfNitrogenAppliedToSoilsScope3(G33,_xlfn.XLOOKUP($E153, $D$41:$D$49,$E$41:$E$49), _xlfn.XLOOKUP($E153, $D$54:$D$62,$E$54:$E$62), G78,$F97)</f>
        <v>0.128751355368</v>
      </c>
      <c r="H153" s="15" cm="1">
        <f t="array" ref="H153">MMS_Poultry_ManureAppliedToSoils_Equations.VEERG_4_6_1_9__2_MassOfNitrogenAppliedToSoilsScope3(H33,_xlfn.XLOOKUP($E153, $D$41:$D$49,$E$41:$E$49), _xlfn.XLOOKUP($E153, $D$54:$D$62,$E$54:$E$62), H78,$F97)</f>
        <v>0.15113494550399997</v>
      </c>
      <c r="I153" s="15" cm="1">
        <f t="array" ref="I153">MMS_Poultry_ManureAppliedToSoils_Equations.VEERG_4_6_1_9__2_MassOfNitrogenAppliedToSoilsScope3(I33,_xlfn.XLOOKUP($E153, $D$41:$D$49,$E$41:$E$49), _xlfn.XLOOKUP($E153, $D$54:$D$62,$E$54:$E$62), I78,$F97)</f>
        <v>0.128751355368</v>
      </c>
      <c r="J153" s="16"/>
      <c r="N153" s="15"/>
      <c r="O153" s="15" t="str">
        <f>INDEX(X_Table_Poultry_Stage2MMS_ManureStoredInHouse,3,1)</f>
        <v>Composting (passive windrow)</v>
      </c>
      <c r="P153" s="15" cm="1">
        <f t="array" ref="P153">MMS_Poultry_ManureAppliedToSoils_Equations.VEERG_4_6_1_9__2_MassOfNitrogenAppliedToSoilsScope3(P33,_xlfn.XLOOKUP($O153, $D$41:$D$49,$E$41:$E$49), _xlfn.XLOOKUP($O153, $D$54:$D$62,$E$54:$E$62), P78,$F97)</f>
        <v>0.12062312184000003</v>
      </c>
      <c r="Q153" s="15" cm="1">
        <f t="array" ref="Q153">MMS_Poultry_ManureAppliedToSoils_Equations.VEERG_4_6_1_9__2_MassOfNitrogenAppliedToSoilsScope3(Q33,_xlfn.XLOOKUP($O153, $D$41:$D$49,$E$41:$E$49), _xlfn.XLOOKUP($O153, $D$54:$D$62,$E$54:$E$62), Q78,$F97)</f>
        <v>0.128751355368</v>
      </c>
      <c r="R153" s="15" cm="1">
        <f t="array" ref="R153">MMS_Poultry_ManureAppliedToSoils_Equations.VEERG_4_6_1_9__2_MassOfNitrogenAppliedToSoilsScope3(R33,_xlfn.XLOOKUP($O153, $D$41:$D$49,$E$41:$E$49), _xlfn.XLOOKUP($O153, $D$54:$D$62,$E$54:$E$62), R78,$F97)</f>
        <v>0.15113494550399997</v>
      </c>
      <c r="S153" s="15" cm="1">
        <f t="array" ref="S153">MMS_Poultry_ManureAppliedToSoils_Equations.VEERG_4_6_1_9__2_MassOfNitrogenAppliedToSoilsScope3(S33,_xlfn.XLOOKUP($O153, $D$41:$D$49,$E$41:$E$49), _xlfn.XLOOKUP($O153, $D$54:$D$62,$E$54:$E$62), S78,$F97)</f>
        <v>0.128751355368</v>
      </c>
      <c r="T153" s="16"/>
    </row>
    <row r="154" spans="1:20" ht="20.100000000000001" customHeight="1" x14ac:dyDescent="0.2">
      <c r="D154" s="15"/>
      <c r="E154" s="15" t="str">
        <f>INDEX(X_Table_Poultry_Stage2MMS_ManureStoredInHouse,4,1)</f>
        <v>Digester / covered lagoons</v>
      </c>
      <c r="F154" s="15" cm="1">
        <f t="array" ref="F154">MMS_Poultry_ManureAppliedToSoils_Equations.VEERG_4_6_1_9__2_MassOfNitrogenAppliedToSoilsScope3(F34,_xlfn.XLOOKUP($E154, $D$41:$D$49,$E$41:$E$49), _xlfn.XLOOKUP($E154, $D$54:$D$62,$E$54:$E$62), F79,$F98)</f>
        <v>0.15268749600000003</v>
      </c>
      <c r="G154" s="15" cm="1">
        <f t="array" ref="G154">MMS_Poultry_ManureAppliedToSoils_Equations.VEERG_4_6_1_9__2_MassOfNitrogenAppliedToSoilsScope3(G34,_xlfn.XLOOKUP($E154, $D$41:$D$49,$E$41:$E$49), _xlfn.XLOOKUP($E154, $D$54:$D$62,$E$54:$E$62), G79,$F98)</f>
        <v>0.16297639919999998</v>
      </c>
      <c r="H154" s="15" cm="1">
        <f t="array" ref="H154">MMS_Poultry_ManureAppliedToSoils_Equations.VEERG_4_6_1_9__2_MassOfNitrogenAppliedToSoilsScope3(H34,_xlfn.XLOOKUP($E154, $D$41:$D$49,$E$41:$E$49), _xlfn.XLOOKUP($E154, $D$54:$D$62,$E$54:$E$62), H79,$F98)</f>
        <v>0.19131005759999997</v>
      </c>
      <c r="I154" s="15" cm="1">
        <f t="array" ref="I154">MMS_Poultry_ManureAppliedToSoils_Equations.VEERG_4_6_1_9__2_MassOfNitrogenAppliedToSoilsScope3(I34,_xlfn.XLOOKUP($E154, $D$41:$D$49,$E$41:$E$49), _xlfn.XLOOKUP($E154, $D$54:$D$62,$E$54:$E$62), I79,$F98)</f>
        <v>0.16297639919999998</v>
      </c>
      <c r="J154" s="16"/>
      <c r="N154" s="15"/>
      <c r="O154" s="15" t="str">
        <f>INDEX(X_Table_Poultry_Stage2MMS_ManureStoredInHouse,4,1)</f>
        <v>Digester / covered lagoons</v>
      </c>
      <c r="P154" s="15" cm="1">
        <f t="array" ref="P154">MMS_Poultry_ManureAppliedToSoils_Equations.VEERG_4_6_1_9__2_MassOfNitrogenAppliedToSoilsScope3(P34,_xlfn.XLOOKUP($O154, $D$41:$D$49,$E$41:$E$49), _xlfn.XLOOKUP($O154, $D$54:$D$62,$E$54:$E$62), P79,$F98)</f>
        <v>0.15268749600000003</v>
      </c>
      <c r="Q154" s="15" cm="1">
        <f t="array" ref="Q154">MMS_Poultry_ManureAppliedToSoils_Equations.VEERG_4_6_1_9__2_MassOfNitrogenAppliedToSoilsScope3(Q34,_xlfn.XLOOKUP($O154, $D$41:$D$49,$E$41:$E$49), _xlfn.XLOOKUP($O154, $D$54:$D$62,$E$54:$E$62), Q79,$F98)</f>
        <v>0.16297639919999998</v>
      </c>
      <c r="R154" s="15" cm="1">
        <f t="array" ref="R154">MMS_Poultry_ManureAppliedToSoils_Equations.VEERG_4_6_1_9__2_MassOfNitrogenAppliedToSoilsScope3(R34,_xlfn.XLOOKUP($O154, $D$41:$D$49,$E$41:$E$49), _xlfn.XLOOKUP($O154, $D$54:$D$62,$E$54:$E$62), R79,$F98)</f>
        <v>0.19131005759999997</v>
      </c>
      <c r="S154" s="15" cm="1">
        <f t="array" ref="S154">MMS_Poultry_ManureAppliedToSoils_Equations.VEERG_4_6_1_9__2_MassOfNitrogenAppliedToSoilsScope3(S34,_xlfn.XLOOKUP($O154, $D$41:$D$49,$E$41:$E$49), _xlfn.XLOOKUP($O154, $D$54:$D$62,$E$54:$E$62), S79,$F98)</f>
        <v>0.16297639919999998</v>
      </c>
      <c r="T154" s="16"/>
    </row>
    <row r="155" spans="1:20" ht="20.100000000000001" customHeight="1" x14ac:dyDescent="0.2">
      <c r="D155" s="15"/>
      <c r="E155" s="15" t="str">
        <f>INDEX(X_Table_Poultry_Stage2MMS_ManureStoredInHouse,5,1)</f>
        <v>Direct processing</v>
      </c>
      <c r="F155" s="15" cm="1">
        <f t="array" ref="F155">MMS_Poultry_ManureAppliedToSoils_Equations.VEERG_4_6_1_9__2_MassOfNitrogenAppliedToSoilsScope3(F35,_xlfn.XLOOKUP($E155, $D$41:$D$49,$E$41:$E$49), _xlfn.XLOOKUP($E155, $D$54:$D$62,$E$54:$E$62), F80,$F99)</f>
        <v>0.15268749600000003</v>
      </c>
      <c r="G155" s="15" cm="1">
        <f t="array" ref="G155">MMS_Poultry_ManureAppliedToSoils_Equations.VEERG_4_6_1_9__2_MassOfNitrogenAppliedToSoilsScope3(G35,_xlfn.XLOOKUP($E155, $D$41:$D$49,$E$41:$E$49), _xlfn.XLOOKUP($E155, $D$54:$D$62,$E$54:$E$62), G80,$F99)</f>
        <v>0.16297639919999998</v>
      </c>
      <c r="H155" s="15" cm="1">
        <f t="array" ref="H155">MMS_Poultry_ManureAppliedToSoils_Equations.VEERG_4_6_1_9__2_MassOfNitrogenAppliedToSoilsScope3(H35,_xlfn.XLOOKUP($E155, $D$41:$D$49,$E$41:$E$49), _xlfn.XLOOKUP($E155, $D$54:$D$62,$E$54:$E$62), H80,$F99)</f>
        <v>0.19131005759999997</v>
      </c>
      <c r="I155" s="15" cm="1">
        <f t="array" ref="I155">MMS_Poultry_ManureAppliedToSoils_Equations.VEERG_4_6_1_9__2_MassOfNitrogenAppliedToSoilsScope3(I35,_xlfn.XLOOKUP($E155, $D$41:$D$49,$E$41:$E$49), _xlfn.XLOOKUP($E155, $D$54:$D$62,$E$54:$E$62), I80,$F99)</f>
        <v>0.16297639919999998</v>
      </c>
      <c r="J155" s="16"/>
      <c r="N155" s="15"/>
      <c r="O155" s="15" t="str">
        <f>INDEX(X_Table_Poultry_Stage2MMS_ManureStoredInHouse,5,1)</f>
        <v>Direct processing</v>
      </c>
      <c r="P155" s="15" cm="1">
        <f t="array" ref="P155">MMS_Poultry_ManureAppliedToSoils_Equations.VEERG_4_6_1_9__2_MassOfNitrogenAppliedToSoilsScope3(P35,_xlfn.XLOOKUP($O155, $D$41:$D$49,$E$41:$E$49), _xlfn.XLOOKUP($O155, $D$54:$D$62,$E$54:$E$62), P80,$F99)</f>
        <v>0.15268749600000003</v>
      </c>
      <c r="Q155" s="15" cm="1">
        <f t="array" ref="Q155">MMS_Poultry_ManureAppliedToSoils_Equations.VEERG_4_6_1_9__2_MassOfNitrogenAppliedToSoilsScope3(Q35,_xlfn.XLOOKUP($O155, $D$41:$D$49,$E$41:$E$49), _xlfn.XLOOKUP($O155, $D$54:$D$62,$E$54:$E$62), Q80,$F99)</f>
        <v>0.16297639919999998</v>
      </c>
      <c r="R155" s="15" cm="1">
        <f t="array" ref="R155">MMS_Poultry_ManureAppliedToSoils_Equations.VEERG_4_6_1_9__2_MassOfNitrogenAppliedToSoilsScope3(R35,_xlfn.XLOOKUP($O155, $D$41:$D$49,$E$41:$E$49), _xlfn.XLOOKUP($O155, $D$54:$D$62,$E$54:$E$62), R80,$F99)</f>
        <v>0.19131005759999997</v>
      </c>
      <c r="S155" s="15" cm="1">
        <f t="array" ref="S155">MMS_Poultry_ManureAppliedToSoils_Equations.VEERG_4_6_1_9__2_MassOfNitrogenAppliedToSoilsScope3(S35,_xlfn.XLOOKUP($O155, $D$41:$D$49,$E$41:$E$49), _xlfn.XLOOKUP($O155, $D$54:$D$62,$E$54:$E$62), S80,$F99)</f>
        <v>0.16297639919999998</v>
      </c>
      <c r="T155" s="16"/>
    </row>
    <row r="156" spans="1:20" ht="20.100000000000001" customHeight="1" x14ac:dyDescent="0.2">
      <c r="D156" s="15"/>
      <c r="E156" s="15" t="str">
        <f>INDEX(X_Table_Poultry_Stage2MMS_ManureStoredInHouse,6,1)</f>
        <v>Direct application</v>
      </c>
      <c r="F156" s="15" cm="1">
        <f t="array" ref="F156">MMS_Poultry_ManureAppliedToSoils_Equations.VEERG_4_6_1_9__2_MassOfNitrogenAppliedToSoilsScope3(F36,_xlfn.XLOOKUP($E156, $D$41:$D$49,$E$41:$E$49), _xlfn.XLOOKUP($E156, $D$54:$D$62,$E$54:$E$62), F81,$F100)</f>
        <v>0</v>
      </c>
      <c r="G156" s="15" cm="1">
        <f t="array" ref="G156">MMS_Poultry_ManureAppliedToSoils_Equations.VEERG_4_6_1_9__2_MassOfNitrogenAppliedToSoilsScope3(G36,_xlfn.XLOOKUP($E156, $D$41:$D$49,$E$41:$E$49), _xlfn.XLOOKUP($E156, $D$54:$D$62,$E$54:$E$62), G81,$F100)</f>
        <v>0</v>
      </c>
      <c r="H156" s="15" cm="1">
        <f t="array" ref="H156">MMS_Poultry_ManureAppliedToSoils_Equations.VEERG_4_6_1_9__2_MassOfNitrogenAppliedToSoilsScope3(H36,_xlfn.XLOOKUP($E156, $D$41:$D$49,$E$41:$E$49), _xlfn.XLOOKUP($E156, $D$54:$D$62,$E$54:$E$62), H81,$F100)</f>
        <v>0</v>
      </c>
      <c r="I156" s="15" cm="1">
        <f t="array" ref="I156">MMS_Poultry_ManureAppliedToSoils_Equations.VEERG_4_6_1_9__2_MassOfNitrogenAppliedToSoilsScope3(I36,_xlfn.XLOOKUP($E156, $D$41:$D$49,$E$41:$E$49), _xlfn.XLOOKUP($E156, $D$54:$D$62,$E$54:$E$62), I81,$F100)</f>
        <v>0</v>
      </c>
      <c r="N156" s="15"/>
      <c r="O156" s="15" t="str">
        <f>INDEX(X_Table_Poultry_Stage2MMS_ManureStoredInHouse,6,1)</f>
        <v>Direct application</v>
      </c>
      <c r="P156" s="15" cm="1">
        <f t="array" ref="P156">MMS_Poultry_ManureAppliedToSoils_Equations.VEERG_4_6_1_9__2_MassOfNitrogenAppliedToSoilsScope3(P36,_xlfn.XLOOKUP($O156, $D$41:$D$49,$E$41:$E$49), _xlfn.XLOOKUP($O156, $D$54:$D$62,$E$54:$E$62), P81,$F100)</f>
        <v>0</v>
      </c>
      <c r="Q156" s="15" cm="1">
        <f t="array" ref="Q156">MMS_Poultry_ManureAppliedToSoils_Equations.VEERG_4_6_1_9__2_MassOfNitrogenAppliedToSoilsScope3(Q36,_xlfn.XLOOKUP($O156, $D$41:$D$49,$E$41:$E$49), _xlfn.XLOOKUP($O156, $D$54:$D$62,$E$54:$E$62), Q81,$F100)</f>
        <v>0</v>
      </c>
      <c r="R156" s="15" cm="1">
        <f t="array" ref="R156">MMS_Poultry_ManureAppliedToSoils_Equations.VEERG_4_6_1_9__2_MassOfNitrogenAppliedToSoilsScope3(R36,_xlfn.XLOOKUP($O156, $D$41:$D$49,$E$41:$E$49), _xlfn.XLOOKUP($O156, $D$54:$D$62,$E$54:$E$62), R81,$F100)</f>
        <v>0</v>
      </c>
      <c r="S156" s="15" cm="1">
        <f t="array" ref="S156">MMS_Poultry_ManureAppliedToSoils_Equations.VEERG_4_6_1_9__2_MassOfNitrogenAppliedToSoilsScope3(S36,_xlfn.XLOOKUP($O156, $D$41:$D$49,$E$41:$E$49), _xlfn.XLOOKUP($O156, $D$54:$D$62,$E$54:$E$62), S81,$F100)</f>
        <v>0</v>
      </c>
    </row>
    <row r="158" spans="1:20" ht="20.100000000000001" customHeight="1" x14ac:dyDescent="0.2">
      <c r="A158" s="79" t="str">
        <f>HYPERLINK("#A1", "▲ Back to top")</f>
        <v>▲ Back to top</v>
      </c>
      <c r="D158" s="85" t="s">
        <v>465</v>
      </c>
      <c r="E158" s="86">
        <f>SUM(F142:I156)</f>
        <v>8.9593892186400037</v>
      </c>
      <c r="F158" s="95" t="str">
        <f>$E$131</f>
        <v>kg N</v>
      </c>
      <c r="N158" s="85" t="s">
        <v>465</v>
      </c>
      <c r="O158" s="86">
        <f>SUM(P142:S156)</f>
        <v>8.9593892186400037</v>
      </c>
      <c r="P158" s="95" t="str">
        <f>$E$131</f>
        <v>kg N</v>
      </c>
    </row>
    <row r="161" spans="3:21" ht="20.100000000000001" customHeight="1" x14ac:dyDescent="0.2">
      <c r="C161" s="83"/>
      <c r="D161" s="83"/>
      <c r="E161" s="83"/>
      <c r="F161" s="83"/>
      <c r="G161" s="83"/>
      <c r="H161" s="83"/>
      <c r="I161" s="83"/>
      <c r="J161" s="83"/>
      <c r="K161" s="83"/>
      <c r="L161" s="135"/>
      <c r="M161" s="83"/>
      <c r="N161" s="83"/>
      <c r="O161" s="83"/>
      <c r="P161" s="83"/>
      <c r="Q161" s="83"/>
      <c r="R161" s="83"/>
      <c r="S161" s="83"/>
      <c r="T161" s="83"/>
      <c r="U161" s="83"/>
    </row>
    <row r="162" spans="3:21" ht="20.100000000000001" customHeight="1" x14ac:dyDescent="0.2">
      <c r="D162" s="131" t="str">
        <f>"Below are applications of " &amp; D60 &amp; " that are applied to the following contexts:"</f>
        <v>Below are applications of Digester / covered lagoons that are applied to the following contexts:</v>
      </c>
      <c r="E162" s="43"/>
      <c r="F162" s="43"/>
      <c r="G162" s="43"/>
      <c r="H162" s="44"/>
    </row>
    <row r="163" spans="3:21" ht="20.100000000000001" customHeight="1" x14ac:dyDescent="0.2">
      <c r="D163" s="45" t="s">
        <v>466</v>
      </c>
      <c r="E163" s="46"/>
      <c r="F163" s="46"/>
      <c r="G163" s="46"/>
      <c r="H163" s="47"/>
    </row>
    <row r="165" spans="3:21" ht="20.100000000000001" customHeight="1" x14ac:dyDescent="0.2">
      <c r="D165" s="2" t="s">
        <v>467</v>
      </c>
    </row>
    <row r="167" spans="3:21" ht="20.100000000000001" customHeight="1" x14ac:dyDescent="0.2">
      <c r="D167" s="124" t="s">
        <v>468</v>
      </c>
    </row>
    <row r="168" spans="3:21" ht="20.100000000000001" customHeight="1" x14ac:dyDescent="0.2">
      <c r="D168" s="125" t="s">
        <v>469</v>
      </c>
    </row>
    <row r="169" spans="3:21" ht="20.100000000000001" customHeight="1" x14ac:dyDescent="0.2">
      <c r="D169" s="78" t="s">
        <v>314</v>
      </c>
      <c r="E169" s="78" t="s">
        <v>318</v>
      </c>
      <c r="F169" s="78" t="s">
        <v>455</v>
      </c>
    </row>
    <row r="170" spans="3:21" ht="20.100000000000001" customHeight="1" x14ac:dyDescent="0.2">
      <c r="D170" s="15" t="str">
        <f>INDEX(X_Table_Poultry_Stage1MMS,2,1)</f>
        <v>Poultry manure with bedding</v>
      </c>
      <c r="E170" s="15" t="str">
        <f>INDEX(X_Table_Poultry_Stage2MMS_PoultryManureWithBedding,2,1)</f>
        <v>Solid storage</v>
      </c>
      <c r="F170" s="15">
        <f>INDEX(X_Table_Poultry_Stage2MMS_PoultryManureWithBedding_Destinations,2,3)</f>
        <v>0.25</v>
      </c>
      <c r="G170" s="16" t="str">
        <f>$G$137</f>
        <v>fraction</v>
      </c>
    </row>
    <row r="171" spans="3:21" ht="20.100000000000001" customHeight="1" x14ac:dyDescent="0.2">
      <c r="D171" s="15"/>
      <c r="E171" s="15" t="str">
        <f>INDEX(X_Table_Poultry_Stage2MMS_PoultryManureWithBedding,3,1)</f>
        <v>Composting (passive windrow)</v>
      </c>
      <c r="F171" s="15">
        <f>INDEX(X_Table_Poultry_Stage2MMS_PoultryManureWithBedding_Destinations,3,3)</f>
        <v>0.25</v>
      </c>
      <c r="G171" s="16"/>
    </row>
    <row r="172" spans="3:21" ht="20.100000000000001" customHeight="1" x14ac:dyDescent="0.2">
      <c r="D172" s="15"/>
      <c r="E172" s="15" t="str">
        <f>INDEX(X_Table_Poultry_Stage2MMS_PoultryManureWithBedding,4,1)</f>
        <v>Digester / covered lagoons</v>
      </c>
      <c r="F172" s="15">
        <f>INDEX(X_Table_Poultry_Stage2MMS_PoultryManureWithBedding_Destinations,4,3)</f>
        <v>0.25</v>
      </c>
      <c r="G172" s="16"/>
    </row>
    <row r="173" spans="3:21" ht="20.100000000000001" customHeight="1" x14ac:dyDescent="0.2">
      <c r="D173" s="15"/>
      <c r="E173" s="15" t="str">
        <f>INDEX(X_Table_Poultry_Stage2MMS_PoultryManureWithBedding,5,1)</f>
        <v>Direct processing</v>
      </c>
      <c r="F173" s="15">
        <f>INDEX(X_Table_Poultry_Stage2MMS_PoultryManureWithBedding_Destinations,5,3)</f>
        <v>0.25</v>
      </c>
      <c r="G173" s="16"/>
    </row>
    <row r="174" spans="3:21" ht="20.100000000000001" customHeight="1" x14ac:dyDescent="0.2">
      <c r="D174" s="15"/>
      <c r="E174" s="15" t="str">
        <f>INDEX(X_Table_Poultry_Stage2MMS_PoultryManureWithBedding,6,1)</f>
        <v>Direct application</v>
      </c>
      <c r="F174" s="15">
        <f>INDEX(X_Table_Poultry_Stage2MMS_PoultryManureWithBedding_Destinations,6,3)</f>
        <v>0</v>
      </c>
    </row>
    <row r="175" spans="3:21" ht="20.100000000000001" customHeight="1" x14ac:dyDescent="0.2">
      <c r="D175" s="15" t="str">
        <f>INDEX(X_Table_Poultry_Stage1MMS,3,1)</f>
        <v>Belt manure removal</v>
      </c>
      <c r="E175" s="15" t="str">
        <f>INDEX(X_Table_Poultry_Stage2MMS_BeltManureRemoval,2,1)</f>
        <v>Solid storage</v>
      </c>
      <c r="F175" s="15">
        <f>INDEX(X_Table_Poultry_Stage2MMS_BeltManureRemoval_Destinations,2,3)</f>
        <v>0.25</v>
      </c>
      <c r="G175" s="16"/>
    </row>
    <row r="176" spans="3:21" ht="20.100000000000001" customHeight="1" x14ac:dyDescent="0.2">
      <c r="D176" s="15"/>
      <c r="E176" s="15" t="str">
        <f>INDEX(X_Table_Poultry_Stage2MMS_BeltManureRemoval,3,1)</f>
        <v>Composting (passive windrow)</v>
      </c>
      <c r="F176" s="15">
        <f>INDEX(X_Table_Poultry_Stage2MMS_BeltManureRemoval_Destinations,3,3)</f>
        <v>0.25</v>
      </c>
      <c r="G176" s="16"/>
    </row>
    <row r="177" spans="1:20" ht="20.100000000000001" customHeight="1" x14ac:dyDescent="0.2">
      <c r="D177" s="15"/>
      <c r="E177" s="15" t="str">
        <f>INDEX(X_Table_Poultry_Stage2MMS_BeltManureRemoval,4,1)</f>
        <v>Digester / covered lagoons</v>
      </c>
      <c r="F177" s="15">
        <f>INDEX(X_Table_Poultry_Stage2MMS_BeltManureRemoval_Destinations,4,3)</f>
        <v>0.25</v>
      </c>
      <c r="G177" s="16"/>
    </row>
    <row r="178" spans="1:20" ht="20.100000000000001" customHeight="1" x14ac:dyDescent="0.2">
      <c r="D178" s="15"/>
      <c r="E178" s="15" t="str">
        <f>INDEX(X_Table_Poultry_Stage2MMS_BeltManureRemoval,5,1)</f>
        <v>Direct processing</v>
      </c>
      <c r="F178" s="15">
        <f>INDEX(X_Table_Poultry_Stage2MMS_BeltManureRemoval_Destinations,5,3)</f>
        <v>0.25</v>
      </c>
      <c r="G178" s="16"/>
    </row>
    <row r="179" spans="1:20" ht="20.100000000000001" customHeight="1" x14ac:dyDescent="0.2">
      <c r="D179" s="15"/>
      <c r="E179" s="15" t="str">
        <f>INDEX(X_Table_Poultry_Stage2MMS_BeltManureRemoval,6,1)</f>
        <v>Direct application</v>
      </c>
      <c r="F179" s="15">
        <f>INDEX(X_Table_Poultry_Stage2MMS_BeltManureRemoval_Destinations,6,3)</f>
        <v>0</v>
      </c>
    </row>
    <row r="180" spans="1:20" ht="20.100000000000001" customHeight="1" x14ac:dyDescent="0.2">
      <c r="D180" s="15" t="str">
        <f>INDEX(X_Table_Poultry_Stage1MMS,4,1)</f>
        <v>Manure stored in house</v>
      </c>
      <c r="E180" s="15" t="str">
        <f>INDEX(X_Table_Poultry_Stage2MMS_ManureStoredInHouse,2,1)</f>
        <v>Solid storage</v>
      </c>
      <c r="F180" s="15">
        <f>INDEX(X_Table_Poultry_Stage2MMS_ManureStoredInHouse_Destinations,2,3)</f>
        <v>0.25</v>
      </c>
      <c r="G180" s="16"/>
    </row>
    <row r="181" spans="1:20" ht="20.100000000000001" customHeight="1" x14ac:dyDescent="0.2">
      <c r="D181" s="15"/>
      <c r="E181" s="15" t="str">
        <f>INDEX(X_Table_Poultry_Stage2MMS_ManureStoredInHouse,3,1)</f>
        <v>Composting (passive windrow)</v>
      </c>
      <c r="F181" s="15">
        <f>INDEX(X_Table_Poultry_Stage2MMS_ManureStoredInHouse_Destinations,3,3)</f>
        <v>0.25</v>
      </c>
      <c r="G181" s="16"/>
    </row>
    <row r="182" spans="1:20" ht="20.100000000000001" customHeight="1" x14ac:dyDescent="0.2">
      <c r="D182" s="15"/>
      <c r="E182" s="15" t="str">
        <f>INDEX(X_Table_Poultry_Stage2MMS_ManureStoredInHouse,4,1)</f>
        <v>Digester / covered lagoons</v>
      </c>
      <c r="F182" s="15">
        <f>INDEX(X_Table_Poultry_Stage2MMS_ManureStoredInHouse_Destinations,4,3)</f>
        <v>0.25</v>
      </c>
      <c r="G182" s="16"/>
    </row>
    <row r="183" spans="1:20" ht="20.100000000000001" customHeight="1" x14ac:dyDescent="0.2">
      <c r="D183" s="15"/>
      <c r="E183" s="15" t="str">
        <f>INDEX(X_Table_Poultry_Stage2MMS_ManureStoredInHouse,5,1)</f>
        <v>Direct processing</v>
      </c>
      <c r="F183" s="15">
        <f>INDEX(X_Table_Poultry_Stage2MMS_ManureStoredInHouse_Destinations,5,3)</f>
        <v>0.25</v>
      </c>
      <c r="G183" s="16"/>
    </row>
    <row r="184" spans="1:20" ht="20.100000000000001" customHeight="1" x14ac:dyDescent="0.2">
      <c r="D184" s="15"/>
      <c r="E184" s="15" t="str">
        <f>INDEX(X_Table_Poultry_Stage2MMS_ManureStoredInHouse,6,1)</f>
        <v>Direct application</v>
      </c>
      <c r="F184" s="15">
        <f>INDEX(X_Table_Poultry_Stage2MMS_ManureStoredInHouse_Destinations,6,3)</f>
        <v>0</v>
      </c>
    </row>
    <row r="186" spans="1:20" ht="20.100000000000001" customHeight="1" x14ac:dyDescent="0.2">
      <c r="D186" s="118" t="s">
        <v>470</v>
      </c>
      <c r="N186" s="118" t="s">
        <v>471</v>
      </c>
    </row>
    <row r="187" spans="1:20" ht="20.100000000000001" customHeight="1" x14ac:dyDescent="0.2">
      <c r="D187" s="125" t="s">
        <v>472</v>
      </c>
      <c r="N187" s="125" t="s">
        <v>473</v>
      </c>
    </row>
    <row r="188" spans="1:20" ht="20.100000000000001" customHeight="1" x14ac:dyDescent="0.2">
      <c r="A188" s="79" t="str">
        <f>HYPERLINK("#A1", "▲ Back to top")</f>
        <v>▲ Back to top</v>
      </c>
      <c r="D188" s="120" t="s">
        <v>314</v>
      </c>
      <c r="E188" s="120" t="s">
        <v>318</v>
      </c>
      <c r="F188" s="120" t="s">
        <v>297</v>
      </c>
      <c r="G188" s="120" t="s">
        <v>298</v>
      </c>
      <c r="H188" s="120" t="s">
        <v>299</v>
      </c>
      <c r="I188" s="120" t="s">
        <v>300</v>
      </c>
      <c r="N188" s="120" t="s">
        <v>314</v>
      </c>
      <c r="O188" s="120" t="s">
        <v>318</v>
      </c>
      <c r="P188" s="120" t="s">
        <v>297</v>
      </c>
      <c r="Q188" s="120" t="s">
        <v>298</v>
      </c>
      <c r="R188" s="120" t="s">
        <v>299</v>
      </c>
      <c r="S188" s="120" t="s">
        <v>300</v>
      </c>
    </row>
    <row r="189" spans="1:20" ht="20.100000000000001" customHeight="1" x14ac:dyDescent="0.2">
      <c r="D189" s="15" t="str">
        <f>INDEX(X_Table_Poultry_Stage1MMS,2,1)</f>
        <v>Poultry manure with bedding</v>
      </c>
      <c r="E189" s="15" t="str">
        <f>INDEX(X_Table_Poultry_Stage2MMS_PoultryManureWithBedding,2,1)</f>
        <v>Solid storage</v>
      </c>
      <c r="F189" s="15" cm="1">
        <f t="array" ref="F189">MMS_Poultry_ManureAppliedToSoils_Equations.VEERG_4_6_1_9__1_MassOfNitrogenAppliedToSoilsScope1(F22,_xlfn.XLOOKUP($E189, $D$41:$D$49,$E$41:$E$49), _xlfn.XLOOKUP($E189, $D$54:$D$62,$E$54:$E$62), F67,$F170)</f>
        <v>0.13808786940000004</v>
      </c>
      <c r="G189" s="15" cm="1">
        <f t="array" ref="G189">MMS_Poultry_ManureAppliedToSoils_Equations.VEERG_4_6_1_9__1_MassOfNitrogenAppliedToSoilsScope1(G22,_xlfn.XLOOKUP($E189, $D$41:$D$49,$E$41:$E$49), _xlfn.XLOOKUP($E189, $D$54:$D$62,$E$54:$E$62), G67,$F170)</f>
        <v>0.14739297138000002</v>
      </c>
      <c r="H189" s="15" cm="1">
        <f t="array" ref="H189">MMS_Poultry_ManureAppliedToSoils_Equations.VEERG_4_6_1_9__1_MassOfNitrogenAppliedToSoilsScope1(H22,_xlfn.XLOOKUP($E189, $D$41:$D$49,$E$41:$E$49), _xlfn.XLOOKUP($E189, $D$54:$D$62,$E$54:$E$62), H67,$F170)</f>
        <v>0.17301743063999997</v>
      </c>
      <c r="I189" s="15" cm="1">
        <f t="array" ref="I189">MMS_Poultry_ManureAppliedToSoils_Equations.VEERG_4_6_1_9__1_MassOfNitrogenAppliedToSoilsScope1(I22,_xlfn.XLOOKUP($E189, $D$41:$D$49,$E$41:$E$49), _xlfn.XLOOKUP($E189, $D$54:$D$62,$E$54:$E$62), I67,$F170)</f>
        <v>0.14739297138000002</v>
      </c>
      <c r="J189" s="16" t="str">
        <f>$E$11</f>
        <v>kg N</v>
      </c>
      <c r="N189" s="15" t="str">
        <f>INDEX(X_Table_Poultry_Stage1MMS,2,1)</f>
        <v>Poultry manure with bedding</v>
      </c>
      <c r="O189" s="15" t="str">
        <f>INDEX(X_Table_Poultry_Stage2MMS_PoultryManureWithBedding,2,1)</f>
        <v>Solid storage</v>
      </c>
      <c r="P189" s="15" cm="1">
        <f t="array" ref="P189">MMS_Poultry_ManureAppliedToSoils_Equations.VEERG_4_6_1_9__1_MassOfNitrogenAppliedToSoilsScope1(P22,_xlfn.XLOOKUP($O189, $D$41:$D$49,$E$41:$E$49), _xlfn.XLOOKUP($O189, $D$54:$D$62,$E$54:$E$62), P67,$F170)</f>
        <v>0.13808786940000004</v>
      </c>
      <c r="Q189" s="15" cm="1">
        <f t="array" ref="Q189">MMS_Poultry_ManureAppliedToSoils_Equations.VEERG_4_6_1_9__1_MassOfNitrogenAppliedToSoilsScope1(Q22,_xlfn.XLOOKUP($O189, $D$41:$D$49,$E$41:$E$49), _xlfn.XLOOKUP($O189, $D$54:$D$62,$E$54:$E$62), Q67,$F170)</f>
        <v>0.14739297138000002</v>
      </c>
      <c r="R189" s="15" cm="1">
        <f t="array" ref="R189">MMS_Poultry_ManureAppliedToSoils_Equations.VEERG_4_6_1_9__1_MassOfNitrogenAppliedToSoilsScope1(R22,_xlfn.XLOOKUP($O189, $D$41:$D$49,$E$41:$E$49), _xlfn.XLOOKUP($O189, $D$54:$D$62,$E$54:$E$62), R67,$F170)</f>
        <v>0.17301743063999997</v>
      </c>
      <c r="S189" s="15" cm="1">
        <f t="array" ref="S189">MMS_Poultry_ManureAppliedToSoils_Equations.VEERG_4_6_1_9__1_MassOfNitrogenAppliedToSoilsScope1(S22,_xlfn.XLOOKUP($O189, $D$41:$D$49,$E$41:$E$49), _xlfn.XLOOKUP($O189, $D$54:$D$62,$E$54:$E$62), S67,$F170)</f>
        <v>0.14739297138000002</v>
      </c>
      <c r="T189" s="16" t="str">
        <f>$E$11</f>
        <v>kg N</v>
      </c>
    </row>
    <row r="190" spans="1:20" ht="20.100000000000001" customHeight="1" x14ac:dyDescent="0.2">
      <c r="D190" s="15"/>
      <c r="E190" s="15" t="str">
        <f>INDEX(X_Table_Poultry_Stage2MMS_PoultryManureWithBedding,3,1)</f>
        <v>Composting (passive windrow)</v>
      </c>
      <c r="F190" s="15" cm="1">
        <f t="array" ref="F190">MMS_Poultry_ManureAppliedToSoils_Equations.VEERG_4_6_1_9__1_MassOfNitrogenAppliedToSoilsScope1(F23,_xlfn.XLOOKUP($E190, $D$41:$D$49,$E$41:$E$49), _xlfn.XLOOKUP($E190, $D$54:$D$62,$E$54:$E$62), F68,$F171)</f>
        <v>0.14076053784000003</v>
      </c>
      <c r="G190" s="15" cm="1">
        <f t="array" ref="G190">MMS_Poultry_ManureAppliedToSoils_Equations.VEERG_4_6_1_9__1_MassOfNitrogenAppliedToSoilsScope1(G23,_xlfn.XLOOKUP($E190, $D$41:$D$49,$E$41:$E$49), _xlfn.XLOOKUP($E190, $D$54:$D$62,$E$54:$E$62), G68,$F171)</f>
        <v>0.150245738568</v>
      </c>
      <c r="H190" s="15" cm="1">
        <f t="array" ref="H190">MMS_Poultry_ManureAppliedToSoils_Equations.VEERG_4_6_1_9__1_MassOfNitrogenAppliedToSoilsScope1(H23,_xlfn.XLOOKUP($E190, $D$41:$D$49,$E$41:$E$49), _xlfn.XLOOKUP($E190, $D$54:$D$62,$E$54:$E$62), H68,$F171)</f>
        <v>0.176366155104</v>
      </c>
      <c r="I190" s="15" cm="1">
        <f t="array" ref="I190">MMS_Poultry_ManureAppliedToSoils_Equations.VEERG_4_6_1_9__1_MassOfNitrogenAppliedToSoilsScope1(I23,_xlfn.XLOOKUP($E190, $D$41:$D$49,$E$41:$E$49), _xlfn.XLOOKUP($E190, $D$54:$D$62,$E$54:$E$62), I68,$F171)</f>
        <v>0.150245738568</v>
      </c>
      <c r="J190" s="16"/>
      <c r="N190" s="15"/>
      <c r="O190" s="15" t="str">
        <f>INDEX(X_Table_Poultry_Stage2MMS_PoultryManureWithBedding,3,1)</f>
        <v>Composting (passive windrow)</v>
      </c>
      <c r="P190" s="15" cm="1">
        <f t="array" ref="P190">MMS_Poultry_ManureAppliedToSoils_Equations.VEERG_4_6_1_9__1_MassOfNitrogenAppliedToSoilsScope1(P23,_xlfn.XLOOKUP($O190, $D$41:$D$49,$E$41:$E$49), _xlfn.XLOOKUP($O190, $D$54:$D$62,$E$54:$E$62), P68,$F171)</f>
        <v>0.14076053784000003</v>
      </c>
      <c r="Q190" s="15" cm="1">
        <f t="array" ref="Q190">MMS_Poultry_ManureAppliedToSoils_Equations.VEERG_4_6_1_9__1_MassOfNitrogenAppliedToSoilsScope1(Q23,_xlfn.XLOOKUP($O190, $D$41:$D$49,$E$41:$E$49), _xlfn.XLOOKUP($O190, $D$54:$D$62,$E$54:$E$62), Q68,$F171)</f>
        <v>0.150245738568</v>
      </c>
      <c r="R190" s="15" cm="1">
        <f t="array" ref="R190">MMS_Poultry_ManureAppliedToSoils_Equations.VEERG_4_6_1_9__1_MassOfNitrogenAppliedToSoilsScope1(R23,_xlfn.XLOOKUP($O190, $D$41:$D$49,$E$41:$E$49), _xlfn.XLOOKUP($O190, $D$54:$D$62,$E$54:$E$62), R68,$F171)</f>
        <v>0.176366155104</v>
      </c>
      <c r="S190" s="15" cm="1">
        <f t="array" ref="S190">MMS_Poultry_ManureAppliedToSoils_Equations.VEERG_4_6_1_9__1_MassOfNitrogenAppliedToSoilsScope1(S23,_xlfn.XLOOKUP($O190, $D$41:$D$49,$E$41:$E$49), _xlfn.XLOOKUP($O190, $D$54:$D$62,$E$54:$E$62), S68,$F171)</f>
        <v>0.150245738568</v>
      </c>
      <c r="T190" s="16"/>
    </row>
    <row r="191" spans="1:20" ht="20.100000000000001" customHeight="1" x14ac:dyDescent="0.2">
      <c r="D191" s="15"/>
      <c r="E191" s="15" t="str">
        <f>INDEX(X_Table_Poultry_Stage2MMS_PoultryManureWithBedding,4,1)</f>
        <v>Digester / covered lagoons</v>
      </c>
      <c r="F191" s="15" cm="1">
        <f t="array" ref="F191">MMS_Poultry_ManureAppliedToSoils_Equations.VEERG_4_6_1_9__1_MassOfNitrogenAppliedToSoilsScope1(F24,_xlfn.XLOOKUP($E191, $D$41:$D$49,$E$41:$E$49), _xlfn.XLOOKUP($E191, $D$54:$D$62,$E$54:$E$62), F69,$F172)</f>
        <v>0.17817789600000003</v>
      </c>
      <c r="G191" s="15" cm="1">
        <f t="array" ref="G191">MMS_Poultry_ManureAppliedToSoils_Equations.VEERG_4_6_1_9__1_MassOfNitrogenAppliedToSoilsScope1(G24,_xlfn.XLOOKUP($E191, $D$41:$D$49,$E$41:$E$49), _xlfn.XLOOKUP($E191, $D$54:$D$62,$E$54:$E$62), G69,$F172)</f>
        <v>0.19018447920000001</v>
      </c>
      <c r="H191" s="15" cm="1">
        <f t="array" ref="H191">MMS_Poultry_ManureAppliedToSoils_Equations.VEERG_4_6_1_9__1_MassOfNitrogenAppliedToSoilsScope1(H24,_xlfn.XLOOKUP($E191, $D$41:$D$49,$E$41:$E$49), _xlfn.XLOOKUP($E191, $D$54:$D$62,$E$54:$E$62), H69,$F172)</f>
        <v>0.22324829759999998</v>
      </c>
      <c r="I191" s="15" cm="1">
        <f t="array" ref="I191">MMS_Poultry_ManureAppliedToSoils_Equations.VEERG_4_6_1_9__1_MassOfNitrogenAppliedToSoilsScope1(I24,_xlfn.XLOOKUP($E191, $D$41:$D$49,$E$41:$E$49), _xlfn.XLOOKUP($E191, $D$54:$D$62,$E$54:$E$62), I69,$F172)</f>
        <v>0.19018447920000001</v>
      </c>
      <c r="J191" s="16"/>
      <c r="N191" s="15"/>
      <c r="O191" s="15" t="str">
        <f>INDEX(X_Table_Poultry_Stage2MMS_PoultryManureWithBedding,4,1)</f>
        <v>Digester / covered lagoons</v>
      </c>
      <c r="P191" s="15" cm="1">
        <f t="array" ref="P191">MMS_Poultry_ManureAppliedToSoils_Equations.VEERG_4_6_1_9__1_MassOfNitrogenAppliedToSoilsScope1(P24,_xlfn.XLOOKUP($O191, $D$41:$D$49,$E$41:$E$49), _xlfn.XLOOKUP($O191, $D$54:$D$62,$E$54:$E$62), P69,$F172)</f>
        <v>0.17817789600000003</v>
      </c>
      <c r="Q191" s="15" cm="1">
        <f t="array" ref="Q191">MMS_Poultry_ManureAppliedToSoils_Equations.VEERG_4_6_1_9__1_MassOfNitrogenAppliedToSoilsScope1(Q24,_xlfn.XLOOKUP($O191, $D$41:$D$49,$E$41:$E$49), _xlfn.XLOOKUP($O191, $D$54:$D$62,$E$54:$E$62), Q69,$F172)</f>
        <v>0.19018447920000001</v>
      </c>
      <c r="R191" s="15" cm="1">
        <f t="array" ref="R191">MMS_Poultry_ManureAppliedToSoils_Equations.VEERG_4_6_1_9__1_MassOfNitrogenAppliedToSoilsScope1(R24,_xlfn.XLOOKUP($O191, $D$41:$D$49,$E$41:$E$49), _xlfn.XLOOKUP($O191, $D$54:$D$62,$E$54:$E$62), R69,$F172)</f>
        <v>0.22324829759999998</v>
      </c>
      <c r="S191" s="15" cm="1">
        <f t="array" ref="S191">MMS_Poultry_ManureAppliedToSoils_Equations.VEERG_4_6_1_9__1_MassOfNitrogenAppliedToSoilsScope1(S24,_xlfn.XLOOKUP($O191, $D$41:$D$49,$E$41:$E$49), _xlfn.XLOOKUP($O191, $D$54:$D$62,$E$54:$E$62), S69,$F172)</f>
        <v>0.19018447920000001</v>
      </c>
      <c r="T191" s="16"/>
    </row>
    <row r="192" spans="1:20" ht="20.100000000000001" customHeight="1" x14ac:dyDescent="0.2">
      <c r="D192" s="15"/>
      <c r="E192" s="15" t="str">
        <f>INDEX(X_Table_Poultry_Stage2MMS_PoultryManureWithBedding,5,1)</f>
        <v>Direct processing</v>
      </c>
      <c r="F192" s="15" cm="1">
        <f t="array" ref="F192">MMS_Poultry_ManureAppliedToSoils_Equations.VEERG_4_6_1_9__1_MassOfNitrogenAppliedToSoilsScope1(F25,_xlfn.XLOOKUP($E192, $D$41:$D$49,$E$41:$E$49), _xlfn.XLOOKUP($E192, $D$54:$D$62,$E$54:$E$62), F70,$F173)</f>
        <v>0.17817789600000003</v>
      </c>
      <c r="G192" s="15" cm="1">
        <f t="array" ref="G192">MMS_Poultry_ManureAppliedToSoils_Equations.VEERG_4_6_1_9__1_MassOfNitrogenAppliedToSoilsScope1(G25,_xlfn.XLOOKUP($E192, $D$41:$D$49,$E$41:$E$49), _xlfn.XLOOKUP($E192, $D$54:$D$62,$E$54:$E$62), G70,$F173)</f>
        <v>0.19018447920000001</v>
      </c>
      <c r="H192" s="15" cm="1">
        <f t="array" ref="H192">MMS_Poultry_ManureAppliedToSoils_Equations.VEERG_4_6_1_9__1_MassOfNitrogenAppliedToSoilsScope1(H25,_xlfn.XLOOKUP($E192, $D$41:$D$49,$E$41:$E$49), _xlfn.XLOOKUP($E192, $D$54:$D$62,$E$54:$E$62), H70,$F173)</f>
        <v>0.22324829759999998</v>
      </c>
      <c r="I192" s="15" cm="1">
        <f t="array" ref="I192">MMS_Poultry_ManureAppliedToSoils_Equations.VEERG_4_6_1_9__1_MassOfNitrogenAppliedToSoilsScope1(I25,_xlfn.XLOOKUP($E192, $D$41:$D$49,$E$41:$E$49), _xlfn.XLOOKUP($E192, $D$54:$D$62,$E$54:$E$62), I70,$F173)</f>
        <v>0.19018447920000001</v>
      </c>
      <c r="J192" s="16"/>
      <c r="N192" s="15"/>
      <c r="O192" s="15" t="str">
        <f>INDEX(X_Table_Poultry_Stage2MMS_PoultryManureWithBedding,5,1)</f>
        <v>Direct processing</v>
      </c>
      <c r="P192" s="15" cm="1">
        <f t="array" ref="P192">MMS_Poultry_ManureAppliedToSoils_Equations.VEERG_4_6_1_9__1_MassOfNitrogenAppliedToSoilsScope1(P25,_xlfn.XLOOKUP($O192, $D$41:$D$49,$E$41:$E$49), _xlfn.XLOOKUP($O192, $D$54:$D$62,$E$54:$E$62), P70,$F173)</f>
        <v>0.17817789600000003</v>
      </c>
      <c r="Q192" s="15" cm="1">
        <f t="array" ref="Q192">MMS_Poultry_ManureAppliedToSoils_Equations.VEERG_4_6_1_9__1_MassOfNitrogenAppliedToSoilsScope1(Q25,_xlfn.XLOOKUP($O192, $D$41:$D$49,$E$41:$E$49), _xlfn.XLOOKUP($O192, $D$54:$D$62,$E$54:$E$62), Q70,$F173)</f>
        <v>0.19018447920000001</v>
      </c>
      <c r="R192" s="15" cm="1">
        <f t="array" ref="R192">MMS_Poultry_ManureAppliedToSoils_Equations.VEERG_4_6_1_9__1_MassOfNitrogenAppliedToSoilsScope1(R25,_xlfn.XLOOKUP($O192, $D$41:$D$49,$E$41:$E$49), _xlfn.XLOOKUP($O192, $D$54:$D$62,$E$54:$E$62), R70,$F173)</f>
        <v>0.22324829759999998</v>
      </c>
      <c r="S192" s="15" cm="1">
        <f t="array" ref="S192">MMS_Poultry_ManureAppliedToSoils_Equations.VEERG_4_6_1_9__1_MassOfNitrogenAppliedToSoilsScope1(S25,_xlfn.XLOOKUP($O192, $D$41:$D$49,$E$41:$E$49), _xlfn.XLOOKUP($O192, $D$54:$D$62,$E$54:$E$62), S70,$F173)</f>
        <v>0.19018447920000001</v>
      </c>
      <c r="T192" s="16"/>
    </row>
    <row r="193" spans="4:20" ht="20.100000000000001" customHeight="1" x14ac:dyDescent="0.2">
      <c r="D193" s="15"/>
      <c r="E193" s="15" t="str">
        <f>INDEX(X_Table_Poultry_Stage2MMS_PoultryManureWithBedding,6,1)</f>
        <v>Direct application</v>
      </c>
      <c r="F193" s="15" cm="1">
        <f t="array" ref="F193">MMS_Poultry_ManureAppliedToSoils_Equations.VEERG_4_6_1_9__1_MassOfNitrogenAppliedToSoilsScope1(F26,_xlfn.XLOOKUP($E193, $D$41:$D$49,$E$41:$E$49), _xlfn.XLOOKUP($E193, $D$54:$D$62,$E$54:$E$62), F71,$F174)</f>
        <v>0</v>
      </c>
      <c r="G193" s="15" cm="1">
        <f t="array" ref="G193">MMS_Poultry_ManureAppliedToSoils_Equations.VEERG_4_6_1_9__1_MassOfNitrogenAppliedToSoilsScope1(G26,_xlfn.XLOOKUP($E193, $D$41:$D$49,$E$41:$E$49), _xlfn.XLOOKUP($E193, $D$54:$D$62,$E$54:$E$62), G71,$F174)</f>
        <v>0</v>
      </c>
      <c r="H193" s="15" cm="1">
        <f t="array" ref="H193">MMS_Poultry_ManureAppliedToSoils_Equations.VEERG_4_6_1_9__1_MassOfNitrogenAppliedToSoilsScope1(H26,_xlfn.XLOOKUP($E193, $D$41:$D$49,$E$41:$E$49), _xlfn.XLOOKUP($E193, $D$54:$D$62,$E$54:$E$62), H71,$F174)</f>
        <v>0</v>
      </c>
      <c r="I193" s="15" cm="1">
        <f t="array" ref="I193">MMS_Poultry_ManureAppliedToSoils_Equations.VEERG_4_6_1_9__1_MassOfNitrogenAppliedToSoilsScope1(I26,_xlfn.XLOOKUP($E193, $D$41:$D$49,$E$41:$E$49), _xlfn.XLOOKUP($E193, $D$54:$D$62,$E$54:$E$62), I71,$F174)</f>
        <v>0</v>
      </c>
      <c r="N193" s="15"/>
      <c r="O193" s="15" t="str">
        <f>INDEX(X_Table_Poultry_Stage2MMS_PoultryManureWithBedding,6,1)</f>
        <v>Direct application</v>
      </c>
      <c r="P193" s="15" cm="1">
        <f t="array" ref="P193">MMS_Poultry_ManureAppliedToSoils_Equations.VEERG_4_6_1_9__1_MassOfNitrogenAppliedToSoilsScope1(P26,_xlfn.XLOOKUP($O193, $D$41:$D$49,$E$41:$E$49), _xlfn.XLOOKUP($O193, $D$54:$D$62,$E$54:$E$62), P71,$F174)</f>
        <v>0</v>
      </c>
      <c r="Q193" s="15" cm="1">
        <f t="array" ref="Q193">MMS_Poultry_ManureAppliedToSoils_Equations.VEERG_4_6_1_9__1_MassOfNitrogenAppliedToSoilsScope1(Q26,_xlfn.XLOOKUP($O193, $D$41:$D$49,$E$41:$E$49), _xlfn.XLOOKUP($O193, $D$54:$D$62,$E$54:$E$62), Q71,$F174)</f>
        <v>0</v>
      </c>
      <c r="R193" s="15" cm="1">
        <f t="array" ref="R193">MMS_Poultry_ManureAppliedToSoils_Equations.VEERG_4_6_1_9__1_MassOfNitrogenAppliedToSoilsScope1(R26,_xlfn.XLOOKUP($O193, $D$41:$D$49,$E$41:$E$49), _xlfn.XLOOKUP($O193, $D$54:$D$62,$E$54:$E$62), R71,$F174)</f>
        <v>0</v>
      </c>
      <c r="S193" s="15" cm="1">
        <f t="array" ref="S193">MMS_Poultry_ManureAppliedToSoils_Equations.VEERG_4_6_1_9__1_MassOfNitrogenAppliedToSoilsScope1(S26,_xlfn.XLOOKUP($O193, $D$41:$D$49,$E$41:$E$49), _xlfn.XLOOKUP($O193, $D$54:$D$62,$E$54:$E$62), S71,$F174)</f>
        <v>0</v>
      </c>
    </row>
    <row r="194" spans="4:20" ht="20.100000000000001" customHeight="1" x14ac:dyDescent="0.2">
      <c r="D194" s="15" t="str">
        <f>INDEX(X_Table_Poultry_Stage1MMS,3,1)</f>
        <v>Belt manure removal</v>
      </c>
      <c r="E194" s="15" t="str">
        <f>INDEX(X_Table_Poultry_Stage2MMS_BeltManureRemoval,2,1)</f>
        <v>Solid storage</v>
      </c>
      <c r="F194" s="15" cm="1">
        <f t="array" ref="F194">MMS_Poultry_ManureAppliedToSoils_Equations.VEERG_4_6_1_9__1_MassOfNitrogenAppliedToSoilsScope1(F27,_xlfn.XLOOKUP($E194, $D$41:$D$49,$E$41:$E$49), _xlfn.XLOOKUP($E194, $D$54:$D$62,$E$54:$E$62), F72,$F175)</f>
        <v>0.18747551940000004</v>
      </c>
      <c r="G194" s="15" cm="1">
        <f t="array" ref="G194">MMS_Poultry_ManureAppliedToSoils_Equations.VEERG_4_6_1_9__1_MassOfNitrogenAppliedToSoilsScope1(G27,_xlfn.XLOOKUP($E194, $D$41:$D$49,$E$41:$E$49), _xlfn.XLOOKUP($E194, $D$54:$D$62,$E$54:$E$62), G72,$F175)</f>
        <v>0.20010862637999999</v>
      </c>
      <c r="H194" s="15" cm="1">
        <f t="array" ref="H194">MMS_Poultry_ManureAppliedToSoils_Equations.VEERG_4_6_1_9__1_MassOfNitrogenAppliedToSoilsScope1(H27,_xlfn.XLOOKUP($E194, $D$41:$D$49,$E$41:$E$49), _xlfn.XLOOKUP($E194, $D$54:$D$62,$E$54:$E$62), H72,$F175)</f>
        <v>0.23489777063999998</v>
      </c>
      <c r="I194" s="15" cm="1">
        <f t="array" ref="I194">MMS_Poultry_ManureAppliedToSoils_Equations.VEERG_4_6_1_9__1_MassOfNitrogenAppliedToSoilsScope1(I27,_xlfn.XLOOKUP($E194, $D$41:$D$49,$E$41:$E$49), _xlfn.XLOOKUP($E194, $D$54:$D$62,$E$54:$E$62), I72,$F175)</f>
        <v>0.20010862637999999</v>
      </c>
      <c r="J194" s="16"/>
      <c r="N194" s="15" t="str">
        <f>INDEX(X_Table_Poultry_Stage1MMS,3,1)</f>
        <v>Belt manure removal</v>
      </c>
      <c r="O194" s="15" t="str">
        <f>INDEX(X_Table_Poultry_Stage2MMS_BeltManureRemoval,2,1)</f>
        <v>Solid storage</v>
      </c>
      <c r="P194" s="15" cm="1">
        <f t="array" ref="P194">MMS_Poultry_ManureAppliedToSoils_Equations.VEERG_4_6_1_9__1_MassOfNitrogenAppliedToSoilsScope1(P27,_xlfn.XLOOKUP($O194, $D$41:$D$49,$E$41:$E$49), _xlfn.XLOOKUP($O194, $D$54:$D$62,$E$54:$E$62), P72,$F175)</f>
        <v>0.18747551940000004</v>
      </c>
      <c r="Q194" s="15" cm="1">
        <f t="array" ref="Q194">MMS_Poultry_ManureAppliedToSoils_Equations.VEERG_4_6_1_9__1_MassOfNitrogenAppliedToSoilsScope1(Q27,_xlfn.XLOOKUP($O194, $D$41:$D$49,$E$41:$E$49), _xlfn.XLOOKUP($O194, $D$54:$D$62,$E$54:$E$62), Q72,$F175)</f>
        <v>0.20010862637999999</v>
      </c>
      <c r="R194" s="15" cm="1">
        <f t="array" ref="R194">MMS_Poultry_ManureAppliedToSoils_Equations.VEERG_4_6_1_9__1_MassOfNitrogenAppliedToSoilsScope1(R27,_xlfn.XLOOKUP($O194, $D$41:$D$49,$E$41:$E$49), _xlfn.XLOOKUP($O194, $D$54:$D$62,$E$54:$E$62), R72,$F175)</f>
        <v>0.23489777063999998</v>
      </c>
      <c r="S194" s="15" cm="1">
        <f t="array" ref="S194">MMS_Poultry_ManureAppliedToSoils_Equations.VEERG_4_6_1_9__1_MassOfNitrogenAppliedToSoilsScope1(S27,_xlfn.XLOOKUP($O194, $D$41:$D$49,$E$41:$E$49), _xlfn.XLOOKUP($O194, $D$54:$D$62,$E$54:$E$62), S72,$F175)</f>
        <v>0.20010862637999999</v>
      </c>
      <c r="T194" s="16"/>
    </row>
    <row r="195" spans="4:20" ht="20.100000000000001" customHeight="1" x14ac:dyDescent="0.2">
      <c r="D195" s="15"/>
      <c r="E195" s="15" t="str">
        <f>INDEX(X_Table_Poultry_Stage2MMS_BeltManureRemoval,3,1)</f>
        <v>Composting (passive windrow)</v>
      </c>
      <c r="F195" s="15" cm="1">
        <f t="array" ref="F195">MMS_Poultry_ManureAppliedToSoils_Equations.VEERG_4_6_1_9__1_MassOfNitrogenAppliedToSoilsScope1(F28,_xlfn.XLOOKUP($E195, $D$41:$D$49,$E$41:$E$49), _xlfn.XLOOKUP($E195, $D$54:$D$62,$E$54:$E$62), F73,$F176)</f>
        <v>0.19110407784000005</v>
      </c>
      <c r="G195" s="15" cm="1">
        <f t="array" ref="G195">MMS_Poultry_ManureAppliedToSoils_Equations.VEERG_4_6_1_9__1_MassOfNitrogenAppliedToSoilsScope1(G28,_xlfn.XLOOKUP($E195, $D$41:$D$49,$E$41:$E$49), _xlfn.XLOOKUP($E195, $D$54:$D$62,$E$54:$E$62), G73,$F176)</f>
        <v>0.20398169656800003</v>
      </c>
      <c r="H195" s="15" cm="1">
        <f t="array" ref="H195">MMS_Poultry_ManureAppliedToSoils_Equations.VEERG_4_6_1_9__1_MassOfNitrogenAppliedToSoilsScope1(H28,_xlfn.XLOOKUP($E195, $D$41:$D$49,$E$41:$E$49), _xlfn.XLOOKUP($E195, $D$54:$D$62,$E$54:$E$62), H73,$F176)</f>
        <v>0.23944417910400001</v>
      </c>
      <c r="I195" s="15" cm="1">
        <f t="array" ref="I195">MMS_Poultry_ManureAppliedToSoils_Equations.VEERG_4_6_1_9__1_MassOfNitrogenAppliedToSoilsScope1(I28,_xlfn.XLOOKUP($E195, $D$41:$D$49,$E$41:$E$49), _xlfn.XLOOKUP($E195, $D$54:$D$62,$E$54:$E$62), I73,$F176)</f>
        <v>0.20398169656800003</v>
      </c>
      <c r="J195" s="16"/>
      <c r="N195" s="15"/>
      <c r="O195" s="15" t="str">
        <f>INDEX(X_Table_Poultry_Stage2MMS_BeltManureRemoval,3,1)</f>
        <v>Composting (passive windrow)</v>
      </c>
      <c r="P195" s="15" cm="1">
        <f t="array" ref="P195">MMS_Poultry_ManureAppliedToSoils_Equations.VEERG_4_6_1_9__1_MassOfNitrogenAppliedToSoilsScope1(P28,_xlfn.XLOOKUP($O195, $D$41:$D$49,$E$41:$E$49), _xlfn.XLOOKUP($O195, $D$54:$D$62,$E$54:$E$62), P73,$F176)</f>
        <v>0.19110407784000005</v>
      </c>
      <c r="Q195" s="15" cm="1">
        <f t="array" ref="Q195">MMS_Poultry_ManureAppliedToSoils_Equations.VEERG_4_6_1_9__1_MassOfNitrogenAppliedToSoilsScope1(Q28,_xlfn.XLOOKUP($O195, $D$41:$D$49,$E$41:$E$49), _xlfn.XLOOKUP($O195, $D$54:$D$62,$E$54:$E$62), Q73,$F176)</f>
        <v>0.20398169656800003</v>
      </c>
      <c r="R195" s="15" cm="1">
        <f t="array" ref="R195">MMS_Poultry_ManureAppliedToSoils_Equations.VEERG_4_6_1_9__1_MassOfNitrogenAppliedToSoilsScope1(R28,_xlfn.XLOOKUP($O195, $D$41:$D$49,$E$41:$E$49), _xlfn.XLOOKUP($O195, $D$54:$D$62,$E$54:$E$62), R73,$F176)</f>
        <v>0.23944417910400001</v>
      </c>
      <c r="S195" s="15" cm="1">
        <f t="array" ref="S195">MMS_Poultry_ManureAppliedToSoils_Equations.VEERG_4_6_1_9__1_MassOfNitrogenAppliedToSoilsScope1(S28,_xlfn.XLOOKUP($O195, $D$41:$D$49,$E$41:$E$49), _xlfn.XLOOKUP($O195, $D$54:$D$62,$E$54:$E$62), S73,$F176)</f>
        <v>0.20398169656800003</v>
      </c>
      <c r="T195" s="16"/>
    </row>
    <row r="196" spans="4:20" ht="20.100000000000001" customHeight="1" x14ac:dyDescent="0.2">
      <c r="D196" s="15"/>
      <c r="E196" s="15" t="str">
        <f>INDEX(X_Table_Poultry_Stage2MMS_BeltManureRemoval,4,1)</f>
        <v>Digester / covered lagoons</v>
      </c>
      <c r="F196" s="15" cm="1">
        <f t="array" ref="F196">MMS_Poultry_ManureAppliedToSoils_Equations.VEERG_4_6_1_9__1_MassOfNitrogenAppliedToSoilsScope1(F29,_xlfn.XLOOKUP($E196, $D$41:$D$49,$E$41:$E$49), _xlfn.XLOOKUP($E196, $D$54:$D$62,$E$54:$E$62), F74,$F177)</f>
        <v>0.24190389600000006</v>
      </c>
      <c r="G196" s="15" cm="1">
        <f t="array" ref="G196">MMS_Poultry_ManureAppliedToSoils_Equations.VEERG_4_6_1_9__1_MassOfNitrogenAppliedToSoilsScope1(G29,_xlfn.XLOOKUP($E196, $D$41:$D$49,$E$41:$E$49), _xlfn.XLOOKUP($E196, $D$54:$D$62,$E$54:$E$62), G74,$F177)</f>
        <v>0.25820467920000001</v>
      </c>
      <c r="H196" s="15" cm="1">
        <f t="array" ref="H196">MMS_Poultry_ManureAppliedToSoils_Equations.VEERG_4_6_1_9__1_MassOfNitrogenAppliedToSoilsScope1(H29,_xlfn.XLOOKUP($E196, $D$41:$D$49,$E$41:$E$49), _xlfn.XLOOKUP($E196, $D$54:$D$62,$E$54:$E$62), H74,$F177)</f>
        <v>0.3030938976</v>
      </c>
      <c r="I196" s="15" cm="1">
        <f t="array" ref="I196">MMS_Poultry_ManureAppliedToSoils_Equations.VEERG_4_6_1_9__1_MassOfNitrogenAppliedToSoilsScope1(I29,_xlfn.XLOOKUP($E196, $D$41:$D$49,$E$41:$E$49), _xlfn.XLOOKUP($E196, $D$54:$D$62,$E$54:$E$62), I74,$F177)</f>
        <v>0.25820467920000001</v>
      </c>
      <c r="J196" s="16"/>
      <c r="N196" s="15"/>
      <c r="O196" s="15" t="str">
        <f>INDEX(X_Table_Poultry_Stage2MMS_BeltManureRemoval,4,1)</f>
        <v>Digester / covered lagoons</v>
      </c>
      <c r="P196" s="15" cm="1">
        <f t="array" ref="P196">MMS_Poultry_ManureAppliedToSoils_Equations.VEERG_4_6_1_9__1_MassOfNitrogenAppliedToSoilsScope1(P29,_xlfn.XLOOKUP($O196, $D$41:$D$49,$E$41:$E$49), _xlfn.XLOOKUP($O196, $D$54:$D$62,$E$54:$E$62), P74,$F177)</f>
        <v>0.24190389600000006</v>
      </c>
      <c r="Q196" s="15" cm="1">
        <f t="array" ref="Q196">MMS_Poultry_ManureAppliedToSoils_Equations.VEERG_4_6_1_9__1_MassOfNitrogenAppliedToSoilsScope1(Q29,_xlfn.XLOOKUP($O196, $D$41:$D$49,$E$41:$E$49), _xlfn.XLOOKUP($O196, $D$54:$D$62,$E$54:$E$62), Q74,$F177)</f>
        <v>0.25820467920000001</v>
      </c>
      <c r="R196" s="15" cm="1">
        <f t="array" ref="R196">MMS_Poultry_ManureAppliedToSoils_Equations.VEERG_4_6_1_9__1_MassOfNitrogenAppliedToSoilsScope1(R29,_xlfn.XLOOKUP($O196, $D$41:$D$49,$E$41:$E$49), _xlfn.XLOOKUP($O196, $D$54:$D$62,$E$54:$E$62), R74,$F177)</f>
        <v>0.3030938976</v>
      </c>
      <c r="S196" s="15" cm="1">
        <f t="array" ref="S196">MMS_Poultry_ManureAppliedToSoils_Equations.VEERG_4_6_1_9__1_MassOfNitrogenAppliedToSoilsScope1(S29,_xlfn.XLOOKUP($O196, $D$41:$D$49,$E$41:$E$49), _xlfn.XLOOKUP($O196, $D$54:$D$62,$E$54:$E$62), S74,$F177)</f>
        <v>0.25820467920000001</v>
      </c>
      <c r="T196" s="16"/>
    </row>
    <row r="197" spans="4:20" ht="20.100000000000001" customHeight="1" x14ac:dyDescent="0.2">
      <c r="D197" s="15"/>
      <c r="E197" s="15" t="str">
        <f>INDEX(X_Table_Poultry_Stage2MMS_BeltManureRemoval,5,1)</f>
        <v>Direct processing</v>
      </c>
      <c r="F197" s="15" cm="1">
        <f t="array" ref="F197">MMS_Poultry_ManureAppliedToSoils_Equations.VEERG_4_6_1_9__1_MassOfNitrogenAppliedToSoilsScope1(F30,_xlfn.XLOOKUP($E197, $D$41:$D$49,$E$41:$E$49), _xlfn.XLOOKUP($E197, $D$54:$D$62,$E$54:$E$62), F75,$F178)</f>
        <v>0.24190389600000006</v>
      </c>
      <c r="G197" s="15" cm="1">
        <f t="array" ref="G197">MMS_Poultry_ManureAppliedToSoils_Equations.VEERG_4_6_1_9__1_MassOfNitrogenAppliedToSoilsScope1(G30,_xlfn.XLOOKUP($E197, $D$41:$D$49,$E$41:$E$49), _xlfn.XLOOKUP($E197, $D$54:$D$62,$E$54:$E$62), G75,$F178)</f>
        <v>0.25820467920000001</v>
      </c>
      <c r="H197" s="15" cm="1">
        <f t="array" ref="H197">MMS_Poultry_ManureAppliedToSoils_Equations.VEERG_4_6_1_9__1_MassOfNitrogenAppliedToSoilsScope1(H30,_xlfn.XLOOKUP($E197, $D$41:$D$49,$E$41:$E$49), _xlfn.XLOOKUP($E197, $D$54:$D$62,$E$54:$E$62), H75,$F178)</f>
        <v>0.3030938976</v>
      </c>
      <c r="I197" s="15" cm="1">
        <f t="array" ref="I197">MMS_Poultry_ManureAppliedToSoils_Equations.VEERG_4_6_1_9__1_MassOfNitrogenAppliedToSoilsScope1(I30,_xlfn.XLOOKUP($E197, $D$41:$D$49,$E$41:$E$49), _xlfn.XLOOKUP($E197, $D$54:$D$62,$E$54:$E$62), I75,$F178)</f>
        <v>0.25820467920000001</v>
      </c>
      <c r="J197" s="16"/>
      <c r="N197" s="15"/>
      <c r="O197" s="15" t="str">
        <f>INDEX(X_Table_Poultry_Stage2MMS_BeltManureRemoval,5,1)</f>
        <v>Direct processing</v>
      </c>
      <c r="P197" s="15" cm="1">
        <f t="array" ref="P197">MMS_Poultry_ManureAppliedToSoils_Equations.VEERG_4_6_1_9__1_MassOfNitrogenAppliedToSoilsScope1(P30,_xlfn.XLOOKUP($O197, $D$41:$D$49,$E$41:$E$49), _xlfn.XLOOKUP($O197, $D$54:$D$62,$E$54:$E$62), P75,$F178)</f>
        <v>0.24190389600000006</v>
      </c>
      <c r="Q197" s="15" cm="1">
        <f t="array" ref="Q197">MMS_Poultry_ManureAppliedToSoils_Equations.VEERG_4_6_1_9__1_MassOfNitrogenAppliedToSoilsScope1(Q30,_xlfn.XLOOKUP($O197, $D$41:$D$49,$E$41:$E$49), _xlfn.XLOOKUP($O197, $D$54:$D$62,$E$54:$E$62), Q75,$F178)</f>
        <v>0.25820467920000001</v>
      </c>
      <c r="R197" s="15" cm="1">
        <f t="array" ref="R197">MMS_Poultry_ManureAppliedToSoils_Equations.VEERG_4_6_1_9__1_MassOfNitrogenAppliedToSoilsScope1(R30,_xlfn.XLOOKUP($O197, $D$41:$D$49,$E$41:$E$49), _xlfn.XLOOKUP($O197, $D$54:$D$62,$E$54:$E$62), R75,$F178)</f>
        <v>0.3030938976</v>
      </c>
      <c r="S197" s="15" cm="1">
        <f t="array" ref="S197">MMS_Poultry_ManureAppliedToSoils_Equations.VEERG_4_6_1_9__1_MassOfNitrogenAppliedToSoilsScope1(S30,_xlfn.XLOOKUP($O197, $D$41:$D$49,$E$41:$E$49), _xlfn.XLOOKUP($O197, $D$54:$D$62,$E$54:$E$62), S75,$F178)</f>
        <v>0.25820467920000001</v>
      </c>
      <c r="T197" s="16"/>
    </row>
    <row r="198" spans="4:20" ht="20.100000000000001" customHeight="1" x14ac:dyDescent="0.2">
      <c r="D198" s="15"/>
      <c r="E198" s="15" t="str">
        <f>INDEX(X_Table_Poultry_Stage2MMS_BeltManureRemoval,6,1)</f>
        <v>Direct application</v>
      </c>
      <c r="F198" s="15" cm="1">
        <f t="array" ref="F198">MMS_Poultry_ManureAppliedToSoils_Equations.VEERG_4_6_1_9__1_MassOfNitrogenAppliedToSoilsScope1(F31,_xlfn.XLOOKUP($E198, $D$41:$D$49,$E$41:$E$49), _xlfn.XLOOKUP($E198, $D$54:$D$62,$E$54:$E$62), F76,$F179)</f>
        <v>0</v>
      </c>
      <c r="G198" s="15" cm="1">
        <f t="array" ref="G198">MMS_Poultry_ManureAppliedToSoils_Equations.VEERG_4_6_1_9__1_MassOfNitrogenAppliedToSoilsScope1(G31,_xlfn.XLOOKUP($E198, $D$41:$D$49,$E$41:$E$49), _xlfn.XLOOKUP($E198, $D$54:$D$62,$E$54:$E$62), G76,$F179)</f>
        <v>0</v>
      </c>
      <c r="H198" s="15" cm="1">
        <f t="array" ref="H198">MMS_Poultry_ManureAppliedToSoils_Equations.VEERG_4_6_1_9__1_MassOfNitrogenAppliedToSoilsScope1(H31,_xlfn.XLOOKUP($E198, $D$41:$D$49,$E$41:$E$49), _xlfn.XLOOKUP($E198, $D$54:$D$62,$E$54:$E$62), H76,$F179)</f>
        <v>0</v>
      </c>
      <c r="I198" s="15" cm="1">
        <f t="array" ref="I198">MMS_Poultry_ManureAppliedToSoils_Equations.VEERG_4_6_1_9__1_MassOfNitrogenAppliedToSoilsScope1(I31,_xlfn.XLOOKUP($E198, $D$41:$D$49,$E$41:$E$49), _xlfn.XLOOKUP($E198, $D$54:$D$62,$E$54:$E$62), I76,$F179)</f>
        <v>0</v>
      </c>
      <c r="N198" s="15"/>
      <c r="O198" s="15" t="str">
        <f>INDEX(X_Table_Poultry_Stage2MMS_BeltManureRemoval,6,1)</f>
        <v>Direct application</v>
      </c>
      <c r="P198" s="15" cm="1">
        <f t="array" ref="P198">MMS_Poultry_ManureAppliedToSoils_Equations.VEERG_4_6_1_9__1_MassOfNitrogenAppliedToSoilsScope1(P31,_xlfn.XLOOKUP($O198, $D$41:$D$49,$E$41:$E$49), _xlfn.XLOOKUP($O198, $D$54:$D$62,$E$54:$E$62), P76,$F179)</f>
        <v>0</v>
      </c>
      <c r="Q198" s="15" cm="1">
        <f t="array" ref="Q198">MMS_Poultry_ManureAppliedToSoils_Equations.VEERG_4_6_1_9__1_MassOfNitrogenAppliedToSoilsScope1(Q31,_xlfn.XLOOKUP($O198, $D$41:$D$49,$E$41:$E$49), _xlfn.XLOOKUP($O198, $D$54:$D$62,$E$54:$E$62), Q76,$F179)</f>
        <v>0</v>
      </c>
      <c r="R198" s="15" cm="1">
        <f t="array" ref="R198">MMS_Poultry_ManureAppliedToSoils_Equations.VEERG_4_6_1_9__1_MassOfNitrogenAppliedToSoilsScope1(R31,_xlfn.XLOOKUP($O198, $D$41:$D$49,$E$41:$E$49), _xlfn.XLOOKUP($O198, $D$54:$D$62,$E$54:$E$62), R76,$F179)</f>
        <v>0</v>
      </c>
      <c r="S198" s="15" cm="1">
        <f t="array" ref="S198">MMS_Poultry_ManureAppliedToSoils_Equations.VEERG_4_6_1_9__1_MassOfNitrogenAppliedToSoilsScope1(S31,_xlfn.XLOOKUP($O198, $D$41:$D$49,$E$41:$E$49), _xlfn.XLOOKUP($O198, $D$54:$D$62,$E$54:$E$62), S76,$F179)</f>
        <v>0</v>
      </c>
    </row>
    <row r="199" spans="4:20" ht="20.100000000000001" customHeight="1" x14ac:dyDescent="0.2">
      <c r="D199" s="15" t="str">
        <f>INDEX(X_Table_Poultry_Stage1MMS,4,1)</f>
        <v>Manure stored in house</v>
      </c>
      <c r="E199" s="15" t="str">
        <f>INDEX(X_Table_Poultry_Stage2MMS_ManureStoredInHouse,2,1)</f>
        <v>Solid storage</v>
      </c>
      <c r="F199" s="15" cm="1">
        <f t="array" ref="F199">MMS_Poultry_ManureAppliedToSoils_Equations.VEERG_4_6_1_9__1_MassOfNitrogenAppliedToSoilsScope1(F32,_xlfn.XLOOKUP($E199, $D$41:$D$49,$E$41:$E$49), _xlfn.XLOOKUP($E199, $D$54:$D$62,$E$54:$E$62), F77,$F180)</f>
        <v>0.11833280940000002</v>
      </c>
      <c r="G199" s="15" cm="1">
        <f t="array" ref="G199">MMS_Poultry_ManureAppliedToSoils_Equations.VEERG_4_6_1_9__1_MassOfNitrogenAppliedToSoilsScope1(G32,_xlfn.XLOOKUP($E199, $D$41:$D$49,$E$41:$E$49), _xlfn.XLOOKUP($E199, $D$54:$D$62,$E$54:$E$62), G77,$F180)</f>
        <v>0.12630670937999997</v>
      </c>
      <c r="H199" s="15" cm="1">
        <f t="array" ref="H199">MMS_Poultry_ManureAppliedToSoils_Equations.VEERG_4_6_1_9__1_MassOfNitrogenAppliedToSoilsScope1(H32,_xlfn.XLOOKUP($E199, $D$41:$D$49,$E$41:$E$49), _xlfn.XLOOKUP($E199, $D$54:$D$62,$E$54:$E$62), H77,$F180)</f>
        <v>0.14826529463999996</v>
      </c>
      <c r="I199" s="15" cm="1">
        <f t="array" ref="I199">MMS_Poultry_ManureAppliedToSoils_Equations.VEERG_4_6_1_9__1_MassOfNitrogenAppliedToSoilsScope1(I32,_xlfn.XLOOKUP($E199, $D$41:$D$49,$E$41:$E$49), _xlfn.XLOOKUP($E199, $D$54:$D$62,$E$54:$E$62), I77,$F180)</f>
        <v>0.12630670937999997</v>
      </c>
      <c r="J199" s="16"/>
      <c r="N199" s="15" t="str">
        <f>INDEX(X_Table_Poultry_Stage1MMS,4,1)</f>
        <v>Manure stored in house</v>
      </c>
      <c r="O199" s="15" t="str">
        <f>INDEX(X_Table_Poultry_Stage2MMS_ManureStoredInHouse,2,1)</f>
        <v>Solid storage</v>
      </c>
      <c r="P199" s="15" cm="1">
        <f t="array" ref="P199">MMS_Poultry_ManureAppliedToSoils_Equations.VEERG_4_6_1_9__1_MassOfNitrogenAppliedToSoilsScope1(P32,_xlfn.XLOOKUP($O199, $D$41:$D$49,$E$41:$E$49), _xlfn.XLOOKUP($O199, $D$54:$D$62,$E$54:$E$62), P77,$F180)</f>
        <v>0.11833280940000002</v>
      </c>
      <c r="Q199" s="15" cm="1">
        <f t="array" ref="Q199">MMS_Poultry_ManureAppliedToSoils_Equations.VEERG_4_6_1_9__1_MassOfNitrogenAppliedToSoilsScope1(Q32,_xlfn.XLOOKUP($O199, $D$41:$D$49,$E$41:$E$49), _xlfn.XLOOKUP($O199, $D$54:$D$62,$E$54:$E$62), Q77,$F180)</f>
        <v>0.12630670937999997</v>
      </c>
      <c r="R199" s="15" cm="1">
        <f t="array" ref="R199">MMS_Poultry_ManureAppliedToSoils_Equations.VEERG_4_6_1_9__1_MassOfNitrogenAppliedToSoilsScope1(R32,_xlfn.XLOOKUP($O199, $D$41:$D$49,$E$41:$E$49), _xlfn.XLOOKUP($O199, $D$54:$D$62,$E$54:$E$62), R77,$F180)</f>
        <v>0.14826529463999996</v>
      </c>
      <c r="S199" s="15" cm="1">
        <f t="array" ref="S199">MMS_Poultry_ManureAppliedToSoils_Equations.VEERG_4_6_1_9__1_MassOfNitrogenAppliedToSoilsScope1(S32,_xlfn.XLOOKUP($O199, $D$41:$D$49,$E$41:$E$49), _xlfn.XLOOKUP($O199, $D$54:$D$62,$E$54:$E$62), S77,$F180)</f>
        <v>0.12630670937999997</v>
      </c>
      <c r="T199" s="16"/>
    </row>
    <row r="200" spans="4:20" ht="20.100000000000001" customHeight="1" x14ac:dyDescent="0.2">
      <c r="D200" s="15"/>
      <c r="E200" s="15" t="str">
        <f>INDEX(X_Table_Poultry_Stage2MMS_ManureStoredInHouse,3,1)</f>
        <v>Composting (passive windrow)</v>
      </c>
      <c r="F200" s="15" cm="1">
        <f t="array" ref="F200">MMS_Poultry_ManureAppliedToSoils_Equations.VEERG_4_6_1_9__1_MassOfNitrogenAppliedToSoilsScope1(F33,_xlfn.XLOOKUP($E200, $D$41:$D$49,$E$41:$E$49), _xlfn.XLOOKUP($E200, $D$54:$D$62,$E$54:$E$62), F78,$F181)</f>
        <v>0.12062312184000003</v>
      </c>
      <c r="G200" s="15" cm="1">
        <f t="array" ref="G200">MMS_Poultry_ManureAppliedToSoils_Equations.VEERG_4_6_1_9__1_MassOfNitrogenAppliedToSoilsScope1(G33,_xlfn.XLOOKUP($E200, $D$41:$D$49,$E$41:$E$49), _xlfn.XLOOKUP($E200, $D$54:$D$62,$E$54:$E$62), G78,$F181)</f>
        <v>0.128751355368</v>
      </c>
      <c r="H200" s="15" cm="1">
        <f t="array" ref="H200">MMS_Poultry_ManureAppliedToSoils_Equations.VEERG_4_6_1_9__1_MassOfNitrogenAppliedToSoilsScope1(H33,_xlfn.XLOOKUP($E200, $D$41:$D$49,$E$41:$E$49), _xlfn.XLOOKUP($E200, $D$54:$D$62,$E$54:$E$62), H78,$F181)</f>
        <v>0.15113494550399997</v>
      </c>
      <c r="I200" s="15" cm="1">
        <f t="array" ref="I200">MMS_Poultry_ManureAppliedToSoils_Equations.VEERG_4_6_1_9__1_MassOfNitrogenAppliedToSoilsScope1(I33,_xlfn.XLOOKUP($E200, $D$41:$D$49,$E$41:$E$49), _xlfn.XLOOKUP($E200, $D$54:$D$62,$E$54:$E$62), I78,$F181)</f>
        <v>0.128751355368</v>
      </c>
      <c r="J200" s="16"/>
      <c r="N200" s="15"/>
      <c r="O200" s="15" t="str">
        <f>INDEX(X_Table_Poultry_Stage2MMS_ManureStoredInHouse,3,1)</f>
        <v>Composting (passive windrow)</v>
      </c>
      <c r="P200" s="15" cm="1">
        <f t="array" ref="P200">MMS_Poultry_ManureAppliedToSoils_Equations.VEERG_4_6_1_9__1_MassOfNitrogenAppliedToSoilsScope1(P33,_xlfn.XLOOKUP($O200, $D$41:$D$49,$E$41:$E$49), _xlfn.XLOOKUP($O200, $D$54:$D$62,$E$54:$E$62), P78,$F181)</f>
        <v>0.12062312184000003</v>
      </c>
      <c r="Q200" s="15" cm="1">
        <f t="array" ref="Q200">MMS_Poultry_ManureAppliedToSoils_Equations.VEERG_4_6_1_9__1_MassOfNitrogenAppliedToSoilsScope1(Q33,_xlfn.XLOOKUP($O200, $D$41:$D$49,$E$41:$E$49), _xlfn.XLOOKUP($O200, $D$54:$D$62,$E$54:$E$62), Q78,$F181)</f>
        <v>0.128751355368</v>
      </c>
      <c r="R200" s="15" cm="1">
        <f t="array" ref="R200">MMS_Poultry_ManureAppliedToSoils_Equations.VEERG_4_6_1_9__1_MassOfNitrogenAppliedToSoilsScope1(R33,_xlfn.XLOOKUP($O200, $D$41:$D$49,$E$41:$E$49), _xlfn.XLOOKUP($O200, $D$54:$D$62,$E$54:$E$62), R78,$F181)</f>
        <v>0.15113494550399997</v>
      </c>
      <c r="S200" s="15" cm="1">
        <f t="array" ref="S200">MMS_Poultry_ManureAppliedToSoils_Equations.VEERG_4_6_1_9__1_MassOfNitrogenAppliedToSoilsScope1(S33,_xlfn.XLOOKUP($O200, $D$41:$D$49,$E$41:$E$49), _xlfn.XLOOKUP($O200, $D$54:$D$62,$E$54:$E$62), S78,$F181)</f>
        <v>0.128751355368</v>
      </c>
      <c r="T200" s="16"/>
    </row>
    <row r="201" spans="4:20" ht="20.100000000000001" customHeight="1" x14ac:dyDescent="0.2">
      <c r="D201" s="15"/>
      <c r="E201" s="15" t="str">
        <f>INDEX(X_Table_Poultry_Stage2MMS_ManureStoredInHouse,4,1)</f>
        <v>Digester / covered lagoons</v>
      </c>
      <c r="F201" s="15" cm="1">
        <f t="array" ref="F201">MMS_Poultry_ManureAppliedToSoils_Equations.VEERG_4_6_1_9__1_MassOfNitrogenAppliedToSoilsScope1(F34,_xlfn.XLOOKUP($E201, $D$41:$D$49,$E$41:$E$49), _xlfn.XLOOKUP($E201, $D$54:$D$62,$E$54:$E$62), F79,$F182)</f>
        <v>0.15268749600000003</v>
      </c>
      <c r="G201" s="15" cm="1">
        <f t="array" ref="G201">MMS_Poultry_ManureAppliedToSoils_Equations.VEERG_4_6_1_9__1_MassOfNitrogenAppliedToSoilsScope1(G34,_xlfn.XLOOKUP($E201, $D$41:$D$49,$E$41:$E$49), _xlfn.XLOOKUP($E201, $D$54:$D$62,$E$54:$E$62), G79,$F182)</f>
        <v>0.16297639919999998</v>
      </c>
      <c r="H201" s="15" cm="1">
        <f t="array" ref="H201">MMS_Poultry_ManureAppliedToSoils_Equations.VEERG_4_6_1_9__1_MassOfNitrogenAppliedToSoilsScope1(H34,_xlfn.XLOOKUP($E201, $D$41:$D$49,$E$41:$E$49), _xlfn.XLOOKUP($E201, $D$54:$D$62,$E$54:$E$62), H79,$F182)</f>
        <v>0.19131005759999997</v>
      </c>
      <c r="I201" s="15" cm="1">
        <f t="array" ref="I201">MMS_Poultry_ManureAppliedToSoils_Equations.VEERG_4_6_1_9__1_MassOfNitrogenAppliedToSoilsScope1(I34,_xlfn.XLOOKUP($E201, $D$41:$D$49,$E$41:$E$49), _xlfn.XLOOKUP($E201, $D$54:$D$62,$E$54:$E$62), I79,$F182)</f>
        <v>0.16297639919999998</v>
      </c>
      <c r="J201" s="16"/>
      <c r="N201" s="15"/>
      <c r="O201" s="15" t="str">
        <f>INDEX(X_Table_Poultry_Stage2MMS_ManureStoredInHouse,4,1)</f>
        <v>Digester / covered lagoons</v>
      </c>
      <c r="P201" s="15" cm="1">
        <f t="array" ref="P201">MMS_Poultry_ManureAppliedToSoils_Equations.VEERG_4_6_1_9__1_MassOfNitrogenAppliedToSoilsScope1(P34,_xlfn.XLOOKUP($O201, $D$41:$D$49,$E$41:$E$49), _xlfn.XLOOKUP($O201, $D$54:$D$62,$E$54:$E$62), P79,$F182)</f>
        <v>0.15268749600000003</v>
      </c>
      <c r="Q201" s="15" cm="1">
        <f t="array" ref="Q201">MMS_Poultry_ManureAppliedToSoils_Equations.VEERG_4_6_1_9__1_MassOfNitrogenAppliedToSoilsScope1(Q34,_xlfn.XLOOKUP($O201, $D$41:$D$49,$E$41:$E$49), _xlfn.XLOOKUP($O201, $D$54:$D$62,$E$54:$E$62), Q79,$F182)</f>
        <v>0.16297639919999998</v>
      </c>
      <c r="R201" s="15" cm="1">
        <f t="array" ref="R201">MMS_Poultry_ManureAppliedToSoils_Equations.VEERG_4_6_1_9__1_MassOfNitrogenAppliedToSoilsScope1(R34,_xlfn.XLOOKUP($O201, $D$41:$D$49,$E$41:$E$49), _xlfn.XLOOKUP($O201, $D$54:$D$62,$E$54:$E$62), R79,$F182)</f>
        <v>0.19131005759999997</v>
      </c>
      <c r="S201" s="15" cm="1">
        <f t="array" ref="S201">MMS_Poultry_ManureAppliedToSoils_Equations.VEERG_4_6_1_9__1_MassOfNitrogenAppliedToSoilsScope1(S34,_xlfn.XLOOKUP($O201, $D$41:$D$49,$E$41:$E$49), _xlfn.XLOOKUP($O201, $D$54:$D$62,$E$54:$E$62), S79,$F182)</f>
        <v>0.16297639919999998</v>
      </c>
      <c r="T201" s="16"/>
    </row>
    <row r="202" spans="4:20" ht="20.100000000000001" customHeight="1" x14ac:dyDescent="0.2">
      <c r="D202" s="15"/>
      <c r="E202" s="15" t="str">
        <f>INDEX(X_Table_Poultry_Stage2MMS_ManureStoredInHouse,5,1)</f>
        <v>Direct processing</v>
      </c>
      <c r="F202" s="15" cm="1">
        <f t="array" ref="F202">MMS_Poultry_ManureAppliedToSoils_Equations.VEERG_4_6_1_9__1_MassOfNitrogenAppliedToSoilsScope1(F35,_xlfn.XLOOKUP($E202, $D$41:$D$49,$E$41:$E$49), _xlfn.XLOOKUP($E202, $D$54:$D$62,$E$54:$E$62), F80,$F183)</f>
        <v>0.15268749600000003</v>
      </c>
      <c r="G202" s="15" cm="1">
        <f t="array" ref="G202">MMS_Poultry_ManureAppliedToSoils_Equations.VEERG_4_6_1_9__1_MassOfNitrogenAppliedToSoilsScope1(G35,_xlfn.XLOOKUP($E202, $D$41:$D$49,$E$41:$E$49), _xlfn.XLOOKUP($E202, $D$54:$D$62,$E$54:$E$62), G80,$F183)</f>
        <v>0.16297639919999998</v>
      </c>
      <c r="H202" s="15" cm="1">
        <f t="array" ref="H202">MMS_Poultry_ManureAppliedToSoils_Equations.VEERG_4_6_1_9__1_MassOfNitrogenAppliedToSoilsScope1(H35,_xlfn.XLOOKUP($E202, $D$41:$D$49,$E$41:$E$49), _xlfn.XLOOKUP($E202, $D$54:$D$62,$E$54:$E$62), H80,$F183)</f>
        <v>0.19131005759999997</v>
      </c>
      <c r="I202" s="15" cm="1">
        <f t="array" ref="I202">MMS_Poultry_ManureAppliedToSoils_Equations.VEERG_4_6_1_9__1_MassOfNitrogenAppliedToSoilsScope1(I35,_xlfn.XLOOKUP($E202, $D$41:$D$49,$E$41:$E$49), _xlfn.XLOOKUP($E202, $D$54:$D$62,$E$54:$E$62), I80,$F183)</f>
        <v>0.16297639919999998</v>
      </c>
      <c r="J202" s="16"/>
      <c r="N202" s="15"/>
      <c r="O202" s="15" t="str">
        <f>INDEX(X_Table_Poultry_Stage2MMS_ManureStoredInHouse,5,1)</f>
        <v>Direct processing</v>
      </c>
      <c r="P202" s="15" cm="1">
        <f t="array" ref="P202">MMS_Poultry_ManureAppliedToSoils_Equations.VEERG_4_6_1_9__1_MassOfNitrogenAppliedToSoilsScope1(P35,_xlfn.XLOOKUP($O202, $D$41:$D$49,$E$41:$E$49), _xlfn.XLOOKUP($O202, $D$54:$D$62,$E$54:$E$62), P80,$F183)</f>
        <v>0.15268749600000003</v>
      </c>
      <c r="Q202" s="15" cm="1">
        <f t="array" ref="Q202">MMS_Poultry_ManureAppliedToSoils_Equations.VEERG_4_6_1_9__1_MassOfNitrogenAppliedToSoilsScope1(Q35,_xlfn.XLOOKUP($O202, $D$41:$D$49,$E$41:$E$49), _xlfn.XLOOKUP($O202, $D$54:$D$62,$E$54:$E$62), Q80,$F183)</f>
        <v>0.16297639919999998</v>
      </c>
      <c r="R202" s="15" cm="1">
        <f t="array" ref="R202">MMS_Poultry_ManureAppliedToSoils_Equations.VEERG_4_6_1_9__1_MassOfNitrogenAppliedToSoilsScope1(R35,_xlfn.XLOOKUP($O202, $D$41:$D$49,$E$41:$E$49), _xlfn.XLOOKUP($O202, $D$54:$D$62,$E$54:$E$62), R80,$F183)</f>
        <v>0.19131005759999997</v>
      </c>
      <c r="S202" s="15" cm="1">
        <f t="array" ref="S202">MMS_Poultry_ManureAppliedToSoils_Equations.VEERG_4_6_1_9__1_MassOfNitrogenAppliedToSoilsScope1(S35,_xlfn.XLOOKUP($O202, $D$41:$D$49,$E$41:$E$49), _xlfn.XLOOKUP($O202, $D$54:$D$62,$E$54:$E$62), S80,$F183)</f>
        <v>0.16297639919999998</v>
      </c>
      <c r="T202" s="16"/>
    </row>
    <row r="203" spans="4:20" ht="20.100000000000001" customHeight="1" x14ac:dyDescent="0.2">
      <c r="D203" s="15"/>
      <c r="E203" s="15" t="str">
        <f>INDEX(X_Table_Poultry_Stage2MMS_ManureStoredInHouse,6,1)</f>
        <v>Direct application</v>
      </c>
      <c r="F203" s="15" cm="1">
        <f t="array" ref="F203">MMS_Poultry_ManureAppliedToSoils_Equations.VEERG_4_6_1_9__1_MassOfNitrogenAppliedToSoilsScope1(F36,_xlfn.XLOOKUP($E203, $D$41:$D$49,$E$41:$E$49), _xlfn.XLOOKUP($E203, $D$54:$D$62,$E$54:$E$62), F81,$F184)</f>
        <v>0</v>
      </c>
      <c r="G203" s="15" cm="1">
        <f t="array" ref="G203">MMS_Poultry_ManureAppliedToSoils_Equations.VEERG_4_6_1_9__1_MassOfNitrogenAppliedToSoilsScope1(G36,_xlfn.XLOOKUP($E203, $D$41:$D$49,$E$41:$E$49), _xlfn.XLOOKUP($E203, $D$54:$D$62,$E$54:$E$62), G81,$F184)</f>
        <v>0</v>
      </c>
      <c r="H203" s="15" cm="1">
        <f t="array" ref="H203">MMS_Poultry_ManureAppliedToSoils_Equations.VEERG_4_6_1_9__1_MassOfNitrogenAppliedToSoilsScope1(H36,_xlfn.XLOOKUP($E203, $D$41:$D$49,$E$41:$E$49), _xlfn.XLOOKUP($E203, $D$54:$D$62,$E$54:$E$62), H81,$F184)</f>
        <v>0</v>
      </c>
      <c r="I203" s="15" cm="1">
        <f t="array" ref="I203">MMS_Poultry_ManureAppliedToSoils_Equations.VEERG_4_6_1_9__1_MassOfNitrogenAppliedToSoilsScope1(I36,_xlfn.XLOOKUP($E203, $D$41:$D$49,$E$41:$E$49), _xlfn.XLOOKUP($E203, $D$54:$D$62,$E$54:$E$62), I81,$F184)</f>
        <v>0</v>
      </c>
      <c r="N203" s="15"/>
      <c r="O203" s="15" t="str">
        <f>INDEX(X_Table_Poultry_Stage2MMS_ManureStoredInHouse,6,1)</f>
        <v>Direct application</v>
      </c>
      <c r="P203" s="15" cm="1">
        <f t="array" ref="P203">MMS_Poultry_ManureAppliedToSoils_Equations.VEERG_4_6_1_9__1_MassOfNitrogenAppliedToSoilsScope1(P36,_xlfn.XLOOKUP($O203, $D$41:$D$49,$E$41:$E$49), _xlfn.XLOOKUP($O203, $D$54:$D$62,$E$54:$E$62), P81,$F184)</f>
        <v>0</v>
      </c>
      <c r="Q203" s="15" cm="1">
        <f t="array" ref="Q203">MMS_Poultry_ManureAppliedToSoils_Equations.VEERG_4_6_1_9__1_MassOfNitrogenAppliedToSoilsScope1(Q36,_xlfn.XLOOKUP($O203, $D$41:$D$49,$E$41:$E$49), _xlfn.XLOOKUP($O203, $D$54:$D$62,$E$54:$E$62), Q81,$F184)</f>
        <v>0</v>
      </c>
      <c r="R203" s="15" cm="1">
        <f t="array" ref="R203">MMS_Poultry_ManureAppliedToSoils_Equations.VEERG_4_6_1_9__1_MassOfNitrogenAppliedToSoilsScope1(R36,_xlfn.XLOOKUP($O203, $D$41:$D$49,$E$41:$E$49), _xlfn.XLOOKUP($O203, $D$54:$D$62,$E$54:$E$62), R81,$F184)</f>
        <v>0</v>
      </c>
      <c r="S203" s="15" cm="1">
        <f t="array" ref="S203">MMS_Poultry_ManureAppliedToSoils_Equations.VEERG_4_6_1_9__1_MassOfNitrogenAppliedToSoilsScope1(S36,_xlfn.XLOOKUP($O203, $D$41:$D$49,$E$41:$E$49), _xlfn.XLOOKUP($O203, $D$54:$D$62,$E$54:$E$62), S81,$F184)</f>
        <v>0</v>
      </c>
    </row>
    <row r="205" spans="4:20" ht="20.100000000000001" customHeight="1" x14ac:dyDescent="0.2">
      <c r="D205" s="85" t="s">
        <v>474</v>
      </c>
      <c r="E205" s="86">
        <f>SUM(F189:I203)</f>
        <v>8.9593892186400037</v>
      </c>
      <c r="F205" s="95" t="str">
        <f>$E$11</f>
        <v>kg N</v>
      </c>
      <c r="N205" s="85" t="s">
        <v>474</v>
      </c>
      <c r="O205" s="86">
        <f>SUM(P189:S203)</f>
        <v>8.9593892186400037</v>
      </c>
      <c r="P205" s="95" t="str">
        <f>$E$11</f>
        <v>kg N</v>
      </c>
    </row>
  </sheetData>
  <dataValidations count="1">
    <dataValidation operator="equal" allowBlank="1" showInputMessage="1" showErrorMessage="1" sqref="F20:I20 I19:J19 P20:S20 S19:T19 F65:I65 I64:J64 P65:S65 S64:T64 F84:I84 I83:J83 F103:I103 I102:J102 P103:S103 S102:T102 F140:I140 I139:J139 P140:S140 S139:T139 F187:I187 I186:J186 P187:S187 S186:T186" xr:uid="{A78994F4-882C-4AC5-824D-F277327E8CFA}"/>
  </dataValidations>
  <pageMargins left="0.7" right="0.7" top="0.75" bottom="0.75" header="0.3" footer="0.3"/>
  <pageSetup paperSize="9"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C31902-B72D-44EA-A588-2F83E3E26174}">
  <sheetPr>
    <tabColor rgb="FF008000"/>
  </sheetPr>
  <dimension ref="A1:T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289</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MMS_Poultry_Soil_N2ODirect_Equations.VEERG_4_6_1_10__1_DirectNitrousOxideEmissionsFromPoultryManure_Title()</f>
        <v>Direct nitrous oxide emissions from poultry manure on pasture</v>
      </c>
    </row>
    <row r="6" spans="1:20" ht="20.100000000000001" customHeight="1" x14ac:dyDescent="0.2">
      <c r="D6" s="17" t="str" cm="1">
        <f t="array" ref="D6">MMS_Poultry_Soil_N2ODirect_Equations.VEERG_4_6_1_10__1_DirectNitrousOxideEmissionsFromPoultryManure_Source()</f>
        <v>VEERG 2026: 4.6.1.10, Equation (1)</v>
      </c>
    </row>
    <row r="7" spans="1:20" ht="20.100000000000001" customHeight="1" x14ac:dyDescent="0.2">
      <c r="D7" s="112" t="s">
        <v>328</v>
      </c>
      <c r="E7" s="112" t="str" cm="1">
        <f t="array" aca="1" ref="E7" ca="1">Common_InputFunctions.Utility_DisplayFunctionName(E25)</f>
        <v>=MMS_Poultry_Soil_N2ODirect_Equations.VEERG_4_6_1_10__1_DirectNitrousOxideEmissionsFromPoultryManure</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329</v>
      </c>
      <c r="E10" s="1" t="str" cm="1">
        <f t="array" ref="E10">MMS_Poultry_Soil_N2ODirect_Equations.VEERG_4_6_1_10__1_DirectNitrousOxideEmissionsFromPoultryManure_Variable()</f>
        <v>EM_N2OPRPdir</v>
      </c>
    </row>
    <row r="11" spans="1:20" ht="20.100000000000001" customHeight="1" x14ac:dyDescent="0.2">
      <c r="A11" s="5" t="str">
        <f>HYPERLINK("#'Input - Poultry'!A1", "Poultry")</f>
        <v>Poultry</v>
      </c>
      <c r="D11" s="75" t="s">
        <v>118</v>
      </c>
      <c r="E11" s="9" t="str" cm="1">
        <f t="array" ref="E11">MMS_Poultry_Soil_N2ODirect_Equations.VEERG_4_6_1_10__1_DirectNitrousOxideEmissionsFromPoultryManure_Unit()</f>
        <v>t N2O</v>
      </c>
    </row>
    <row r="12" spans="1:20" ht="20.100000000000001" customHeight="1" x14ac:dyDescent="0.2">
      <c r="A12" s="5" t="str">
        <f>HYPERLINK("#'Input - Livestock sales'!A1", "Livestock sales")</f>
        <v>Livestock sales</v>
      </c>
    </row>
    <row r="13" spans="1:20" ht="20.100000000000001" customHeight="1" x14ac:dyDescent="0.2">
      <c r="A13" s="5" t="str">
        <f>HYPERLINK("#'Input - Poultry purchases'!A1", "Poultry purchases")</f>
        <v>Poultry purchases</v>
      </c>
      <c r="D13" s="113" t="str" cm="1">
        <f t="array" ref="D13:E15">_xlfn.CHOOSECOLS(MMS_Poultry_Soil_N2ODirect_Equations.VEERG_4_6_1_10__1_DirectNitrousOxideEmissionsFromPoultryManure_Arguments(),1,2)</f>
        <v>MN_jkm14T1</v>
      </c>
      <c r="E13" s="113" t="str">
        <v>mass of nitrogen excreted directly on pasture by poultry class and subclass</v>
      </c>
      <c r="F13" s="113"/>
      <c r="G13" s="113" t="str" cm="1">
        <f t="array" ref="G13:H15">_xlfn.CHOOSECOLS(MMS_Poultry_Soil_N2ODirect_Equations.VEERG_4_6_1_10__1_DirectNitrousOxideEmissionsFromPoultryManure_Arguments(),3,4)</f>
        <v>kg N</v>
      </c>
      <c r="H13" s="115" t="str">
        <v>Calculated from 4.6.1.3 (2)</v>
      </c>
      <c r="I13" s="116" t="str" cm="1">
        <f t="array" aca="1" ref="I13" ca="1">HYPERLINK(Common_InputFunctions.Utility_SourceHyperlink($D$17),$D$17)</f>
        <v>M1_Table_MN_j_k_m-14_T-1</v>
      </c>
    </row>
    <row r="14" spans="1:20" ht="20.100000000000001" customHeight="1" x14ac:dyDescent="0.2">
      <c r="A14" s="5" t="str">
        <f>HYPERLINK("#'Input - Fuel'!A1", "Fuel")</f>
        <v>Fuel</v>
      </c>
      <c r="D14" s="113" t="str">
        <v>EF_PRP</v>
      </c>
      <c r="E14" s="113" t="str">
        <v>nitrous oxide emission factor for manure deposited on pasture</v>
      </c>
      <c r="F14" s="113"/>
      <c r="G14" s="113" t="str">
        <v>kg N2O-N/kg N deposited</v>
      </c>
      <c r="H14" s="115" t="str">
        <v>Constant</v>
      </c>
      <c r="I14" s="113">
        <f>_xlfn.XLOOKUP(D20,Table_SourceData_Poultry_EFmT[NIR reference],Table_SourceData_Poultry_EFmT[EFmT])</f>
        <v>0.02</v>
      </c>
    </row>
    <row r="15" spans="1:20" ht="20.100000000000001" customHeight="1" x14ac:dyDescent="0.2">
      <c r="A15" s="5" t="str">
        <f>HYPERLINK("#'Input - Electricity'!A1", "Electricity")</f>
        <v>Electricity</v>
      </c>
      <c r="D15" s="113" t="str">
        <v>C_N2O</v>
      </c>
      <c r="E15" s="113" t="str">
        <v>factor to convert elemental mass of N2O to molecular mass</v>
      </c>
      <c r="F15" s="113"/>
      <c r="G15" s="113" t="str">
        <v>ratio</v>
      </c>
      <c r="H15" s="115" t="str">
        <v>Constant</v>
      </c>
      <c r="I15" s="113">
        <f>Common_InputFunctions.Utility_LookupValueInTableNumber("N2O",Table_GasToMolecularConversionFactor[Gas],Table_GasToMolecularConversionFactor[Conversion factor combined])</f>
        <v>1.5714285714285714</v>
      </c>
    </row>
    <row r="16" spans="1:20" ht="20.100000000000001" customHeight="1" x14ac:dyDescent="0.2">
      <c r="A16" s="5" t="str">
        <f>HYPERLINK("#'Input - Common farm inputs'!A1", "Common farm inputs")</f>
        <v>Common farm inputs</v>
      </c>
    </row>
    <row r="17" spans="1:19" ht="20.100000000000001" customHeight="1" x14ac:dyDescent="0.2">
      <c r="A17" s="5" t="str">
        <f>HYPERLINK("#'Input - Livestock farm Inputs'!A1", "Livestock farm Inputs")</f>
        <v>Livestock farm Inputs</v>
      </c>
      <c r="D17" s="118" t="s">
        <v>475</v>
      </c>
      <c r="N17" s="118" t="s">
        <v>476</v>
      </c>
    </row>
    <row r="18" spans="1:19" ht="20.100000000000001" customHeight="1" x14ac:dyDescent="0.2">
      <c r="A18" s="5" t="str">
        <f>HYPERLINK("#'Input - Freight'!A1", "Freight")</f>
        <v>Freight</v>
      </c>
      <c r="D18" s="119" t="s">
        <v>477</v>
      </c>
      <c r="N18" s="119" t="s">
        <v>478</v>
      </c>
    </row>
    <row r="19" spans="1:19" ht="20.100000000000001" customHeight="1" x14ac:dyDescent="0.2">
      <c r="A19" s="5" t="str">
        <f>HYPERLINK("#'Input - Solid waste'!A1", "Solid waste")</f>
        <v>Solid waste</v>
      </c>
      <c r="D19" s="120" t="s">
        <v>314</v>
      </c>
      <c r="E19" s="120" t="s">
        <v>297</v>
      </c>
      <c r="F19" s="120" t="s">
        <v>298</v>
      </c>
      <c r="G19" s="120" t="s">
        <v>299</v>
      </c>
      <c r="H19" s="120" t="s">
        <v>300</v>
      </c>
      <c r="N19" s="120" t="s">
        <v>314</v>
      </c>
      <c r="O19" s="120" t="s">
        <v>297</v>
      </c>
      <c r="P19" s="120" t="s">
        <v>298</v>
      </c>
      <c r="Q19" s="120" t="s">
        <v>299</v>
      </c>
      <c r="R19" s="120" t="s">
        <v>300</v>
      </c>
    </row>
    <row r="20" spans="1:19" ht="20.100000000000001" customHeight="1" x14ac:dyDescent="0.2">
      <c r="A20" s="5" t="str">
        <f>HYPERLINK("#'Input - Manure sent off-site'!A1", "Manure sent off-site")</f>
        <v>Manure sent off-site</v>
      </c>
      <c r="D20" s="15" t="str">
        <f>INDEX(X_Table_Poultry_Stage1MMS,5,1)</f>
        <v>Pasture range and paddock</v>
      </c>
      <c r="E20" s="15">
        <f>INDEX(M1_Table_MN_j_k_m_T1,5,2)</f>
        <v>1.6993600000000004</v>
      </c>
      <c r="F20" s="15">
        <f>INDEX(M1_Table_MN_j_k_m_T1,5,3)</f>
        <v>1.8138719999999999</v>
      </c>
      <c r="G20" s="15">
        <f>INDEX(M1_Table_MN_j_k_m_T1,5,4)</f>
        <v>2.129216</v>
      </c>
      <c r="H20" s="15">
        <f>INDEX(M1_Table_MN_j_k_m_T1,5,5)</f>
        <v>1.8138719999999999</v>
      </c>
      <c r="I20" s="16" t="str">
        <f>$G$13</f>
        <v>kg N</v>
      </c>
      <c r="J20" s="16"/>
      <c r="N20" s="15" t="str">
        <f>INDEX(X_Table_Poultry_Stage1MMS,5,1)</f>
        <v>Pasture range and paddock</v>
      </c>
      <c r="O20" s="15">
        <f>INDEX(M2_Table_MN_j_k_m_T1,5,2)</f>
        <v>1.6993600000000004</v>
      </c>
      <c r="P20" s="15">
        <f>INDEX(M2_Table_MN_j_k_m_T1,5,3)</f>
        <v>1.8138719999999999</v>
      </c>
      <c r="Q20" s="15">
        <f>INDEX(M2_Table_MN_j_k_m_T1,5,4)</f>
        <v>2.129216</v>
      </c>
      <c r="R20" s="15">
        <f>INDEX(M2_Table_MN_j_k_m_T1,5,5)</f>
        <v>1.8138719999999999</v>
      </c>
      <c r="S20" s="16" t="str">
        <f>$G$13</f>
        <v>kg N</v>
      </c>
    </row>
    <row r="21" spans="1:19" ht="20.100000000000001" customHeight="1" x14ac:dyDescent="0.2">
      <c r="A21" s="5" t="str">
        <f>HYPERLINK("#'Input - Data quality'!A1", "Data quality")</f>
        <v>Data quality</v>
      </c>
    </row>
    <row r="22" spans="1:19" ht="20.100000000000001" customHeight="1" x14ac:dyDescent="0.2">
      <c r="A22" s="5" t="str">
        <f>HYPERLINK("#'Input - Fert Prod System'!A1", "Fert Prod System")</f>
        <v>Fert Prod System</v>
      </c>
      <c r="D22" s="118" t="s">
        <v>479</v>
      </c>
      <c r="N22" s="118" t="s">
        <v>480</v>
      </c>
    </row>
    <row r="23" spans="1:19" ht="20.100000000000001" customHeight="1" x14ac:dyDescent="0.2">
      <c r="A23" s="5" t="str">
        <f>HYPERLINK("#'Input - Fertiliser'!A1", "Fertiliser")</f>
        <v>Fertiliser</v>
      </c>
      <c r="D23" s="119" t="s">
        <v>481</v>
      </c>
      <c r="N23" s="119" t="s">
        <v>482</v>
      </c>
    </row>
    <row r="24" spans="1:19" ht="20.100000000000001" customHeight="1" x14ac:dyDescent="0.2">
      <c r="D24" s="120" t="s">
        <v>314</v>
      </c>
      <c r="E24" s="120" t="s">
        <v>297</v>
      </c>
      <c r="F24" s="120" t="s">
        <v>298</v>
      </c>
      <c r="G24" s="120" t="s">
        <v>299</v>
      </c>
      <c r="H24" s="120" t="s">
        <v>300</v>
      </c>
      <c r="N24" s="120" t="s">
        <v>314</v>
      </c>
      <c r="O24" s="120" t="s">
        <v>297</v>
      </c>
      <c r="P24" s="120" t="s">
        <v>298</v>
      </c>
      <c r="Q24" s="120" t="s">
        <v>299</v>
      </c>
      <c r="R24" s="120" t="s">
        <v>300</v>
      </c>
    </row>
    <row r="25" spans="1:19" ht="20.100000000000001" customHeight="1" x14ac:dyDescent="0.2">
      <c r="D25" s="15" t="str">
        <f>INDEX(X_Table_Poultry_Stage1MMS,5,1)</f>
        <v>Pasture range and paddock</v>
      </c>
      <c r="E25" s="15" cm="1">
        <f t="array" ref="E25">MMS_Poultry_Soil_N2ODirect_Equations.VEERG_4_6_1_10__1_DirectNitrousOxideEmissionsFromPoultryManure(E20,$I$14,$I$15)</f>
        <v>5.3408457142857159E-5</v>
      </c>
      <c r="F25" s="15" cm="1">
        <f t="array" ref="F25">MMS_Poultry_Soil_N2ODirect_Equations.VEERG_4_6_1_10__1_DirectNitrousOxideEmissionsFromPoultryManure(F20,$I$14,$I$15)</f>
        <v>5.700740571428572E-5</v>
      </c>
      <c r="G25" s="15" cm="1">
        <f t="array" ref="G25">MMS_Poultry_Soil_N2ODirect_Equations.VEERG_4_6_1_10__1_DirectNitrousOxideEmissionsFromPoultryManure(G20,$I$14,$I$15)</f>
        <v>6.6918217142857147E-5</v>
      </c>
      <c r="H25" s="15" cm="1">
        <f t="array" ref="H25">MMS_Poultry_Soil_N2ODirect_Equations.VEERG_4_6_1_10__1_DirectNitrousOxideEmissionsFromPoultryManure(H20,$I$14,$I$15)</f>
        <v>5.700740571428572E-5</v>
      </c>
      <c r="I25" s="16" t="str">
        <f>$E$11</f>
        <v>t N2O</v>
      </c>
      <c r="J25" s="16"/>
      <c r="N25" s="15" t="str">
        <f>INDEX(X_Table_Poultry_Stage1MMS,5,1)</f>
        <v>Pasture range and paddock</v>
      </c>
      <c r="O25" s="15" cm="1">
        <f t="array" ref="O25">MMS_Poultry_Soil_N2ODirect_Equations.VEERG_4_6_1_10__1_DirectNitrousOxideEmissionsFromPoultryManure(O20,$I$14,$I$15)</f>
        <v>5.3408457142857159E-5</v>
      </c>
      <c r="P25" s="15" cm="1">
        <f t="array" ref="P25">MMS_Poultry_Soil_N2ODirect_Equations.VEERG_4_6_1_10__1_DirectNitrousOxideEmissionsFromPoultryManure(P20,$I$14,$I$15)</f>
        <v>5.700740571428572E-5</v>
      </c>
      <c r="Q25" s="15" cm="1">
        <f t="array" ref="Q25">MMS_Poultry_Soil_N2ODirect_Equations.VEERG_4_6_1_10__1_DirectNitrousOxideEmissionsFromPoultryManure(Q20,$I$14,$I$15)</f>
        <v>6.6918217142857147E-5</v>
      </c>
      <c r="R25" s="15" cm="1">
        <f t="array" ref="R25">MMS_Poultry_Soil_N2ODirect_Equations.VEERG_4_6_1_10__1_DirectNitrousOxideEmissionsFromPoultryManure(R20,$I$14,$I$15)</f>
        <v>5.700740571428572E-5</v>
      </c>
      <c r="S25" s="16" t="s">
        <v>483</v>
      </c>
    </row>
    <row r="26" spans="1:19" ht="20.100000000000001" customHeight="1" x14ac:dyDescent="0.2">
      <c r="A26" s="6" t="s">
        <v>2</v>
      </c>
    </row>
    <row r="27" spans="1:19" ht="20.100000000000001" customHeight="1" x14ac:dyDescent="0.2">
      <c r="A27" s="5" t="str">
        <f>HYPERLINK("#'4.6.1.1-2 Methane'!A1", "4.6.1.1-2 Manure Methane")</f>
        <v>4.6.1.1-2 Manure Methane</v>
      </c>
      <c r="D27" s="85" t="s">
        <v>484</v>
      </c>
      <c r="E27" s="86">
        <f>SUM(E25:H25)</f>
        <v>2.3434148571428574E-4</v>
      </c>
      <c r="F27" s="95" t="str">
        <f>$E$11</f>
        <v>t N2O</v>
      </c>
      <c r="N27" s="85" t="s">
        <v>484</v>
      </c>
      <c r="O27" s="86">
        <f>SUM(O25:R25)</f>
        <v>2.3434148571428574E-4</v>
      </c>
      <c r="P27" s="95" t="str">
        <f>$E$11</f>
        <v>t N2O</v>
      </c>
    </row>
    <row r="28" spans="1:19" ht="20.100000000000001" customHeight="1" x14ac:dyDescent="0.2">
      <c r="A28" s="5" t="str">
        <f>HYPERLINK("#'4.6.1.3-4 Direct N20'!A1", "4.6.1.3-4 Manure Direct N2O")</f>
        <v>4.6.1.3-4 Manure Direct N2O</v>
      </c>
    </row>
    <row r="29" spans="1:19" ht="20.100000000000001" customHeight="1" x14ac:dyDescent="0.2">
      <c r="A29" s="5" t="str">
        <f>HYPERLINK("#'4.6.1.5-6 Atmos Dep'!A1", "4.6.1.5-6 Manure Atmos Dep")</f>
        <v>4.6.1.5-6 Manure Atmos Dep</v>
      </c>
      <c r="D29" s="126" t="str" cm="1">
        <f t="array" ref="D29:E30">Common_Equations.Common_ConvertN2OToCO2e_Arguments()</f>
        <v>EN2O</v>
      </c>
      <c r="E29" s="129" t="str">
        <v>Nitrous oxide emissions (t N2O)</v>
      </c>
      <c r="F29" s="130"/>
      <c r="G29" s="15">
        <f>VEERG_4_6_1_10__1_DirectNitrousOxideEmissionsFromPoultryManure_Result_Method1</f>
        <v>2.3434148571428574E-4</v>
      </c>
      <c r="N29" s="126" t="str" cm="1">
        <f t="array" ref="N29:O30">Common_Equations.Common_ConvertN2OToCO2e_Arguments()</f>
        <v>EN2O</v>
      </c>
      <c r="O29" s="129" t="str">
        <v>Nitrous oxide emissions (t N2O)</v>
      </c>
      <c r="P29" s="130"/>
      <c r="Q29" s="15">
        <f>VEERG_4_6_1_10__1_DirectNitrousOxideEmissionsFromPoultryManure_Result_Method2</f>
        <v>2.3434148571428574E-4</v>
      </c>
    </row>
    <row r="30" spans="1:19" ht="20.100000000000001" customHeight="1" x14ac:dyDescent="0.2">
      <c r="A30" s="5" t="str">
        <f>HYPERLINK("#'4.6.1.7-8 Leaching and runoff'!A1", "4.6.1.7-8 Manure Leaching and runoff")</f>
        <v>4.6.1.7-8 Manure Leaching and runoff</v>
      </c>
      <c r="D30" s="126" t="str">
        <v>GWPN2O</v>
      </c>
      <c r="E30" s="129" t="str">
        <v>Global warming potential for nitrous oxide (t CO2-e / t N2O)</v>
      </c>
      <c r="F30" s="130"/>
      <c r="G30" s="15">
        <f>Common_InputFunctions.Utility_LookupValueInTableNumber("N2O", Table_GWPData[Gas],Table_GWPData[CO2-e factor])</f>
        <v>265</v>
      </c>
      <c r="N30" s="126" t="str">
        <v>GWPN2O</v>
      </c>
      <c r="O30" s="129" t="str">
        <v>Global warming potential for nitrous oxide (t CO2-e / t N2O)</v>
      </c>
      <c r="P30" s="130"/>
      <c r="Q30" s="15">
        <f>Common_InputFunctions.Utility_LookupValueInTableNumber("N2O", Table_GWPData[Gas],Table_GWPData[CO2-e factor])</f>
        <v>265</v>
      </c>
    </row>
    <row r="31" spans="1:19" ht="20.100000000000001" customHeight="1" x14ac:dyDescent="0.2">
      <c r="A31" s="5" t="str">
        <f>HYPERLINK("#'4.6.1.9 Manure applied to soils'!A1", "4.6.1.9 Manure applied to soils")</f>
        <v>4.6.1.9 Manure applied to soils</v>
      </c>
    </row>
    <row r="32" spans="1:19" ht="20.100000000000001" customHeight="1" x14ac:dyDescent="0.2">
      <c r="A32" s="117" t="str">
        <f>HYPERLINK("#'4.6.1.10-11 Soil direct N2O'!A1", "4.6.1.10-11 Soil direct N2O")</f>
        <v>4.6.1.10-11 Soil direct N2O</v>
      </c>
      <c r="D32" s="83" t="s">
        <v>377</v>
      </c>
      <c r="E32" s="83" cm="1">
        <f t="array" ref="E32">Common_Equations.Common_ConvertN2OToCO2e(G29,G30)</f>
        <v>6.2100493714285721E-2</v>
      </c>
      <c r="F32" s="89" t="str" cm="1">
        <f t="array" ref="F32">Common_Equations.Common_ConvertN2OToCO2e_Unit()</f>
        <v>t CO2e</v>
      </c>
      <c r="N32" s="83" t="s">
        <v>377</v>
      </c>
      <c r="O32" s="83" cm="1">
        <f t="array" ref="O32">Common_Equations.Common_ConvertN2OToCO2e(Q29,Q30)</f>
        <v>6.2100493714285721E-2</v>
      </c>
      <c r="P32" s="89" t="str" cm="1">
        <f t="array" ref="P32">Common_Equations.Common_ConvertN2OToCO2e_Unit()</f>
        <v>t CO2e</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DD708-750F-4BDE-A5EF-6BA853CEBDAE}">
  <sheetPr>
    <tabColor rgb="FF008000"/>
  </sheetPr>
  <dimension ref="A1:S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20" customFormat="1" ht="30" customHeight="1" x14ac:dyDescent="0.35">
      <c r="A1" s="10" t="e" vm="1">
        <v>#VALUE!</v>
      </c>
      <c r="C1" s="20" t="s">
        <v>485</v>
      </c>
    </row>
    <row r="2" spans="1:19" s="3" customFormat="1" ht="20.100000000000001" customHeight="1" x14ac:dyDescent="0.2">
      <c r="A2"/>
    </row>
    <row r="3" spans="1:19"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row>
    <row r="4" spans="1:19" ht="20.100000000000001" customHeight="1" x14ac:dyDescent="0.2">
      <c r="A4" s="5" t="str">
        <f>HYPERLINK("#'Results - Activity period'!A1", "Results - Activity period")</f>
        <v>Results - Activity period</v>
      </c>
    </row>
    <row r="5" spans="1:19" ht="20.100000000000001" customHeight="1" x14ac:dyDescent="0.2">
      <c r="A5" s="5" t="str">
        <f>HYPERLINK("#'Results - Product EI'!A1", "Results - Product Emissions Intensity")</f>
        <v>Results - Product Emissions Intensity</v>
      </c>
      <c r="D5" s="2" t="str" cm="1">
        <f t="array" ref="D5">MMS_Poultry_Soil_AtmosphericDeposition_Equations.VEERG_4_6_1_12__2_MassOfNitrogenVolatilisedFromPoultryManureOnPasture_Title()</f>
        <v>Mass of nitrogen volatilised from poultry manure deposited on pasture</v>
      </c>
    </row>
    <row r="6" spans="1:19" ht="20.100000000000001" customHeight="1" x14ac:dyDescent="0.2">
      <c r="D6" s="17" t="str" cm="1">
        <f t="array" ref="D6">MMS_Poultry_Soil_AtmosphericDeposition_Equations.VEERG_4_6_1_12__2_MassOfNitrogenVolatilisedFromPoultryManureOnPasture_Source()</f>
        <v>VEERG 2026: 4.6.1.12, Equation (2)</v>
      </c>
    </row>
    <row r="7" spans="1:19" ht="20.100000000000001" customHeight="1" x14ac:dyDescent="0.2">
      <c r="D7" s="112" t="s">
        <v>328</v>
      </c>
      <c r="E7" s="112" t="str" cm="1">
        <f t="array" aca="1" ref="E7" ca="1">Common_InputFunctions.Utility_DisplayFunctionName(E24)</f>
        <v>=MMS_Poultry_Soil_AtmosphericDeposition_Equations.VEERG_4_6_1_12__2_MassOfNitrogenVolatilisedFromPoultryManureOnPasture</v>
      </c>
    </row>
    <row r="8" spans="1:19" ht="20.100000000000001" customHeight="1" x14ac:dyDescent="0.2">
      <c r="A8" s="7" t="s">
        <v>0</v>
      </c>
    </row>
    <row r="9" spans="1:19" ht="20.100000000000001" customHeight="1" x14ac:dyDescent="0.2">
      <c r="A9" s="5" t="str">
        <f>HYPERLINK("#'Input - Enterprise'!A1", "Enterprise")</f>
        <v>Enterprise</v>
      </c>
    </row>
    <row r="10" spans="1:19" ht="20.100000000000001" customHeight="1" x14ac:dyDescent="0.2">
      <c r="A10" s="5" t="str">
        <f>HYPERLINK("#'Input - Site'!A1", "Site")</f>
        <v>Site</v>
      </c>
      <c r="D10" s="75" t="s">
        <v>329</v>
      </c>
      <c r="E10" s="1" t="str" cm="1">
        <f t="array" ref="E10">MMS_Poultry_Soil_AtmosphericDeposition_Equations.VEERG_4_6_1_12__2_MassOfNitrogenVolatilisedFromPoultryManureOnPasture_Variable()</f>
        <v>M_vol_m14</v>
      </c>
    </row>
    <row r="11" spans="1:19" ht="20.100000000000001" customHeight="1" x14ac:dyDescent="0.2">
      <c r="A11" s="5" t="str">
        <f>HYPERLINK("#'Input - Poultry'!A1", "Poultry")</f>
        <v>Poultry</v>
      </c>
      <c r="D11" s="75" t="s">
        <v>118</v>
      </c>
      <c r="E11" s="9" t="str" cm="1">
        <f t="array" ref="E11">MMS_Poultry_Soil_AtmosphericDeposition_Equations.VEERG_4_6_1_12__2_MassOfNitrogenVolatilisedFromPoultryManureOnPasture_Unit()</f>
        <v>kg N</v>
      </c>
    </row>
    <row r="12" spans="1:19" ht="20.100000000000001" customHeight="1" x14ac:dyDescent="0.2">
      <c r="A12" s="5" t="str">
        <f>HYPERLINK("#'Input - Livestock sales'!A1", "Livestock sales")</f>
        <v>Livestock sales</v>
      </c>
    </row>
    <row r="13" spans="1:19" ht="20.100000000000001" customHeight="1" x14ac:dyDescent="0.2">
      <c r="A13" s="5" t="str">
        <f>HYPERLINK("#'Input - Poultry purchases'!A1", "Poultry purchases")</f>
        <v>Poultry purchases</v>
      </c>
      <c r="D13" s="113" t="str" cm="1">
        <f t="array" ref="D13:E14">_xlfn.CHOOSECOLS(MMS_Poultry_Soil_AtmosphericDeposition_Equations.VEERG_4_6_1_12__2_MassOfNitrogenVolatilisedFromPoultryManureOnPasture_Arguments(),1,2)</f>
        <v>MN_jkm14T1</v>
      </c>
      <c r="E13" s="113" t="str">
        <v>mass of nitrogen excreted directly on pasture by poultry class and subclass</v>
      </c>
      <c r="F13" s="113"/>
      <c r="G13" s="113" t="str" cm="1">
        <f t="array" ref="G13:H14">_xlfn.CHOOSECOLS(MMS_Poultry_Soil_AtmosphericDeposition_Equations.VEERG_4_6_1_12__2_MassOfNitrogenVolatilisedFromPoultryManureOnPasture_Arguments(),3,4)</f>
        <v>kg N</v>
      </c>
      <c r="H13" s="115" t="str">
        <v>Calculated from 4.6.1.3 (2)</v>
      </c>
      <c r="I13" s="116" t="str" cm="1">
        <f t="array" aca="1" ref="I13" ca="1">HYPERLINK(Common_InputFunctions.Utility_SourceHyperlink($D$16),$D$16)</f>
        <v>M1_Table_MN_j_k_m-14_T-1</v>
      </c>
    </row>
    <row r="14" spans="1:19" ht="20.100000000000001" customHeight="1" x14ac:dyDescent="0.2">
      <c r="A14" s="5" t="str">
        <f>HYPERLINK("#'Input - Fuel'!A1", "Fuel")</f>
        <v>Fuel</v>
      </c>
      <c r="D14" s="113" t="str">
        <v>FracGASMsoil</v>
      </c>
      <c r="E14" s="113" t="str">
        <v>fraction of nitrogen volatilised from manure deposited on pasture</v>
      </c>
      <c r="F14" s="113"/>
      <c r="G14" s="113" t="str">
        <v>(kg NH3-N + NOx-N)/kg N</v>
      </c>
      <c r="H14" s="115" t="str">
        <v>Constant</v>
      </c>
      <c r="I14" s="113">
        <f>SourceData_Poultry_FracGAMSSoil_Data</f>
        <v>0.21</v>
      </c>
    </row>
    <row r="15" spans="1:19" ht="20.100000000000001" customHeight="1" x14ac:dyDescent="0.2">
      <c r="A15" s="5" t="str">
        <f>HYPERLINK("#'Input - Electricity'!A1", "Electricity")</f>
        <v>Electricity</v>
      </c>
    </row>
    <row r="16" spans="1:19" ht="20.100000000000001" customHeight="1" x14ac:dyDescent="0.2">
      <c r="A16" s="5" t="str">
        <f>HYPERLINK("#'Input - Common farm inputs'!A1", "Common farm inputs")</f>
        <v>Common farm inputs</v>
      </c>
      <c r="D16" s="118" t="s">
        <v>475</v>
      </c>
      <c r="M16" s="118" t="s">
        <v>476</v>
      </c>
    </row>
    <row r="17" spans="1:19" ht="20.100000000000001" customHeight="1" x14ac:dyDescent="0.2">
      <c r="A17" s="5" t="str">
        <f>HYPERLINK("#'Input - Livestock farm Inputs'!A1", "Livestock farm Inputs")</f>
        <v>Livestock farm Inputs</v>
      </c>
      <c r="D17" s="119" t="s">
        <v>477</v>
      </c>
      <c r="M17" s="119" t="s">
        <v>478</v>
      </c>
    </row>
    <row r="18" spans="1:19" ht="20.100000000000001" customHeight="1" x14ac:dyDescent="0.2">
      <c r="A18" s="5" t="str">
        <f>HYPERLINK("#'Input - Freight'!A1", "Freight")</f>
        <v>Freight</v>
      </c>
      <c r="D18" s="120" t="s">
        <v>314</v>
      </c>
      <c r="E18" s="120" t="s">
        <v>297</v>
      </c>
      <c r="F18" s="120" t="s">
        <v>298</v>
      </c>
      <c r="G18" s="120" t="s">
        <v>299</v>
      </c>
      <c r="H18" s="120" t="s">
        <v>300</v>
      </c>
      <c r="M18" s="120" t="s">
        <v>314</v>
      </c>
      <c r="N18" s="120" t="s">
        <v>297</v>
      </c>
      <c r="O18" s="120" t="s">
        <v>298</v>
      </c>
      <c r="P18" s="120" t="s">
        <v>299</v>
      </c>
      <c r="Q18" s="120" t="s">
        <v>300</v>
      </c>
    </row>
    <row r="19" spans="1:19" ht="20.100000000000001" customHeight="1" x14ac:dyDescent="0.2">
      <c r="A19" s="5" t="str">
        <f>HYPERLINK("#'Input - Solid waste'!A1", "Solid waste")</f>
        <v>Solid waste</v>
      </c>
      <c r="D19" s="15" t="str">
        <f>INDEX(X_Table_Poultry_Stage1MMS,5,1)</f>
        <v>Pasture range and paddock</v>
      </c>
      <c r="E19" s="15">
        <f>INDEX(M1_Table_MN_j_k_m_T1,5,2)</f>
        <v>1.6993600000000004</v>
      </c>
      <c r="F19" s="15">
        <f>INDEX(M1_Table_MN_j_k_m_T1,5,3)</f>
        <v>1.8138719999999999</v>
      </c>
      <c r="G19" s="15">
        <f>INDEX(M1_Table_MN_j_k_m_T1,5,4)</f>
        <v>2.129216</v>
      </c>
      <c r="H19" s="15">
        <f>INDEX(M1_Table_MN_j_k_m_T1,5,5)</f>
        <v>1.8138719999999999</v>
      </c>
      <c r="I19" s="16" t="str">
        <f>$G$13</f>
        <v>kg N</v>
      </c>
      <c r="M19" s="15" t="str">
        <f>INDEX(X_Table_Poultry_Stage1MMS,5,1)</f>
        <v>Pasture range and paddock</v>
      </c>
      <c r="N19" s="15">
        <f>INDEX(M2_Table_MN_j_k_m_T1,5,2)</f>
        <v>1.6993600000000004</v>
      </c>
      <c r="O19" s="15">
        <f>INDEX(M2_Table_MN_j_k_m_T1,5,3)</f>
        <v>1.8138719999999999</v>
      </c>
      <c r="P19" s="15">
        <f>INDEX(M2_Table_MN_j_k_m_T1,5,4)</f>
        <v>2.129216</v>
      </c>
      <c r="Q19" s="15">
        <f>INDEX(M2_Table_MN_j_k_m_T1,5,5)</f>
        <v>1.8138719999999999</v>
      </c>
      <c r="R19" s="16" t="str">
        <f>$G$13</f>
        <v>kg N</v>
      </c>
    </row>
    <row r="20" spans="1:19" ht="20.100000000000001" customHeight="1" x14ac:dyDescent="0.2">
      <c r="A20" s="5" t="str">
        <f>HYPERLINK("#'Input - Manure sent off-site'!A1", "Manure sent off-site")</f>
        <v>Manure sent off-site</v>
      </c>
    </row>
    <row r="21" spans="1:19" ht="20.100000000000001" customHeight="1" x14ac:dyDescent="0.2">
      <c r="A21" s="5" t="str">
        <f>HYPERLINK("#'Input - Data quality'!A1", "Data quality")</f>
        <v>Data quality</v>
      </c>
      <c r="D21" s="118" t="s">
        <v>486</v>
      </c>
      <c r="M21" s="118" t="s">
        <v>487</v>
      </c>
    </row>
    <row r="22" spans="1:19" ht="20.100000000000001" customHeight="1" x14ac:dyDescent="0.2">
      <c r="A22" s="5" t="str">
        <f>HYPERLINK("#'Input - Fert Prod System'!A1", "Fert Prod System")</f>
        <v>Fert Prod System</v>
      </c>
      <c r="D22" s="119" t="s">
        <v>477</v>
      </c>
      <c r="M22" s="119" t="s">
        <v>478</v>
      </c>
    </row>
    <row r="23" spans="1:19" ht="20.100000000000001" customHeight="1" x14ac:dyDescent="0.2">
      <c r="A23" s="5" t="str">
        <f>HYPERLINK("#'Input - Fertiliser'!A1", "Fertiliser")</f>
        <v>Fertiliser</v>
      </c>
      <c r="D23" s="120" t="s">
        <v>314</v>
      </c>
      <c r="E23" s="120" t="s">
        <v>297</v>
      </c>
      <c r="F23" s="120" t="s">
        <v>298</v>
      </c>
      <c r="G23" s="120" t="s">
        <v>299</v>
      </c>
      <c r="H23" s="120" t="s">
        <v>300</v>
      </c>
      <c r="M23" s="120" t="s">
        <v>314</v>
      </c>
      <c r="N23" s="120" t="s">
        <v>297</v>
      </c>
      <c r="O23" s="120" t="s">
        <v>298</v>
      </c>
      <c r="P23" s="120" t="s">
        <v>299</v>
      </c>
      <c r="Q23" s="120" t="s">
        <v>300</v>
      </c>
    </row>
    <row r="24" spans="1:19" ht="20.100000000000001" customHeight="1" x14ac:dyDescent="0.2">
      <c r="D24" s="15" t="str">
        <f>INDEX(X_Table_Poultry_Stage1MMS,5,1)</f>
        <v>Pasture range and paddock</v>
      </c>
      <c r="E24" s="15" cm="1">
        <f t="array" ref="E24">MMS_Poultry_Soil_AtmosphericDeposition_Equations.VEERG_4_6_1_12__2_MassOfNitrogenVolatilisedFromPoultryManureOnPasture(E19,$I$14)</f>
        <v>0.35686560000000006</v>
      </c>
      <c r="F24" s="15" cm="1">
        <f t="array" ref="F24">MMS_Poultry_Soil_AtmosphericDeposition_Equations.VEERG_4_6_1_12__2_MassOfNitrogenVolatilisedFromPoultryManureOnPasture(F19,$I$14)</f>
        <v>0.38091311999999999</v>
      </c>
      <c r="G24" s="15" cm="1">
        <f t="array" ref="G24">MMS_Poultry_Soil_AtmosphericDeposition_Equations.VEERG_4_6_1_12__2_MassOfNitrogenVolatilisedFromPoultryManureOnPasture(G19,$I$14)</f>
        <v>0.44713535999999998</v>
      </c>
      <c r="H24" s="15" cm="1">
        <f t="array" ref="H24">MMS_Poultry_Soil_AtmosphericDeposition_Equations.VEERG_4_6_1_12__2_MassOfNitrogenVolatilisedFromPoultryManureOnPasture(H19,$I$14)</f>
        <v>0.38091311999999999</v>
      </c>
      <c r="I24" s="16" t="str">
        <f>$E$11</f>
        <v>kg N</v>
      </c>
      <c r="M24" s="15" t="str">
        <f>INDEX(X_Table_Poultry_Stage1MMS,5,1)</f>
        <v>Pasture range and paddock</v>
      </c>
      <c r="N24" s="15" cm="1">
        <f t="array" ref="N24">MMS_Poultry_Soil_AtmosphericDeposition_Equations.VEERG_4_6_1_12__2_MassOfNitrogenVolatilisedFromPoultryManureOnPasture(N19,$I$14)</f>
        <v>0.35686560000000006</v>
      </c>
      <c r="O24" s="15" cm="1">
        <f t="array" ref="O24">MMS_Poultry_Soil_AtmosphericDeposition_Equations.VEERG_4_6_1_12__2_MassOfNitrogenVolatilisedFromPoultryManureOnPasture(O19,$I$14)</f>
        <v>0.38091311999999999</v>
      </c>
      <c r="P24" s="15" cm="1">
        <f t="array" ref="P24">MMS_Poultry_Soil_AtmosphericDeposition_Equations.VEERG_4_6_1_12__2_MassOfNitrogenVolatilisedFromPoultryManureOnPasture(P19,$I$14)</f>
        <v>0.44713535999999998</v>
      </c>
      <c r="Q24" s="15" cm="1">
        <f t="array" ref="Q24">MMS_Poultry_Soil_AtmosphericDeposition_Equations.VEERG_4_6_1_12__2_MassOfNitrogenVolatilisedFromPoultryManureOnPasture(Q19,$I$14)</f>
        <v>0.38091311999999999</v>
      </c>
      <c r="R24" s="16" t="str">
        <f>$E$11</f>
        <v>kg N</v>
      </c>
    </row>
    <row r="26" spans="1:19" ht="20.100000000000001" customHeight="1" x14ac:dyDescent="0.2">
      <c r="A26" s="6" t="s">
        <v>2</v>
      </c>
      <c r="D26" s="88" t="s">
        <v>488</v>
      </c>
      <c r="E26" s="83">
        <f>SUM(E24:H24)</f>
        <v>1.5658272</v>
      </c>
      <c r="F26" s="89" t="str">
        <f>$E$11</f>
        <v>kg N</v>
      </c>
      <c r="M26" s="88" t="s">
        <v>488</v>
      </c>
      <c r="N26" s="83">
        <f>SUM(N24:Q24)</f>
        <v>1.5658272</v>
      </c>
      <c r="O26" s="89" t="str">
        <f>$E$11</f>
        <v>kg N</v>
      </c>
    </row>
    <row r="27" spans="1:19" ht="20.100000000000001" customHeight="1" x14ac:dyDescent="0.2">
      <c r="A27" s="5" t="str">
        <f>HYPERLINK("#'4.6.1.1-2 Methane'!A1", "4.6.1.1-2 Manure Methane")</f>
        <v>4.6.1.1-2 Manure Methane</v>
      </c>
    </row>
    <row r="28" spans="1:19" ht="20.100000000000001" customHeight="1" x14ac:dyDescent="0.2">
      <c r="A28" s="5" t="str">
        <f>HYPERLINK("#'4.6.1.3-4 Direct N20'!A1", "4.6.1.3-4 Manure Direct N2O")</f>
        <v>4.6.1.3-4 Manure Direct N2O</v>
      </c>
    </row>
    <row r="29" spans="1:19" ht="20.100000000000001" customHeight="1" x14ac:dyDescent="0.2">
      <c r="A29" s="5" t="str">
        <f>HYPERLINK("#'4.6.1.5-6 Atmos Dep'!A1", "4.6.1.5-6 Manure Atmos Dep")</f>
        <v>4.6.1.5-6 Manure Atmos Dep</v>
      </c>
      <c r="C29" s="83"/>
      <c r="D29" s="83"/>
      <c r="E29" s="83"/>
      <c r="F29" s="83"/>
      <c r="G29" s="83"/>
      <c r="H29" s="83"/>
      <c r="I29" s="83"/>
      <c r="J29" s="83"/>
      <c r="L29" s="83"/>
      <c r="M29" s="83"/>
      <c r="N29" s="83"/>
      <c r="O29" s="83"/>
      <c r="P29" s="83"/>
      <c r="Q29" s="83"/>
      <c r="R29" s="83"/>
      <c r="S29" s="83"/>
    </row>
    <row r="30" spans="1:19" ht="20.100000000000001" customHeight="1" x14ac:dyDescent="0.2">
      <c r="A30" s="5" t="str">
        <f>HYPERLINK("#'4.6.1.7-8 Leaching and runoff'!A1", "4.6.1.7-8 Manure Leaching and runoff")</f>
        <v>4.6.1.7-8 Manure Leaching and runoff</v>
      </c>
      <c r="D30" s="2" t="str" cm="1">
        <f t="array" ref="D30">MMS_Poultry_Soil_AtmosphericDeposition_Equations.VEERG_4_6_1_12__1_AtmosphericDepositionEmissionsFromPoultryManureOnPasture_Title()</f>
        <v>Atmospheric deposition emissions from poultry manure deposited on pasture</v>
      </c>
    </row>
    <row r="31" spans="1:19" ht="20.100000000000001" customHeight="1" x14ac:dyDescent="0.2">
      <c r="A31" s="5" t="str">
        <f>HYPERLINK("#'4.6.1.9 Manure applied to soils'!A1", "4.6.1.9 Manure applied to soils")</f>
        <v>4.6.1.9 Manure applied to soils</v>
      </c>
      <c r="D31" s="17" t="str" cm="1">
        <f t="array" ref="D31">MMS_Poultry_Soil_AtmosphericDeposition_Equations.VEERG_4_6_1_12__1_AtmosphericDepositionEmissionsFromPoultryManureOnPasture_Source()</f>
        <v>VEERG 2026: 4.6.1.12, Equation (1)</v>
      </c>
    </row>
    <row r="32" spans="1:19" ht="20.100000000000001" customHeight="1" x14ac:dyDescent="0.2">
      <c r="A32" s="5" t="str">
        <f>HYPERLINK("#'4.6.1.10-11 Soil direct N2O'!A1", "4.6.1.10-11 Soil direct N2O")</f>
        <v>4.6.1.10-11 Soil direct N2O</v>
      </c>
      <c r="D32" s="112" t="s">
        <v>328</v>
      </c>
      <c r="E32" s="112" t="str">
        <f ca="1">Common_InputFunctions.Utility_DisplayFunctionName(VEERG_4_6_1_12__1_AtmosphericDepositionEmissionsFromPoultryManureOnPasture_Result_Method1)</f>
        <v>=MMS_Poultry_Soil_AtmosphericDeposition_Equations.VEERG_4_6_1_12__1_AtmosphericDepositionEmissionsFromPoultryManureOnPasture</v>
      </c>
    </row>
    <row r="33" spans="1:18" ht="20.100000000000001" customHeight="1" x14ac:dyDescent="0.2">
      <c r="A33" s="117" t="str">
        <f>HYPERLINK("#'4.6.1.12-13 Soil atmos dep'!A1", "4.6.1.12-13 Soil atmos dep")</f>
        <v>4.6.1.12-13 Soil atmos dep</v>
      </c>
    </row>
    <row r="34" spans="1:18" ht="20.100000000000001" customHeight="1" x14ac:dyDescent="0.2">
      <c r="A34" s="5" t="str">
        <f>HYPERLINK("#'4.6.1.14-15 Soil leach runoff'!A1", "4.6.1.14-15 Soil leach runoff")</f>
        <v>4.6.1.14-15 Soil leach runoff</v>
      </c>
    </row>
    <row r="35" spans="1:18" ht="20.100000000000001" customHeight="1" x14ac:dyDescent="0.2">
      <c r="A35" s="5" t="str">
        <f>HYPERLINK("#'8.1.1.1-2 Transport fuel'!A1", "8.1.1.1-2 Transport fuel")</f>
        <v>8.1.1.1-2 Transport fuel</v>
      </c>
      <c r="D35" s="75" t="s">
        <v>329</v>
      </c>
      <c r="E35" s="1" t="str" cm="1">
        <f t="array" ref="E35">MMS_Poultry_Soil_AtmosphericDeposition_Equations.VEERG_4_6_1_12__1_AtmosphericDepositionEmissionsFromPoultryManureOnPasture_Variable()</f>
        <v>E_N2Oad</v>
      </c>
    </row>
    <row r="36" spans="1:18" ht="20.100000000000001" customHeight="1" x14ac:dyDescent="0.2">
      <c r="A36" s="5" t="str">
        <f>HYPERLINK("#'8.2.1.1-2 Stationary fuel'!A1", "8.2.1.1-2 Stationary fuel")</f>
        <v>8.2.1.1-2 Stationary fuel</v>
      </c>
      <c r="D36" s="75" t="s">
        <v>118</v>
      </c>
      <c r="E36" s="9" t="str" cm="1">
        <f t="array" ref="E36">MMS_Poultry_Soil_AtmosphericDeposition_Equations.VEERG_4_6_1_12__1_AtmosphericDepositionEmissionsFromPoultryManureOnPasture_Unit()</f>
        <v>t N2O</v>
      </c>
    </row>
    <row r="37" spans="1:18" ht="20.100000000000001" customHeight="1" x14ac:dyDescent="0.2">
      <c r="A37" s="5" t="str">
        <f>HYPERLINK("#'10.1.1-2 Solid waste treatment'!A1", "10.1.1.1-2 Solid waste")</f>
        <v>10.1.1.1-2 Solid waste</v>
      </c>
    </row>
    <row r="38" spans="1:18" ht="20.100000000000001" customHeight="1" x14ac:dyDescent="0.2">
      <c r="A38" s="5" t="str">
        <f>HYPERLINK("#'14.1.1-2 Purchased electricity'!A1", "14.1.1-2 Purchased electricity")</f>
        <v>14.1.1-2 Purchased electricity</v>
      </c>
      <c r="D38" s="113" t="str" cm="1">
        <f t="array" ref="D38:E43">_xlfn.CHOOSECOLS(MMS_Poultry_Soil_AtmosphericDeposition_Equations.VEERG_4_6_1_12__1_AtmosphericDepositionEmissionsFromPoultryManureOnPasture_Arguments(),1,2)</f>
        <v>M_vol_m14</v>
      </c>
      <c r="E38" s="122" t="str">
        <v>mass of nitrogen volatilised from manure deposited on pasture</v>
      </c>
      <c r="F38" s="123"/>
      <c r="G38" s="113" t="str" cm="1">
        <f t="array" ref="G38:H43">_xlfn.CHOOSECOLS(MMS_Poultry_Soil_AtmosphericDeposition_Equations.VEERG_4_6_1_12__1_AtmosphericDepositionEmissionsFromPoultryManureOnPasture_Arguments(),3,4)</f>
        <v>kg N</v>
      </c>
      <c r="H38" s="115" t="str">
        <v>Calculated from 4.6.1.12 (2)</v>
      </c>
      <c r="I38" s="113">
        <f>E26</f>
        <v>1.5658272</v>
      </c>
      <c r="M38" s="113" t="str" cm="1">
        <f t="array" ref="M38:N43">_xlfn.CHOOSECOLS(MMS_Poultry_Soil_AtmosphericDeposition_Equations.VEERG_4_6_1_12__1_AtmosphericDepositionEmissionsFromPoultryManureOnPasture_Arguments(),1,2)</f>
        <v>M_vol_m14</v>
      </c>
      <c r="N38" s="122" t="str">
        <v>mass of nitrogen volatilised from manure deposited on pasture</v>
      </c>
      <c r="O38" s="123"/>
      <c r="P38" s="113" t="str" cm="1">
        <f t="array" ref="P38:Q43">_xlfn.CHOOSECOLS(MMS_Poultry_Soil_AtmosphericDeposition_Equations.VEERG_4_6_1_12__1_AtmosphericDepositionEmissionsFromPoultryManureOnPasture_Arguments(),3,4)</f>
        <v>kg N</v>
      </c>
      <c r="Q38" s="115" t="str">
        <v>Calculated from 4.6.1.12 (2)</v>
      </c>
      <c r="R38" s="126">
        <f>N26</f>
        <v>1.5658272</v>
      </c>
    </row>
    <row r="39" spans="1:18" ht="20.100000000000001" customHeight="1" x14ac:dyDescent="0.2">
      <c r="A39" s="5" t="str">
        <f>HYPERLINK("#'15 Scope 3'!A1", "15 Scope 3")</f>
        <v>15 Scope 3</v>
      </c>
      <c r="D39" s="113" t="str">
        <v>EF_N2O</v>
      </c>
      <c r="E39" s="122" t="str">
        <v>emission factor for atmospheric deposition (kg N2O-N/kg N)</v>
      </c>
      <c r="F39" s="123"/>
      <c r="G39" s="113" t="str">
        <v>kg N2O-N/kg N</v>
      </c>
      <c r="H39" s="115" t="str">
        <v>Constant</v>
      </c>
      <c r="I39" s="113">
        <f>Common_InputFunctions.Utility_LookupN2OEFFromProdIrrigationRainfall(I41,I42,I43,Table_SourceData_Common_EFN2O[Production system only],Table_SourceData_Common_EFN2O[Irrigation method],Table_SourceData_Common_EFN2O[Rainfall zone],Table_SourceData_Common_EFN2O[EFN2O])</f>
        <v>7.0000000000000001E-3</v>
      </c>
      <c r="M39" s="113" t="str">
        <v>EF_N2O</v>
      </c>
      <c r="N39" s="122" t="str">
        <v>emission factor for atmospheric deposition (kg N2O-N/kg N)</v>
      </c>
      <c r="O39" s="123"/>
      <c r="P39" s="113" t="str">
        <v>kg N2O-N/kg N</v>
      </c>
      <c r="Q39" s="115" t="str">
        <v>Constant</v>
      </c>
      <c r="R39" s="126"/>
    </row>
    <row r="40" spans="1:18" ht="20.100000000000001" customHeight="1" x14ac:dyDescent="0.2">
      <c r="A40" s="5" t="str">
        <f>HYPERLINK("#'Calcs - Manure sent off-site'!A1", "Calcs - Manure sent off-site")</f>
        <v>Calcs - Manure sent off-site</v>
      </c>
      <c r="D40" s="113" t="str">
        <v>C_N2O</v>
      </c>
      <c r="E40" s="122" t="str">
        <v>factor to convert elemental mass of N2O to molecular mass</v>
      </c>
      <c r="F40" s="123"/>
      <c r="G40" s="113" t="str">
        <v>ratio</v>
      </c>
      <c r="H40" s="115" t="str">
        <v>Constant</v>
      </c>
      <c r="I40" s="113">
        <f>Common_InputFunctions.Utility_LookupValueInTableNumber("N2O",Table_GasToMolecularConversionFactor[Gas],Table_GasToMolecularConversionFactor[Conversion factor combined])</f>
        <v>1.5714285714285714</v>
      </c>
      <c r="M40" s="113" t="str">
        <v>C_N2O</v>
      </c>
      <c r="N40" s="122" t="str">
        <v>factor to convert elemental mass of N2O to molecular mass</v>
      </c>
      <c r="O40" s="123"/>
      <c r="P40" s="113" t="str">
        <v>ratio</v>
      </c>
      <c r="Q40" s="115" t="str">
        <v>Constant</v>
      </c>
      <c r="R40" s="126"/>
    </row>
    <row r="41" spans="1:18" ht="20.100000000000001" customHeight="1" x14ac:dyDescent="0.2">
      <c r="A41" s="5" t="str">
        <f>HYPERLINK("#'5.1.1.1-2 Inorganic fert N2O'!A1", "5.1.1.1-2 Inorganic fert N2O")</f>
        <v>5.1.1.1-2 Inorganic fert N2O</v>
      </c>
      <c r="D41" s="113" t="str">
        <v>j</v>
      </c>
      <c r="E41" s="122" t="str">
        <v>production system</v>
      </c>
      <c r="F41" s="123"/>
      <c r="G41" s="113" t="str">
        <v/>
      </c>
      <c r="H41" s="114" t="str">
        <v>Input</v>
      </c>
      <c r="I41" s="113" t="str">
        <f>X_Cell_Poultry_ManureAppliedProductionSystem</f>
        <v>Crop</v>
      </c>
      <c r="M41" s="113" t="str">
        <v>j</v>
      </c>
      <c r="N41" s="122" t="str">
        <v>production system</v>
      </c>
      <c r="O41" s="123"/>
      <c r="P41" s="113" t="str">
        <v/>
      </c>
      <c r="Q41" s="114" t="str">
        <v>Input</v>
      </c>
      <c r="R41" s="126"/>
    </row>
    <row r="42" spans="1:18" ht="20.100000000000001" customHeight="1" x14ac:dyDescent="0.2">
      <c r="A42" s="5" t="str">
        <f>HYPERLINK("#'5.1.1.3-4 Inorganic fert CO2'!A1", "5.1.1.3-4 Inorganic fert CO2")</f>
        <v>5.1.1.3-4 Inorganic fert CO2</v>
      </c>
      <c r="D42" s="113" t="str">
        <v>ir</v>
      </c>
      <c r="E42" s="122" t="str">
        <v>irrigation method</v>
      </c>
      <c r="F42" s="123"/>
      <c r="G42" s="113" t="str">
        <v/>
      </c>
      <c r="H42" s="114" t="str">
        <v>Input</v>
      </c>
      <c r="I42" s="113" t="str">
        <f>X_Cell_Poultry_ManureAppliedIrrigationMethod</f>
        <v>Sprinkler irrigation</v>
      </c>
      <c r="M42" s="113" t="str">
        <v>ir</v>
      </c>
      <c r="N42" s="122" t="str">
        <v>irrigation method</v>
      </c>
      <c r="O42" s="123"/>
      <c r="P42" s="113" t="str">
        <v/>
      </c>
      <c r="Q42" s="114" t="str">
        <v>Input</v>
      </c>
      <c r="R42" s="126"/>
    </row>
    <row r="43" spans="1:18" ht="20.100000000000001" customHeight="1" x14ac:dyDescent="0.2">
      <c r="A43" s="5" t="str">
        <f>HYPERLINK("#'5.2.1.1-2 Organic Fert N2O'!A1", "5.2.1.1-2 Organic Fert N2O")</f>
        <v>5.2.1.1-2 Organic Fert N2O</v>
      </c>
      <c r="D43" s="113" t="str">
        <v>r</v>
      </c>
      <c r="E43" s="122" t="str">
        <v>rainfall region</v>
      </c>
      <c r="F43" s="123"/>
      <c r="G43" s="113" t="str">
        <v/>
      </c>
      <c r="H43" s="114" t="str">
        <v>Input</v>
      </c>
      <c r="I43" s="113">
        <f>X_Cell_Site_RainfallZone</f>
        <v>0</v>
      </c>
      <c r="M43" s="113" t="str">
        <v>r</v>
      </c>
      <c r="N43" s="122" t="str">
        <v>rainfall region</v>
      </c>
      <c r="O43" s="123"/>
      <c r="P43" s="113" t="str">
        <v/>
      </c>
      <c r="Q43" s="114" t="str">
        <v>Input</v>
      </c>
      <c r="R43" s="126"/>
    </row>
    <row r="44" spans="1:18" ht="20.100000000000001" customHeight="1" x14ac:dyDescent="0.2">
      <c r="A44" s="5" t="str">
        <f>HYPERLINK("#'5.3.1.1-2 Lime CO2'!A1", "5.3.1.1-2 Lime CO2")</f>
        <v>5.3.1.1-2 Lime CO2</v>
      </c>
    </row>
    <row r="45" spans="1:18" ht="20.100000000000001" customHeight="1" x14ac:dyDescent="0.2">
      <c r="A45" s="5" t="str">
        <f>HYPERLINK("#'5.4.1.1-4 Atmos deposition'!A1", "5.4.1.1-4 Atmos deposition")</f>
        <v>5.4.1.1-4 Atmos deposition</v>
      </c>
      <c r="D45" s="85" t="s">
        <v>435</v>
      </c>
      <c r="E45" s="86" cm="1">
        <f t="array" ref="E45">MMS_Poultry_Soil_AtmosphericDeposition_Equations.VEERG_4_6_1_12__1_AtmosphericDepositionEmissionsFromPoultryManureOnPasture(I38,$I$39,$I$40)</f>
        <v>1.72240992E-5</v>
      </c>
      <c r="F45" s="95" t="str">
        <f>$E$36</f>
        <v>t N2O</v>
      </c>
      <c r="M45" s="85" t="s">
        <v>435</v>
      </c>
      <c r="N45" s="86" cm="1">
        <f t="array" ref="N45">MMS_Poultry_Soil_AtmosphericDeposition_Equations.VEERG_4_6_1_12__1_AtmosphericDepositionEmissionsFromPoultryManureOnPasture(R38,$I$39,$I$40)</f>
        <v>1.72240992E-5</v>
      </c>
      <c r="O45" s="95" t="str">
        <f>$E$36</f>
        <v>t N2O</v>
      </c>
    </row>
    <row r="46" spans="1:18" ht="20.100000000000001" customHeight="1" x14ac:dyDescent="0.2">
      <c r="A46" s="5" t="str">
        <f>HYPERLINK("#'5.5.1.1-2 Leaching and runoff'!A1", "5.5.1.1-2 Leaching and runoff")</f>
        <v>5.5.1.1-2 Leaching and runoff</v>
      </c>
    </row>
    <row r="47" spans="1:18" ht="20.100000000000001" customHeight="1" x14ac:dyDescent="0.2">
      <c r="D47" s="126" t="str" cm="1">
        <f t="array" ref="D47:E48">Common_Equations.Common_ConvertN2OToCO2e_Arguments()</f>
        <v>EN2O</v>
      </c>
      <c r="E47" s="129" t="str">
        <v>Nitrous oxide emissions (t N2O)</v>
      </c>
      <c r="F47" s="130"/>
      <c r="G47" s="15">
        <f>VEERG_4_6_1_12__1_AtmosphericDepositionEmissionsFromPoultryManureOnPasture_Result_Method1</f>
        <v>1.72240992E-5</v>
      </c>
      <c r="M47" s="126" t="str" cm="1">
        <f t="array" ref="M47:N48">Common_Equations.Common_ConvertN2OToCO2e_Arguments()</f>
        <v>EN2O</v>
      </c>
      <c r="N47" s="129" t="str">
        <v>Nitrous oxide emissions (t N2O)</v>
      </c>
      <c r="O47" s="130"/>
      <c r="P47" s="15">
        <f>VEERG_4_6_1_12__1_AtmosphericDepositionEmissionsFromPoultryManureOnPasture_Result_Method2</f>
        <v>1.72240992E-5</v>
      </c>
    </row>
    <row r="48" spans="1:18" ht="20.100000000000001" customHeight="1" x14ac:dyDescent="0.2">
      <c r="D48" s="126" t="str">
        <v>GWPN2O</v>
      </c>
      <c r="E48" s="129" t="str">
        <v>Global warming potential for nitrous oxide (t CO2-e / t N2O)</v>
      </c>
      <c r="F48" s="130"/>
      <c r="G48" s="15">
        <f>Common_InputFunctions.Utility_LookupValueInTableNumber("N2O", Table_GWPData[Gas],Table_GWPData[CO2-e factor])</f>
        <v>265</v>
      </c>
      <c r="M48" s="126" t="str">
        <v>GWPN2O</v>
      </c>
      <c r="N48" s="129" t="str">
        <v>Global warming potential for nitrous oxide (t CO2-e / t N2O)</v>
      </c>
      <c r="O48" s="130"/>
      <c r="P48" s="15">
        <f>Common_InputFunctions.Utility_LookupValueInTableNumber("N2O", Table_GWPData[Gas],Table_GWPData[CO2-e factor])</f>
        <v>265</v>
      </c>
    </row>
    <row r="49" spans="1:15" ht="20.100000000000001" customHeight="1" x14ac:dyDescent="0.2">
      <c r="A49" s="80" t="s">
        <v>1</v>
      </c>
    </row>
    <row r="50" spans="1:15" ht="20.100000000000001" customHeight="1" x14ac:dyDescent="0.2">
      <c r="A50" s="5" t="str">
        <f>HYPERLINK("#'Constants - Poultry'!A1", "Constants - Poultry")</f>
        <v>Constants - Poultry</v>
      </c>
      <c r="D50" s="83" t="s">
        <v>377</v>
      </c>
      <c r="E50" s="83" cm="1">
        <f t="array" ref="E50">Common_Equations.Common_ConvertN2OToCO2e(G47,G48)</f>
        <v>4.5643862879999999E-3</v>
      </c>
      <c r="F50" s="89" t="str" cm="1">
        <f t="array" ref="F50">Common_Equations.Common_ConvertN2OToCO2e_Unit()</f>
        <v>t CO2e</v>
      </c>
      <c r="M50" s="83" t="s">
        <v>377</v>
      </c>
      <c r="N50" s="83" cm="1">
        <f t="array" ref="N50">Common_Equations.Common_ConvertN2OToCO2e(P47,P48)</f>
        <v>4.5643862879999999E-3</v>
      </c>
      <c r="O50" s="89" t="str" cm="1">
        <f t="array" ref="O50">Common_Equations.Common_ConvertN2OToCO2e_Unit()</f>
        <v>t CO2e</v>
      </c>
    </row>
    <row r="51" spans="1:15" ht="20.100000000000001" customHeight="1" x14ac:dyDescent="0.2">
      <c r="A51" s="5" t="str">
        <f>HYPERLINK("#'Constants - Common livestock'!A1", "Constants - Common Livestock")</f>
        <v>Constants - Common Livestock</v>
      </c>
    </row>
    <row r="52" spans="1:15" ht="20.100000000000001" customHeight="1" x14ac:dyDescent="0.2">
      <c r="A52" s="5" t="str">
        <f>HYPERLINK("#'Constants - Electricity'!A1", "Constants - Electricity")</f>
        <v>Constants - Electricity</v>
      </c>
    </row>
    <row r="53" spans="1:15" ht="20.100000000000001" customHeight="1" x14ac:dyDescent="0.2">
      <c r="A53" s="5" t="str">
        <f>HYPERLINK("#'Constants - Fertiliser'!A1", "Constants - Fertiliser")</f>
        <v>Constants - Fertiliser</v>
      </c>
    </row>
    <row r="54" spans="1:15" ht="20.100000000000001" customHeight="1" x14ac:dyDescent="0.2">
      <c r="A54" s="5" t="str">
        <f>HYPERLINK("#'Constants - Fuel'!A1", "Constants - Fuel")</f>
        <v>Constants - Fuel</v>
      </c>
    </row>
    <row r="55" spans="1:15" ht="20.100000000000001" customHeight="1" x14ac:dyDescent="0.2">
      <c r="A55" s="5" t="str">
        <f>HYPERLINK("#'Constants - Scope 3'!A1", "Constants - Scope 3")</f>
        <v>Constants - Scope 3</v>
      </c>
    </row>
    <row r="56" spans="1:15" ht="20.100000000000001" customHeight="1" x14ac:dyDescent="0.2">
      <c r="A56" s="5" t="str">
        <f>HYPERLINK("#'Constants - Solid Waste'!A1", "Constants - Solid Waste")</f>
        <v>Constants - Solid Waste</v>
      </c>
    </row>
    <row r="57" spans="1:15"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A7F79-09D2-48E4-9989-C536D594BD43}">
  <sheetPr>
    <tabColor rgb="FF008000"/>
  </sheetPr>
  <dimension ref="A1:U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20" customFormat="1" ht="30" customHeight="1" x14ac:dyDescent="0.35">
      <c r="A1" s="10" t="e" vm="1">
        <v>#VALUE!</v>
      </c>
      <c r="C1" s="20" t="s">
        <v>489</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M3" s="22"/>
      <c r="N3" s="22" t="s">
        <v>130</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MMS_Poultry_Soil_LeachingAndRunoff_Equations.VEERG_4_6_1_14__2_MassOfNitrogenLostToLeachingAndRunoffFromPoultryManureOnPasture_Title()</f>
        <v>Mass of nitrogen lost to leaching and runoff from poultry manure deposited on pasture</v>
      </c>
    </row>
    <row r="6" spans="1:21" ht="20.100000000000001" customHeight="1" x14ac:dyDescent="0.2">
      <c r="D6" s="17" t="str" cm="1">
        <f t="array" ref="D6">MMS_Poultry_Soil_LeachingAndRunoff_Equations.VEERG_4_6_1_14__2_MassOfNitrogenLostToLeachingAndRunoffFromPoultryManureOnPasture_Source()</f>
        <v>VEERG 2026: 4.6.1.14, Equation (2)</v>
      </c>
    </row>
    <row r="7" spans="1:21" ht="20.100000000000001" customHeight="1" x14ac:dyDescent="0.2">
      <c r="D7" s="112" t="s">
        <v>328</v>
      </c>
      <c r="E7" s="112" t="str" cm="1">
        <f t="array" aca="1" ref="E7" ca="1">Common_InputFunctions.Utility_DisplayFunctionName(E28)</f>
        <v>=MMS_Poultry_Soil_LeachingAndRunoff_Equations.VEERG_4_6_1_14__2_MassOfNitrogenLostToLeachingAndRunoffFromPoultryManureOnPasture</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MMS_Poultry_Soil_LeachingAndRunoff_Equations.VEERG_4_6_1_14__2_MassOfNitrogenLostToLeachingAndRunoffFromPoultryManureOnPasture_Variable()</f>
        <v>M_leach_m14</v>
      </c>
    </row>
    <row r="11" spans="1:21" ht="20.100000000000001" customHeight="1" x14ac:dyDescent="0.2">
      <c r="A11" s="5" t="str">
        <f>HYPERLINK("#'Input - Poultry'!A1", "Poultry")</f>
        <v>Poultry</v>
      </c>
      <c r="D11" s="75" t="s">
        <v>118</v>
      </c>
      <c r="E11" s="9" t="str" cm="1">
        <f t="array" ref="E11">MMS_Poultry_Soil_LeachingAndRunoff_Equations.VEERG_4_6_1_14__2_MassOfNitrogenLostToLeachingAndRunoffFromPoultryManureOnPasture_Unit()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8">_xlfn.CHOOSECOLS(MMS_Poultry_Soil_LeachingAndRunoff_Equations.VEERG_4_6_1_14__2_MassOfNitrogenLostToLeachingAndRunoffFromPoultryManureOnPasture_Arguments(),1,2)</f>
        <v>MN_jkm14T1</v>
      </c>
      <c r="E13" s="122" t="str">
        <v>mass of nitrogen excreted directly on pasture by poultry class and subclass</v>
      </c>
      <c r="F13" s="123"/>
      <c r="G13" s="113" t="str" cm="1">
        <f t="array" ref="G13:H18">_xlfn.CHOOSECOLS(MMS_Poultry_Soil_LeachingAndRunoff_Equations.VEERG_4_6_1_14__2_MassOfNitrogenLostToLeachingAndRunoffFromPoultryManureOnPasture_Arguments(),3,4)</f>
        <v>kg N</v>
      </c>
      <c r="H13" s="115" t="str">
        <v>Calculated from 4.6.1.3 (2)</v>
      </c>
      <c r="I13" s="116" t="str" cm="1">
        <f t="array" aca="1" ref="I13" ca="1">HYPERLINK(Common_InputFunctions.Utility_SourceHyperlink($D$20),$D$20)</f>
        <v>M1_Table_MN_j_k_m-14_T-1</v>
      </c>
    </row>
    <row r="14" spans="1:21" ht="20.100000000000001" customHeight="1" x14ac:dyDescent="0.2">
      <c r="A14" s="5" t="str">
        <f>HYPERLINK("#'Input - Fuel'!A1", "Fuel")</f>
        <v>Fuel</v>
      </c>
      <c r="D14" s="113" t="str">
        <v>FracWet</v>
      </c>
      <c r="E14" s="122" t="str">
        <v>fraction of N available for leaching and runoff</v>
      </c>
      <c r="F14" s="123"/>
      <c r="G14" s="113" t="str">
        <v>fraction</v>
      </c>
      <c r="H14" s="115" t="str">
        <v>Constant</v>
      </c>
      <c r="I14" s="113">
        <f>Common_InputFunctions.CommonCropping_GetFracWET(I16,I18,Table_SourceData_FracWET[Is in leaching zone],Table_SourceData_FracWET[FracWET],Table_SourceData_FracWETIrrigation[Irrigation type i],Table_SourceData_FracWETIrrigation[FracWET])</f>
        <v>1</v>
      </c>
    </row>
    <row r="15" spans="1:21" ht="20.100000000000001" customHeight="1" x14ac:dyDescent="0.2">
      <c r="A15" s="5" t="str">
        <f>HYPERLINK("#'Input - Electricity'!A1", "Electricity")</f>
        <v>Electricity</v>
      </c>
      <c r="D15" s="113" t="str">
        <v>FracLEACH_MS</v>
      </c>
      <c r="E15" s="122" t="str">
        <v>fraction of N that is lost through leaching and runoff</v>
      </c>
      <c r="F15" s="123"/>
      <c r="G15" s="113" t="str">
        <v>fraction</v>
      </c>
      <c r="H15" s="115" t="str">
        <v>Constant</v>
      </c>
      <c r="I15" s="113">
        <f>SourceData_Poultry_FractionOfNitrogenLostThroughLeachingAndRunoff_Data</f>
        <v>0.02</v>
      </c>
    </row>
    <row r="16" spans="1:21" ht="20.100000000000001" customHeight="1" x14ac:dyDescent="0.2">
      <c r="A16" s="5" t="str">
        <f>HYPERLINK("#'Input - Common farm inputs'!A1", "Common farm inputs")</f>
        <v>Common farm inputs</v>
      </c>
      <c r="D16" s="113" t="str">
        <v>z</v>
      </c>
      <c r="E16" s="122" t="str">
        <v>location in leaching zone</v>
      </c>
      <c r="F16" s="123"/>
      <c r="G16" s="113" t="str">
        <v/>
      </c>
      <c r="H16" s="114" t="str">
        <v>Input</v>
      </c>
      <c r="I16" s="113">
        <f>X_Cell_Site_LeachingZone</f>
        <v>0</v>
      </c>
    </row>
    <row r="17" spans="1:20" ht="20.100000000000001" customHeight="1" x14ac:dyDescent="0.2">
      <c r="A17" s="5" t="str">
        <f>HYPERLINK("#'Input - Livestock farm Inputs'!A1", "Livestock farm Inputs")</f>
        <v>Livestock farm Inputs</v>
      </c>
      <c r="D17" s="113" t="str">
        <v>j</v>
      </c>
      <c r="E17" s="122" t="str">
        <v>production system</v>
      </c>
      <c r="F17" s="123"/>
      <c r="G17" s="113" t="str">
        <v/>
      </c>
      <c r="H17" s="114" t="str">
        <v>Input</v>
      </c>
      <c r="I17" s="113" t="str">
        <f>X_Cell_Poultry_ManureAppliedProductionSystem</f>
        <v>Crop</v>
      </c>
    </row>
    <row r="18" spans="1:20" ht="20.100000000000001" customHeight="1" x14ac:dyDescent="0.2">
      <c r="A18" s="5" t="str">
        <f>HYPERLINK("#'Input - Freight'!A1", "Freight")</f>
        <v>Freight</v>
      </c>
      <c r="D18" s="113" t="str">
        <v>ir</v>
      </c>
      <c r="E18" s="122" t="str">
        <v>irrigation method</v>
      </c>
      <c r="F18" s="123"/>
      <c r="G18" s="113" t="str">
        <v/>
      </c>
      <c r="H18" s="114" t="str">
        <v>Input</v>
      </c>
      <c r="I18" s="113" t="str">
        <f>X_Cell_Poultry_ManureAppliedIrrigationMethod</f>
        <v>Sprinkler irrigation</v>
      </c>
    </row>
    <row r="19" spans="1:20" ht="20.100000000000001" customHeight="1" x14ac:dyDescent="0.2">
      <c r="A19" s="5" t="str">
        <f>HYPERLINK("#'Input - Solid waste'!A1", "Solid waste")</f>
        <v>Solid waste</v>
      </c>
    </row>
    <row r="20" spans="1:20" ht="20.100000000000001" customHeight="1" x14ac:dyDescent="0.2">
      <c r="A20" s="5" t="str">
        <f>HYPERLINK("#'Input - Manure sent off-site'!A1", "Manure sent off-site")</f>
        <v>Manure sent off-site</v>
      </c>
      <c r="D20" s="118" t="s">
        <v>475</v>
      </c>
      <c r="N20" s="118" t="s">
        <v>476</v>
      </c>
    </row>
    <row r="21" spans="1:20" ht="20.100000000000001" customHeight="1" x14ac:dyDescent="0.2">
      <c r="A21" s="5" t="str">
        <f>HYPERLINK("#'Input - Data quality'!A1", "Data quality")</f>
        <v>Data quality</v>
      </c>
      <c r="D21" s="119" t="s">
        <v>477</v>
      </c>
      <c r="N21" s="119" t="s">
        <v>478</v>
      </c>
    </row>
    <row r="22" spans="1:20" ht="20.100000000000001" customHeight="1" x14ac:dyDescent="0.2">
      <c r="A22" s="5" t="str">
        <f>HYPERLINK("#'Input - Fert Prod System'!A1", "Fert Prod System")</f>
        <v>Fert Prod System</v>
      </c>
      <c r="D22" s="120" t="s">
        <v>314</v>
      </c>
      <c r="E22" s="120" t="s">
        <v>297</v>
      </c>
      <c r="F22" s="120" t="s">
        <v>298</v>
      </c>
      <c r="G22" s="120" t="s">
        <v>299</v>
      </c>
      <c r="H22" s="120" t="s">
        <v>300</v>
      </c>
      <c r="N22" s="120" t="s">
        <v>314</v>
      </c>
      <c r="O22" s="120" t="s">
        <v>297</v>
      </c>
      <c r="P22" s="120" t="s">
        <v>298</v>
      </c>
      <c r="Q22" s="120" t="s">
        <v>299</v>
      </c>
      <c r="R22" s="120" t="s">
        <v>300</v>
      </c>
    </row>
    <row r="23" spans="1:20" ht="20.100000000000001" customHeight="1" x14ac:dyDescent="0.2">
      <c r="A23" s="5" t="str">
        <f>HYPERLINK("#'Input - Fertiliser'!A1", "Fertiliser")</f>
        <v>Fertiliser</v>
      </c>
      <c r="D23" s="15" t="str">
        <f>INDEX(X_Table_Poultry_Stage1MMS,5,1)</f>
        <v>Pasture range and paddock</v>
      </c>
      <c r="E23" s="15">
        <f>INDEX(M1_Table_MN_j_k_m_T1,5,2)</f>
        <v>1.6993600000000004</v>
      </c>
      <c r="F23" s="15">
        <f>INDEX(M1_Table_MN_j_k_m_T1,5,3)</f>
        <v>1.8138719999999999</v>
      </c>
      <c r="G23" s="15">
        <f>INDEX(M1_Table_MN_j_k_m_T1,5,4)</f>
        <v>2.129216</v>
      </c>
      <c r="H23" s="15">
        <f>INDEX(M1_Table_MN_j_k_m_T1,5,5)</f>
        <v>1.8138719999999999</v>
      </c>
      <c r="I23" s="16" t="str">
        <f>$G$13</f>
        <v>kg N</v>
      </c>
      <c r="J23" s="16"/>
      <c r="N23" s="15" t="str">
        <f>INDEX(X_Table_Poultry_Stage1MMS,5,1)</f>
        <v>Pasture range and paddock</v>
      </c>
      <c r="O23" s="15">
        <f>INDEX(M2_Table_MN_j_k_m_T1,5,2)</f>
        <v>1.6993600000000004</v>
      </c>
      <c r="P23" s="15">
        <f>INDEX(M2_Table_MN_j_k_m_T1,5,3)</f>
        <v>1.8138719999999999</v>
      </c>
      <c r="Q23" s="15">
        <f>INDEX(M2_Table_MN_j_k_m_T1,5,4)</f>
        <v>2.129216</v>
      </c>
      <c r="R23" s="15">
        <f>INDEX(M2_Table_MN_j_k_m_T1,5,5)</f>
        <v>1.8138719999999999</v>
      </c>
      <c r="S23" s="16" t="str">
        <f>$G$13</f>
        <v>kg N</v>
      </c>
      <c r="T23" s="16"/>
    </row>
    <row r="25" spans="1:20" ht="20.100000000000001" customHeight="1" x14ac:dyDescent="0.2">
      <c r="D25" s="118" t="s">
        <v>486</v>
      </c>
      <c r="N25" s="118" t="s">
        <v>487</v>
      </c>
    </row>
    <row r="26" spans="1:20" ht="20.100000000000001" customHeight="1" x14ac:dyDescent="0.2">
      <c r="A26" s="6" t="s">
        <v>2</v>
      </c>
      <c r="D26" s="119" t="s">
        <v>477</v>
      </c>
      <c r="N26" s="119" t="s">
        <v>478</v>
      </c>
    </row>
    <row r="27" spans="1:20" ht="20.100000000000001" customHeight="1" x14ac:dyDescent="0.2">
      <c r="A27" s="5" t="str">
        <f>HYPERLINK("#'4.6.1.1-2 Methane'!A1", "4.6.1.1-2 Manure Methane")</f>
        <v>4.6.1.1-2 Manure Methane</v>
      </c>
      <c r="D27" s="120" t="s">
        <v>314</v>
      </c>
      <c r="E27" s="120" t="s">
        <v>297</v>
      </c>
      <c r="F27" s="120" t="s">
        <v>298</v>
      </c>
      <c r="G27" s="120" t="s">
        <v>299</v>
      </c>
      <c r="H27" s="120" t="s">
        <v>300</v>
      </c>
      <c r="N27" s="120" t="s">
        <v>314</v>
      </c>
      <c r="O27" s="120" t="s">
        <v>297</v>
      </c>
      <c r="P27" s="120" t="s">
        <v>298</v>
      </c>
      <c r="Q27" s="120" t="s">
        <v>299</v>
      </c>
      <c r="R27" s="120" t="s">
        <v>300</v>
      </c>
    </row>
    <row r="28" spans="1:20" ht="20.100000000000001" customHeight="1" x14ac:dyDescent="0.2">
      <c r="A28" s="5" t="str">
        <f>HYPERLINK("#'4.6.1.3-4 Direct N20'!A1", "4.6.1.3-4 Manure Direct N2O")</f>
        <v>4.6.1.3-4 Manure Direct N2O</v>
      </c>
      <c r="D28" s="15" t="str">
        <f>INDEX(X_Table_Poultry_Stage1MMS,5,1)</f>
        <v>Pasture range and paddock</v>
      </c>
      <c r="E28" s="15" cm="1">
        <f t="array" ref="E28">MMS_Poultry_Soil_LeachingAndRunoff_Equations.VEERG_4_6_1_14__2_MassOfNitrogenLostToLeachingAndRunoffFromPoultryManureOnPasture(E23,$I$14,$I$15)</f>
        <v>3.3987200000000009E-2</v>
      </c>
      <c r="F28" s="15" cm="1">
        <f t="array" ref="F28">MMS_Poultry_Soil_LeachingAndRunoff_Equations.VEERG_4_6_1_14__2_MassOfNitrogenLostToLeachingAndRunoffFromPoultryManureOnPasture(F23,$I$14,$I$15)</f>
        <v>3.6277440000000001E-2</v>
      </c>
      <c r="G28" s="15" cm="1">
        <f t="array" ref="G28">MMS_Poultry_Soil_LeachingAndRunoff_Equations.VEERG_4_6_1_14__2_MassOfNitrogenLostToLeachingAndRunoffFromPoultryManureOnPasture(G23,$I$14,$I$15)</f>
        <v>4.2584320000000002E-2</v>
      </c>
      <c r="H28" s="15" cm="1">
        <f t="array" ref="H28">MMS_Poultry_Soil_LeachingAndRunoff_Equations.VEERG_4_6_1_14__2_MassOfNitrogenLostToLeachingAndRunoffFromPoultryManureOnPasture(H23,$I$14,$I$15)</f>
        <v>3.6277440000000001E-2</v>
      </c>
      <c r="I28" s="16" t="str">
        <f>$E$11</f>
        <v>kg N</v>
      </c>
      <c r="J28" s="16"/>
      <c r="N28" s="15" t="str">
        <f>INDEX(X_Table_Poultry_Stage1MMS,5,1)</f>
        <v>Pasture range and paddock</v>
      </c>
      <c r="O28" s="15" cm="1">
        <f t="array" ref="O28">MMS_Poultry_Soil_LeachingAndRunoff_Equations.VEERG_4_6_1_14__2_MassOfNitrogenLostToLeachingAndRunoffFromPoultryManureOnPasture(O23,$I$14,$I$15)</f>
        <v>3.3987200000000009E-2</v>
      </c>
      <c r="P28" s="15" cm="1">
        <f t="array" ref="P28">MMS_Poultry_Soil_LeachingAndRunoff_Equations.VEERG_4_6_1_14__2_MassOfNitrogenLostToLeachingAndRunoffFromPoultryManureOnPasture(P23,$I$14,$I$15)</f>
        <v>3.6277440000000001E-2</v>
      </c>
      <c r="Q28" s="15" cm="1">
        <f t="array" ref="Q28">MMS_Poultry_Soil_LeachingAndRunoff_Equations.VEERG_4_6_1_14__2_MassOfNitrogenLostToLeachingAndRunoffFromPoultryManureOnPasture(Q23,$I$14,$I$15)</f>
        <v>4.2584320000000002E-2</v>
      </c>
      <c r="R28" s="15" cm="1">
        <f t="array" ref="R28">MMS_Poultry_Soil_LeachingAndRunoff_Equations.VEERG_4_6_1_14__2_MassOfNitrogenLostToLeachingAndRunoffFromPoultryManureOnPasture(R23,$I$14,$I$15)</f>
        <v>3.6277440000000001E-2</v>
      </c>
      <c r="S28" s="16" t="str">
        <f>$E$11</f>
        <v>kg N</v>
      </c>
      <c r="T28" s="16"/>
    </row>
    <row r="29" spans="1:20" ht="20.100000000000001" customHeight="1" x14ac:dyDescent="0.2">
      <c r="A29" s="5" t="str">
        <f>HYPERLINK("#'4.6.1.5-6 Atmos Dep'!A1", "4.6.1.5-6 Manure Atmos Dep")</f>
        <v>4.6.1.5-6 Manure Atmos Dep</v>
      </c>
    </row>
    <row r="30" spans="1:20" ht="20.100000000000001" customHeight="1" x14ac:dyDescent="0.2">
      <c r="A30" s="5" t="str">
        <f>HYPERLINK("#'4.6.1.7-8 Leaching and runoff'!A1", "4.6.1.7-8 Manure Leaching and runoff")</f>
        <v>4.6.1.7-8 Manure Leaching and runoff</v>
      </c>
      <c r="D30" s="88" t="s">
        <v>490</v>
      </c>
      <c r="E30" s="83">
        <f>SUM(E28:H28)</f>
        <v>0.14912640000000002</v>
      </c>
      <c r="F30" s="89" t="str">
        <f>$E$11</f>
        <v>kg N</v>
      </c>
      <c r="N30" s="88" t="s">
        <v>490</v>
      </c>
      <c r="O30" s="83">
        <f>SUM(O28:R28)</f>
        <v>0.14912640000000002</v>
      </c>
      <c r="P30" s="89" t="str">
        <f>$E$11</f>
        <v>kg N</v>
      </c>
    </row>
    <row r="31" spans="1:20" ht="20.100000000000001" customHeight="1" x14ac:dyDescent="0.2">
      <c r="A31" s="5" t="str">
        <f>HYPERLINK("#'4.6.1.9 Manure applied to soils'!A1", "4.6.1.9 Manure applied to soils")</f>
        <v>4.6.1.9 Manure applied to soils</v>
      </c>
    </row>
    <row r="32" spans="1:20" ht="20.100000000000001" customHeight="1" x14ac:dyDescent="0.2">
      <c r="A32" s="5" t="str">
        <f>HYPERLINK("#'4.6.1.10-11 Soil direct N2O'!A1", "4.6.1.10-11 Soil direct N2O")</f>
        <v>4.6.1.10-11 Soil direct N2O</v>
      </c>
    </row>
    <row r="33" spans="1:21" ht="20.100000000000001" customHeight="1" x14ac:dyDescent="0.2">
      <c r="A33" s="5" t="str">
        <f>HYPERLINK("#'4.6.1.12-13 Soil atmos dep'!A1", "4.6.1.12-13 Soil atmos dep")</f>
        <v>4.6.1.12-13 Soil atmos dep</v>
      </c>
      <c r="C33" s="121"/>
      <c r="D33" s="121"/>
      <c r="E33" s="121"/>
      <c r="F33" s="121"/>
      <c r="G33" s="121"/>
      <c r="H33" s="121"/>
      <c r="I33" s="121"/>
      <c r="J33" s="121"/>
      <c r="K33" s="121"/>
      <c r="M33" s="121"/>
      <c r="N33" s="121"/>
      <c r="O33" s="121"/>
      <c r="P33" s="121"/>
      <c r="Q33" s="121"/>
      <c r="R33" s="121"/>
      <c r="S33" s="121"/>
      <c r="T33" s="121"/>
      <c r="U33" s="121"/>
    </row>
    <row r="34" spans="1:21" ht="20.100000000000001" customHeight="1" x14ac:dyDescent="0.2">
      <c r="A34" s="117" t="str">
        <f>HYPERLINK("#'4.6.1.14-15 Soil leach runoff'!A1", "4.6.1.14-15 Soil leach runoff")</f>
        <v>4.6.1.14-15 Soil leach runoff</v>
      </c>
    </row>
    <row r="35" spans="1:21" ht="20.100000000000001" customHeight="1" x14ac:dyDescent="0.2">
      <c r="A35" s="5" t="str">
        <f>HYPERLINK("#'8.1.1.1-2 Transport fuel'!A1", "8.1.1.1-2 Transport fuel")</f>
        <v>8.1.1.1-2 Transport fuel</v>
      </c>
      <c r="D35" s="2" t="str" cm="1">
        <f t="array" ref="D35">MMS_Poultry_Soil_LeachingAndRunoff_Equations.VEERG_4_6_1_14__1_LeachingAndRunoffEmissionsFromPoultryManureOnPasture_Title()</f>
        <v>Leaching and runoff emissions from poultry manure deposited on pasture</v>
      </c>
    </row>
    <row r="36" spans="1:21" ht="20.100000000000001" customHeight="1" x14ac:dyDescent="0.2">
      <c r="A36" s="5" t="str">
        <f>HYPERLINK("#'8.2.1.1-2 Stationary fuel'!A1", "8.2.1.1-2 Stationary fuel")</f>
        <v>8.2.1.1-2 Stationary fuel</v>
      </c>
      <c r="D36" s="17" t="str" cm="1">
        <f t="array" ref="D36">MMS_Poultry_Soil_LeachingAndRunoff_Equations.VEERG_4_6_1_14__1_LeachingAndRunoffEmissionsFromPoultryManureOnPasture_Source()</f>
        <v>VEERG 2026: 4.6.1.14, Equation (1)</v>
      </c>
    </row>
    <row r="37" spans="1:21" ht="20.100000000000001" customHeight="1" x14ac:dyDescent="0.2">
      <c r="A37" s="5" t="str">
        <f>HYPERLINK("#'10.1.1-2 Solid waste treatment'!A1", "10.1.1.1-2 Solid waste")</f>
        <v>10.1.1.1-2 Solid waste</v>
      </c>
      <c r="D37" s="112" t="s">
        <v>328</v>
      </c>
      <c r="E37" s="112" t="str">
        <f ca="1">Common_InputFunctions.Utility_DisplayFunctionName(VEERG_4_6_1_14__1_LeachingAndRunoffEmissionsFromPoultryManureOnPasture_Result_Method1)</f>
        <v>=MMS_Poultry_Soil_LeachingAndRunoff_Equations.VEERG_4_6_1_14__1_LeachingAndRunoffEmissionsFromPoultryManureOnPasture</v>
      </c>
    </row>
    <row r="38" spans="1:21" ht="20.100000000000001" customHeight="1" x14ac:dyDescent="0.2">
      <c r="A38" s="5" t="str">
        <f>HYPERLINK("#'14.1.1-2 Purchased electricity'!A1", "14.1.1-2 Purchased electricity")</f>
        <v>14.1.1-2 Purchased electricity</v>
      </c>
    </row>
    <row r="39" spans="1:21" ht="20.100000000000001" customHeight="1" x14ac:dyDescent="0.2">
      <c r="A39" s="5" t="str">
        <f>HYPERLINK("#'15 Scope 3'!A1", "15 Scope 3")</f>
        <v>15 Scope 3</v>
      </c>
    </row>
    <row r="40" spans="1:21" ht="20.100000000000001" customHeight="1" x14ac:dyDescent="0.2">
      <c r="A40" s="5" t="str">
        <f>HYPERLINK("#'Calcs - Manure sent off-site'!A1", "Calcs - Manure sent off-site")</f>
        <v>Calcs - Manure sent off-site</v>
      </c>
      <c r="D40" s="75" t="s">
        <v>329</v>
      </c>
      <c r="E40" s="1" t="str" cm="1">
        <f t="array" ref="E40">MMS_Poultry_Soil_LeachingAndRunoff_Equations.VEERG_4_6_1_14__1_LeachingAndRunoffEmissionsFromPoultryManureOnPasture_Variable()</f>
        <v>E_N2Oleach</v>
      </c>
    </row>
    <row r="41" spans="1:21" ht="20.100000000000001" customHeight="1" x14ac:dyDescent="0.2">
      <c r="A41" s="5" t="str">
        <f>HYPERLINK("#'5.1.1.1-2 Inorganic fert N2O'!A1", "5.1.1.1-2 Inorganic fert N2O")</f>
        <v>5.1.1.1-2 Inorganic fert N2O</v>
      </c>
      <c r="D41" s="75" t="s">
        <v>118</v>
      </c>
      <c r="E41" s="9" t="str" cm="1">
        <f t="array" ref="E41">MMS_Poultry_Soil_LeachingAndRunoff_Equations.VEERG_4_6_1_14__1_LeachingAndRunoffEmissionsFromPoultryManureOnPasture_Unit()</f>
        <v>t N2O</v>
      </c>
    </row>
    <row r="42" spans="1:21" ht="20.100000000000001" customHeight="1" x14ac:dyDescent="0.2">
      <c r="A42" s="5" t="str">
        <f>HYPERLINK("#'5.1.1.3-4 Inorganic fert CO2'!A1", "5.1.1.3-4 Inorganic fert CO2")</f>
        <v>5.1.1.3-4 Inorganic fert CO2</v>
      </c>
    </row>
    <row r="43" spans="1:21" ht="20.100000000000001" customHeight="1" x14ac:dyDescent="0.2">
      <c r="A43" s="5" t="str">
        <f>HYPERLINK("#'5.2.1.1-2 Organic Fert N2O'!A1", "5.2.1.1-2 Organic Fert N2O")</f>
        <v>5.2.1.1-2 Organic Fert N2O</v>
      </c>
      <c r="D43" s="113" t="str" cm="1">
        <f t="array" ref="D43:E45">_xlfn.CHOOSECOLS(MMS_Poultry_Soil_LeachingAndRunoff_Equations.VEERG_4_6_1_14__1_LeachingAndRunoffEmissionsFromPoultryManureOnPasture_Arguments(),1,2)</f>
        <v>M_leach_m14</v>
      </c>
      <c r="E43" s="122" t="str">
        <v>mass of nitrogen lost to leaching and runoff from poultry manure deposited on pasture</v>
      </c>
      <c r="F43" s="136"/>
      <c r="G43" s="123"/>
      <c r="H43" s="113" t="str" cm="1">
        <f t="array" ref="H43:I45">_xlfn.CHOOSECOLS(MMS_Poultry_Soil_LeachingAndRunoff_Equations.VEERG_4_6_1_14__1_LeachingAndRunoffEmissionsFromPoultryManureOnPasture_Arguments(),3,4)</f>
        <v>kg N</v>
      </c>
      <c r="I43" s="115" t="str">
        <v>Calculated from 4.6.1.14 (2)</v>
      </c>
      <c r="J43" s="113">
        <f>E30</f>
        <v>0.14912640000000002</v>
      </c>
      <c r="N43" s="113" t="str" cm="1">
        <f t="array" ref="N43:O45">_xlfn.CHOOSECOLS(MMS_Poultry_Soil_LeachingAndRunoff_Equations.VEERG_4_6_1_14__1_LeachingAndRunoffEmissionsFromPoultryManureOnPasture_Arguments(),1,2)</f>
        <v>M_leach_m14</v>
      </c>
      <c r="O43" s="122" t="str">
        <v>mass of nitrogen lost to leaching and runoff from poultry manure deposited on pasture</v>
      </c>
      <c r="P43" s="136"/>
      <c r="Q43" s="123"/>
      <c r="R43" s="113" t="str" cm="1">
        <f t="array" ref="R43:S45">_xlfn.CHOOSECOLS(MMS_Poultry_Soil_LeachingAndRunoff_Equations.VEERG_4_6_1_14__1_LeachingAndRunoffEmissionsFromPoultryManureOnPasture_Arguments(),3,4)</f>
        <v>kg N</v>
      </c>
      <c r="S43" s="115" t="str">
        <v>Calculated from 4.6.1.14 (2)</v>
      </c>
      <c r="T43" s="126">
        <f>O30</f>
        <v>0.14912640000000002</v>
      </c>
    </row>
    <row r="44" spans="1:21" ht="20.100000000000001" customHeight="1" x14ac:dyDescent="0.2">
      <c r="A44" s="5" t="str">
        <f>HYPERLINK("#'5.3.1.1-2 Lime CO2'!A1", "5.3.1.1-2 Lime CO2")</f>
        <v>5.3.1.1-2 Lime CO2</v>
      </c>
      <c r="D44" s="113" t="str">
        <v>EF_leach</v>
      </c>
      <c r="E44" s="122" t="str">
        <v>emission factor for leaching and runoff (kg N2O-N/kg N)</v>
      </c>
      <c r="F44" s="136"/>
      <c r="G44" s="123"/>
      <c r="H44" s="113" t="str">
        <v>kg N2O-N/kg N</v>
      </c>
      <c r="I44" s="115" t="str">
        <v>Constant</v>
      </c>
      <c r="J44" s="113">
        <f>'Constants - Common'!$E$170</f>
        <v>1.0999999999999999E-2</v>
      </c>
      <c r="N44" s="113" t="str">
        <v>EF_leach</v>
      </c>
      <c r="O44" s="122" t="str">
        <v>emission factor for leaching and runoff (kg N2O-N/kg N)</v>
      </c>
      <c r="P44" s="136"/>
      <c r="Q44" s="123"/>
      <c r="R44" s="113" t="str">
        <v>kg N2O-N/kg N</v>
      </c>
      <c r="S44" s="115" t="str">
        <v>Constant</v>
      </c>
      <c r="T44" s="126"/>
    </row>
    <row r="45" spans="1:21" ht="20.100000000000001" customHeight="1" x14ac:dyDescent="0.2">
      <c r="A45" s="5" t="str">
        <f>HYPERLINK("#'5.4.1.1-4 Atmos deposition'!A1", "5.4.1.1-4 Atmos deposition")</f>
        <v>5.4.1.1-4 Atmos deposition</v>
      </c>
      <c r="D45" s="113" t="str">
        <v>C_N2O</v>
      </c>
      <c r="E45" s="122" t="str">
        <v>factor to convert elemental mass of N2O to molecular mass</v>
      </c>
      <c r="F45" s="136"/>
      <c r="G45" s="123"/>
      <c r="H45" s="113" t="str">
        <v>ratio</v>
      </c>
      <c r="I45" s="115" t="str">
        <v>Constant</v>
      </c>
      <c r="J45" s="113">
        <f>Common_InputFunctions.Utility_LookupValueInTableNumber("N2O",Table_GasToMolecularConversionFactor[Gas],Table_GasToMolecularConversionFactor[Conversion factor combined])</f>
        <v>1.5714285714285714</v>
      </c>
      <c r="N45" s="113" t="str">
        <v>C_N2O</v>
      </c>
      <c r="O45" s="122" t="str">
        <v>factor to convert elemental mass of N2O to molecular mass</v>
      </c>
      <c r="P45" s="136"/>
      <c r="Q45" s="123"/>
      <c r="R45" s="113" t="str">
        <v>ratio</v>
      </c>
      <c r="S45" s="115" t="str">
        <v>Constant</v>
      </c>
      <c r="T45" s="126"/>
    </row>
    <row r="46" spans="1:21" ht="20.100000000000001" customHeight="1" x14ac:dyDescent="0.2">
      <c r="A46" s="5" t="str">
        <f>HYPERLINK("#'5.5.1.1-2 Leaching and runoff'!A1", "5.5.1.1-2 Leaching and runoff")</f>
        <v>5.5.1.1-2 Leaching and runoff</v>
      </c>
    </row>
    <row r="47" spans="1:21" ht="20.100000000000001" customHeight="1" x14ac:dyDescent="0.2">
      <c r="D47" s="85" t="s">
        <v>435</v>
      </c>
      <c r="E47" s="86" cm="1">
        <f t="array" ref="E47">MMS_Poultry_Soil_LeachingAndRunoff_Equations.VEERG_4_6_1_14__1_LeachingAndRunoffEmissionsFromPoultryManureOnPasture(J43,$J$44,$J$45)</f>
        <v>2.5777563428571431E-6</v>
      </c>
      <c r="F47" s="95" t="str">
        <f>$E$41</f>
        <v>t N2O</v>
      </c>
      <c r="N47" s="85" t="s">
        <v>435</v>
      </c>
      <c r="O47" s="86" cm="1">
        <f t="array" ref="O47">MMS_Poultry_Soil_LeachingAndRunoff_Equations.VEERG_4_6_1_14__1_LeachingAndRunoffEmissionsFromPoultryManureOnPasture(T43,$J$44,$J$45)</f>
        <v>2.5777563428571431E-6</v>
      </c>
      <c r="P47" s="95" t="str">
        <f>$E$41</f>
        <v>t N2O</v>
      </c>
    </row>
    <row r="49" spans="1:17" ht="20.100000000000001" customHeight="1" x14ac:dyDescent="0.2">
      <c r="A49" s="80" t="s">
        <v>1</v>
      </c>
      <c r="D49" s="126" t="str" cm="1">
        <f t="array" ref="D49:E50">Common_Equations.Common_ConvertN2OToCO2e_Arguments()</f>
        <v>EN2O</v>
      </c>
      <c r="E49" s="129" t="str">
        <v>Nitrous oxide emissions (t N2O)</v>
      </c>
      <c r="F49" s="130"/>
      <c r="G49" s="15">
        <f>VEERG_4_6_1_14__1_LeachingAndRunoffEmissionsFromPoultryManureOnPasture_Result_Method1</f>
        <v>2.5777563428571431E-6</v>
      </c>
      <c r="N49" s="126" t="str" cm="1">
        <f t="array" ref="N49:O50">Common_Equations.Common_ConvertN2OToCO2e_Arguments()</f>
        <v>EN2O</v>
      </c>
      <c r="O49" s="129" t="str">
        <v>Nitrous oxide emissions (t N2O)</v>
      </c>
      <c r="P49" s="130"/>
      <c r="Q49" s="15">
        <f>VEERG_4_6_1_14__1_LeachingAndRunoffEmissionsFromPoultryManureOnPasture_Result_Method2</f>
        <v>2.5777563428571431E-6</v>
      </c>
    </row>
    <row r="50" spans="1:17" ht="20.100000000000001" customHeight="1" x14ac:dyDescent="0.2">
      <c r="A50" s="5" t="str">
        <f>HYPERLINK("#'Constants - Poultry'!A1", "Constants - Poultry")</f>
        <v>Constants - Poultry</v>
      </c>
      <c r="D50" s="126" t="str">
        <v>GWPN2O</v>
      </c>
      <c r="E50" s="129" t="str">
        <v>Global warming potential for nitrous oxide (t CO2-e / t N2O)</v>
      </c>
      <c r="F50" s="130"/>
      <c r="G50" s="15">
        <f>Common_InputFunctions.Utility_LookupValueInTableNumber("N2O", Table_GWPData[Gas],Table_GWPData[CO2-e factor])</f>
        <v>265</v>
      </c>
      <c r="N50" s="126" t="str">
        <v>GWPN2O</v>
      </c>
      <c r="O50" s="129" t="str">
        <v>Global warming potential for nitrous oxide (t CO2-e / t N2O)</v>
      </c>
      <c r="P50" s="130"/>
      <c r="Q50" s="15">
        <f>Common_InputFunctions.Utility_LookupValueInTableNumber("N2O", Table_GWPData[Gas],Table_GWPData[CO2-e factor])</f>
        <v>265</v>
      </c>
    </row>
    <row r="51" spans="1:17" ht="20.100000000000001" customHeight="1" x14ac:dyDescent="0.2">
      <c r="A51" s="5" t="str">
        <f>HYPERLINK("#'Constants - Common livestock'!A1", "Constants - Common Livestock")</f>
        <v>Constants - Common Livestock</v>
      </c>
    </row>
    <row r="52" spans="1:17" ht="20.100000000000001" customHeight="1" x14ac:dyDescent="0.2">
      <c r="A52" s="5" t="str">
        <f>HYPERLINK("#'Constants - Electricity'!A1", "Constants - Electricity")</f>
        <v>Constants - Electricity</v>
      </c>
      <c r="D52" s="83" t="s">
        <v>377</v>
      </c>
      <c r="E52" s="83" cm="1">
        <f t="array" ref="E52">Common_Equations.Common_ConvertN2OToCO2e(G49,G50)</f>
        <v>6.8310543085714286E-4</v>
      </c>
      <c r="F52" s="89" t="str" cm="1">
        <f t="array" ref="F52">Common_Equations.Common_ConvertN2OToCO2e_Unit()</f>
        <v>t CO2e</v>
      </c>
      <c r="N52" s="83" t="s">
        <v>377</v>
      </c>
      <c r="O52" s="83" cm="1">
        <f t="array" ref="O52">Common_Equations.Common_ConvertN2OToCO2e(Q49,Q50)</f>
        <v>6.8310543085714286E-4</v>
      </c>
      <c r="P52" s="89" t="str" cm="1">
        <f t="array" ref="P52">Common_Equations.Common_ConvertN2OToCO2e_Unit()</f>
        <v>t CO2e</v>
      </c>
    </row>
    <row r="53" spans="1:17" ht="20.100000000000001" customHeight="1" x14ac:dyDescent="0.2">
      <c r="A53" s="5" t="str">
        <f>HYPERLINK("#'Constants - Fertiliser'!A1", "Constants - Fertiliser")</f>
        <v>Constants - Fertiliser</v>
      </c>
    </row>
    <row r="54" spans="1:17" ht="20.100000000000001" customHeight="1" x14ac:dyDescent="0.2">
      <c r="A54" s="5" t="str">
        <f>HYPERLINK("#'Constants - Fuel'!A1", "Constants - Fuel")</f>
        <v>Constants - Fuel</v>
      </c>
    </row>
    <row r="55" spans="1:17" ht="20.100000000000001" customHeight="1" x14ac:dyDescent="0.2">
      <c r="A55" s="5" t="str">
        <f>HYPERLINK("#'Constants - Scope 3'!A1", "Constants - Scope 3")</f>
        <v>Constants - Scope 3</v>
      </c>
    </row>
    <row r="56" spans="1:17" ht="20.100000000000001" customHeight="1" x14ac:dyDescent="0.2">
      <c r="A56" s="5" t="str">
        <f>HYPERLINK("#'Constants - Solid Waste'!A1", "Constants - Solid Waste")</f>
        <v>Constants - Solid Waste</v>
      </c>
    </row>
    <row r="57" spans="1:17"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4D1C7B-18E5-4F43-8C6F-BDD7C9A080BF}">
  <sheetPr>
    <tabColor rgb="FF008000"/>
  </sheetPr>
  <dimension ref="A1:R34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20" customFormat="1" ht="30" customHeight="1" x14ac:dyDescent="0.35">
      <c r="A1" s="10" t="e" vm="1">
        <v>#VALUE!</v>
      </c>
      <c r="C1" s="20" t="s">
        <v>607</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Fuel_Equations.VEERG_8_1_1_1__1_FuelCombustionTransport_Title()</f>
        <v>Emissions for each GHG from the combustion of fuels for transport energy purposes</v>
      </c>
      <c r="K5" s="2" t="str" cm="1">
        <f t="array" ref="K5">Scope3_Equations.VEERG_15_11_1_1__2_UpstreamTransportFuelEmissions_Title()</f>
        <v>Upstream emissions from scope 1 fuel use for transport purposes</v>
      </c>
      <c r="O5" s="154"/>
      <c r="P5" s="154"/>
      <c r="Q5" s="154"/>
    </row>
    <row r="6" spans="1:18" ht="20.100000000000001" customHeight="1" x14ac:dyDescent="0.2">
      <c r="D6" s="17" t="str" cm="1">
        <f t="array" ref="D6">Fuel_Equations.VEERG_8_1_1_1__1_FuelCombustionTransport_Source()</f>
        <v>VEERG 2026: 8.1.1.1, Equation (1)</v>
      </c>
      <c r="K6" s="17" t="str" cm="1">
        <f t="array" ref="K6">Scope3_Equations.VEERG_15_11_1_1__2_UpstreamTransportFuelEmissions_Source()</f>
        <v>VEERG 2026: 15.11.1.1, Equation (2)</v>
      </c>
      <c r="O6" s="154"/>
      <c r="P6" s="154"/>
      <c r="Q6" s="154"/>
    </row>
    <row r="7" spans="1:18" ht="20.100000000000001" customHeight="1" x14ac:dyDescent="0.2">
      <c r="D7" s="112" t="s">
        <v>328</v>
      </c>
      <c r="E7" s="112" t="str" cm="1">
        <f t="array" aca="1" ref="E7" ca="1">Common_InputFunctions.Utility_DisplayFunctionName(N25)</f>
        <v>=Fuel_Equations.VEERG_8_1_1_1__1_FuelCombustionTransport</v>
      </c>
      <c r="K7" s="112" t="s">
        <v>328</v>
      </c>
      <c r="L7" s="112" t="str" cm="1">
        <f t="array" aca="1" ref="L7" ca="1">Common_InputFunctions.Utility_DisplayFunctionName(Q25)</f>
        <v>=Scope3_Equations.VEERG_15_11_1_1__2_UpstreamTransportFuelEmissions</v>
      </c>
      <c r="O7" s="154"/>
      <c r="P7" s="154"/>
      <c r="Q7" s="154"/>
    </row>
    <row r="8" spans="1:18" ht="20.100000000000001" customHeight="1" x14ac:dyDescent="0.2">
      <c r="A8" s="7" t="s">
        <v>0</v>
      </c>
      <c r="E8" s="112"/>
      <c r="L8" s="112"/>
      <c r="O8" s="154"/>
      <c r="P8" s="154"/>
      <c r="Q8" s="154"/>
    </row>
    <row r="9" spans="1:18" ht="20.100000000000001" customHeight="1" x14ac:dyDescent="0.2">
      <c r="A9" s="5" t="str">
        <f>HYPERLINK("#'Input - Enterprise'!A1", "Enterprise")</f>
        <v>Enterprise</v>
      </c>
      <c r="G9" s="17"/>
      <c r="O9" s="154"/>
      <c r="P9" s="154"/>
      <c r="Q9" s="154"/>
    </row>
    <row r="10" spans="1:18" ht="20.100000000000001" customHeight="1" x14ac:dyDescent="0.2">
      <c r="A10" s="5" t="str">
        <f>HYPERLINK("#'Input - Site'!A1", "Site")</f>
        <v>Site</v>
      </c>
      <c r="O10" s="154"/>
      <c r="P10" s="154"/>
      <c r="Q10" s="154"/>
    </row>
    <row r="11" spans="1:18" ht="20.100000000000001" customHeight="1" x14ac:dyDescent="0.2">
      <c r="A11" s="5" t="str">
        <f>HYPERLINK("#'Input - Poultry'!A1", "Poultry")</f>
        <v>Poultry</v>
      </c>
      <c r="D11" s="75" t="s">
        <v>329</v>
      </c>
      <c r="E11" s="1" t="str" cm="1">
        <f t="array" ref="E11">Fuel_Equations.VEERG_8_1_1_1__1_FuelCombustionTransport_Variable()</f>
        <v>E_g</v>
      </c>
      <c r="K11" s="75" t="s">
        <v>329</v>
      </c>
      <c r="L11" s="1" t="str" cm="1">
        <f t="array" ref="L11">Scope3_Equations.VEERG_15_11_1_1__2_UpstreamTransportFuelEmissions_Variable()</f>
        <v>E_WTTtransq</v>
      </c>
      <c r="O11" s="154"/>
      <c r="P11" s="154"/>
      <c r="Q11" s="154"/>
    </row>
    <row r="12" spans="1:18" ht="20.100000000000001" customHeight="1" x14ac:dyDescent="0.2">
      <c r="A12" s="5" t="str">
        <f>HYPERLINK("#'Input - Livestock sales'!A1", "Livestock sales")</f>
        <v>Livestock sales</v>
      </c>
      <c r="D12" s="75" t="s">
        <v>118</v>
      </c>
      <c r="E12" s="9" t="str" cm="1">
        <f t="array" ref="E12">Fuel_Equations.VEERG_8_1_1_1__1_FuelCombustionTransport_Unit()</f>
        <v>t CO2-e</v>
      </c>
      <c r="K12" s="75" t="s">
        <v>118</v>
      </c>
      <c r="L12" s="9" t="str" cm="1">
        <f t="array" ref="L12">Scope3_Equations.VEERG_15_11_1_1__2_UpstreamTransportFuelEmissions_Unit()</f>
        <v>t CO2e</v>
      </c>
    </row>
    <row r="13" spans="1:18" ht="20.100000000000001" customHeight="1" x14ac:dyDescent="0.2">
      <c r="A13" s="5" t="str">
        <f>HYPERLINK("#'Input - Poultry purchases'!A1", "Poultry purchases")</f>
        <v>Poultry purchases</v>
      </c>
    </row>
    <row r="14" spans="1:18" ht="20.100000000000001" customHeight="1" x14ac:dyDescent="0.2">
      <c r="A14" s="5" t="str">
        <f>HYPERLINK("#'Input - Fuel'!A1", "Fuel")</f>
        <v>Fuel</v>
      </c>
      <c r="D14" s="113" t="str" cm="1">
        <f t="array" ref="D14:E20">_xlfn.CHOOSECOLS(Fuel_Equations.VEERG_8_1_1_1__1_FuelCombustionTransport_Arguments(), 1,2)</f>
        <v>Q_Transtq</v>
      </c>
      <c r="E14" s="122" t="str">
        <v>Amount of fuel type q combusted for transport energy purposes</v>
      </c>
      <c r="F14" s="123"/>
      <c r="G14" s="113" t="str" cm="1">
        <f t="array" ref="G14:H20">_xlfn.CHOOSECOLS(Fuel_Equations.VEERG_8_1_1_1__1_FuelCombustionTransport_Arguments(), 3,4)</f>
        <v>Varies based on fuel type: kL, m3, GJ</v>
      </c>
      <c r="H14" s="114" t="str">
        <v>Input</v>
      </c>
      <c r="I14" s="116" t="str" cm="1">
        <f t="array" aca="1" ref="I14" ca="1">HYPERLINK(Common_InputFunctions.Utility_SourceHyperlink($D$22), $D$22)</f>
        <v>Table_E_g</v>
      </c>
      <c r="K14" s="113" t="str" cm="1">
        <f t="array" ref="K14:L16">_xlfn.CHOOSECOLS(Scope3_Equations.VEERG_15_11_1_1__2_UpstreamTransportFuelEmissions_Arguments(),1,2)</f>
        <v>Q_Transq</v>
      </c>
      <c r="L14" s="113" t="str">
        <v>amount of fuel q combusted for transport energy purposes</v>
      </c>
      <c r="M14" s="113"/>
      <c r="N14" s="113" t="str" cm="1">
        <f t="array" ref="N14:O16">_xlfn.CHOOSECOLS(Scope3_Equations.VEERG_15_11_1_1__2_UpstreamTransportFuelEmissions_Arguments(),3,4)</f>
        <v>kL</v>
      </c>
      <c r="O14" s="114" t="str">
        <v>Input</v>
      </c>
      <c r="P14" s="116" t="str" cm="1">
        <f t="array" aca="1" ref="P14" ca="1">HYPERLINK(Common_InputFunctions.Utility_SourceHyperlink($D$22), $D$22)</f>
        <v>Table_E_g</v>
      </c>
      <c r="Q14" s="154"/>
    </row>
    <row r="15" spans="1:18" ht="20.100000000000001" customHeight="1" x14ac:dyDescent="0.2">
      <c r="A15" s="5" t="str">
        <f>HYPERLINK("#'Input - Electricity'!A1", "Electricity")</f>
        <v>Electricity</v>
      </c>
      <c r="D15" s="113" t="str">
        <v>EC_Transq</v>
      </c>
      <c r="E15" s="122" t="str">
        <v>Energy content factor for transport energy purposes</v>
      </c>
      <c r="F15" s="123"/>
      <c r="G15" s="113" t="str">
        <v>GJ / unit of fuel</v>
      </c>
      <c r="H15" s="115" t="str">
        <v>Constant</v>
      </c>
      <c r="I15" s="116" t="str" cm="1">
        <f t="array" aca="1" ref="I15" ca="1">HYPERLINK(Common_InputFunctions.Utility_SourceHyperlink($D$22), $D$22)</f>
        <v>Table_E_g</v>
      </c>
      <c r="K15" s="113" t="str">
        <v>EC_Transq</v>
      </c>
      <c r="L15" s="113" t="str">
        <v>energy content factor for transport energy purposes</v>
      </c>
      <c r="M15" s="113"/>
      <c r="N15" s="113" t="str">
        <v>GJ/kL or GJ/m3</v>
      </c>
      <c r="O15" s="115" t="str">
        <v>Constant</v>
      </c>
      <c r="P15" s="116" t="str" cm="1">
        <f t="array" aca="1" ref="P15" ca="1">HYPERLINK(Common_InputFunctions.Utility_SourceHyperlink($D$22), $D$22)</f>
        <v>Table_E_g</v>
      </c>
      <c r="Q15" s="154"/>
    </row>
    <row r="16" spans="1:18" ht="20.100000000000001" customHeight="1" x14ac:dyDescent="0.2">
      <c r="A16" s="5" t="str">
        <f>HYPERLINK("#'Input - Common farm inputs'!A1", "Common farm inputs")</f>
        <v>Common farm inputs</v>
      </c>
      <c r="D16" s="113" t="str">
        <v>EF_Trans1tqg</v>
      </c>
      <c r="E16" s="122" t="str">
        <v>Scope 1 emission factor for transport energy purposes for each greenhouse gas</v>
      </c>
      <c r="F16" s="123"/>
      <c r="G16" s="113" t="str">
        <v>kg CO2e / GJ</v>
      </c>
      <c r="H16" s="115" t="str">
        <v>Constant</v>
      </c>
      <c r="I16" s="116" t="str" cm="1">
        <f t="array" aca="1" ref="I16" ca="1">HYPERLINK(Common_InputFunctions.Utility_SourceHyperlink($D$22), $D$22)</f>
        <v>Table_E_g</v>
      </c>
      <c r="K16" s="113" t="str">
        <v>EF_Trans3q</v>
      </c>
      <c r="L16" s="113" t="str">
        <v>scope 3 emission factor for transport energy purposes</v>
      </c>
      <c r="M16" s="113"/>
      <c r="N16" s="113" t="str">
        <v>kg CO2e/GJ</v>
      </c>
      <c r="O16" s="115" t="str">
        <v>Constant</v>
      </c>
      <c r="P16" s="116" t="str" cm="1">
        <f t="array" aca="1" ref="P16" ca="1">HYPERLINK(Common_InputFunctions.Utility_SourceHyperlink($D$22), $D$22)</f>
        <v>Table_E_g</v>
      </c>
      <c r="Q16" s="154"/>
    </row>
    <row r="17" spans="1:17" ht="20.100000000000001" customHeight="1" x14ac:dyDescent="0.2">
      <c r="A17" s="5" t="str">
        <f>HYPERLINK("#'Input - Livestock farm Inputs'!A1", "Livestock farm Inputs")</f>
        <v>Livestock farm Inputs</v>
      </c>
      <c r="D17" s="113" t="str">
        <v>q</v>
      </c>
      <c r="E17" s="122" t="str">
        <v>Fuel type</v>
      </c>
      <c r="F17" s="123"/>
      <c r="G17" s="113" t="str">
        <v/>
      </c>
      <c r="H17" s="115" t="str">
        <v>Constant</v>
      </c>
      <c r="I17" s="116"/>
      <c r="J17" s="154"/>
      <c r="P17" s="154"/>
      <c r="Q17" s="154"/>
    </row>
    <row r="18" spans="1:17" ht="20.100000000000001" customHeight="1" x14ac:dyDescent="0.2">
      <c r="A18" s="5" t="str">
        <f>HYPERLINK("#'Input - Freight'!A1", "Freight")</f>
        <v>Freight</v>
      </c>
      <c r="D18" s="113" t="str">
        <v>Trans</v>
      </c>
      <c r="E18" s="122" t="str">
        <v>Transport combustion</v>
      </c>
      <c r="F18" s="123"/>
      <c r="G18" s="113" t="str">
        <v/>
      </c>
      <c r="H18" s="115" t="str">
        <v>Constant</v>
      </c>
      <c r="I18" s="116"/>
      <c r="J18" s="154"/>
      <c r="L18" s="154"/>
      <c r="M18" s="154"/>
      <c r="N18" s="154"/>
      <c r="O18" s="154"/>
      <c r="P18" s="154"/>
      <c r="Q18" s="154"/>
    </row>
    <row r="19" spans="1:17" ht="20.100000000000001" customHeight="1" x14ac:dyDescent="0.2">
      <c r="A19" s="5" t="str">
        <f>HYPERLINK("#'Input - Solid waste'!A1", "Solid waste")</f>
        <v>Solid waste</v>
      </c>
      <c r="D19" s="113" t="str">
        <v>g</v>
      </c>
      <c r="E19" s="122" t="str">
        <v>Greenhouse gas</v>
      </c>
      <c r="F19" s="123"/>
      <c r="G19" s="113" t="str">
        <v/>
      </c>
      <c r="H19" s="115" t="str">
        <v>Constant</v>
      </c>
      <c r="I19" s="116"/>
      <c r="J19" s="154"/>
      <c r="L19" s="154"/>
      <c r="M19" s="154"/>
      <c r="N19" s="154"/>
      <c r="O19" s="154"/>
      <c r="P19" s="154"/>
      <c r="Q19" s="154"/>
    </row>
    <row r="20" spans="1:17" ht="20.100000000000001" customHeight="1" x14ac:dyDescent="0.2">
      <c r="A20" s="5" t="str">
        <f>HYPERLINK("#'Input - Manure sent off-site'!A1", "Manure sent off-site")</f>
        <v>Manure sent off-site</v>
      </c>
      <c r="D20" s="113" t="str">
        <v>1</v>
      </c>
      <c r="E20" s="122" t="str">
        <v>Scope 1</v>
      </c>
      <c r="F20" s="123"/>
      <c r="G20" s="113" t="str">
        <v/>
      </c>
      <c r="H20" s="115" t="str">
        <v>Constant</v>
      </c>
      <c r="I20" s="116"/>
      <c r="J20" s="154"/>
      <c r="L20" s="154"/>
      <c r="M20" s="154"/>
      <c r="N20" s="154"/>
      <c r="O20" s="154"/>
      <c r="P20" s="154"/>
      <c r="Q20" s="154"/>
    </row>
    <row r="21" spans="1:17" ht="20.100000000000001" customHeight="1" x14ac:dyDescent="0.2">
      <c r="A21" s="5" t="str">
        <f>HYPERLINK("#'Input - Data quality'!A1", "Data quality")</f>
        <v>Data quality</v>
      </c>
      <c r="O21" s="154"/>
      <c r="P21" s="154"/>
      <c r="Q21" s="154"/>
    </row>
    <row r="22" spans="1:17" ht="20.100000000000001" customHeight="1" x14ac:dyDescent="0.2">
      <c r="A22" s="5" t="str">
        <f>HYPERLINK("#'Input - Fert Prod System'!A1", "Fert Prod System")</f>
        <v>Fert Prod System</v>
      </c>
      <c r="D22" s="118" t="s">
        <v>608</v>
      </c>
    </row>
    <row r="23" spans="1:17" ht="20.100000000000001" customHeight="1" x14ac:dyDescent="0.2">
      <c r="A23" s="5" t="str">
        <f>HYPERLINK("#'Input - Fertiliser'!A1", "Fertiliser")</f>
        <v>Fertiliser</v>
      </c>
      <c r="D23" s="119" t="s">
        <v>609</v>
      </c>
    </row>
    <row r="24" spans="1:17" ht="20.100000000000001" customHeight="1" x14ac:dyDescent="0.2">
      <c r="D24" s="120" t="s">
        <v>610</v>
      </c>
      <c r="E24" s="120" t="s">
        <v>611</v>
      </c>
      <c r="F24" s="120" t="s">
        <v>612</v>
      </c>
      <c r="G24" s="120" t="s">
        <v>613</v>
      </c>
      <c r="H24" s="120" t="s">
        <v>614</v>
      </c>
      <c r="I24" s="120" t="s">
        <v>615</v>
      </c>
      <c r="J24" s="120" t="s">
        <v>616</v>
      </c>
      <c r="K24" s="120" t="s">
        <v>617</v>
      </c>
      <c r="L24" s="78" t="s">
        <v>618</v>
      </c>
      <c r="M24" s="120" t="s">
        <v>619</v>
      </c>
      <c r="N24" s="120" t="s">
        <v>620</v>
      </c>
      <c r="O24" s="120" t="s">
        <v>621</v>
      </c>
      <c r="P24" s="120" t="s">
        <v>622</v>
      </c>
      <c r="Q24" s="120" t="s">
        <v>623</v>
      </c>
    </row>
    <row r="25" spans="1:17" ht="20.100000000000001" customHeight="1" x14ac:dyDescent="0.2">
      <c r="D25" s="24" t="str">
        <f>Table_FuelTypesPerUse[[#Headers],[Cars and light commercial vehicles]]</f>
        <v>Cars and light commercial vehicles</v>
      </c>
      <c r="E25" s="155" t="str">
        <f>'Constants - Fuel'!$E$10</f>
        <v>Gasoline</v>
      </c>
      <c r="F25" s="155" t="str">
        <f>'Constants - Fuel'!G131</f>
        <v>Petrol</v>
      </c>
      <c r="G25" s="15" cm="1">
        <f t="array" ref="G25">IFERROR(_xlfn.XLOOKUP(1, (Table_Fuel_EFs_Transport[Fuel combusted]=$E25)*(Table_Fuel_EFs_Transport[Transport type]=$D$25), Table_Fuel_EFs_Transport[Energy Content Factor (GJ per unit of fuel)]), 0)</f>
        <v>34.200000000000003</v>
      </c>
      <c r="H25" s="15" cm="1">
        <f t="array" ref="H25">IFERROR(_xlfn.XLOOKUP(1, (Table_Fuel_EFs_Transport[Fuel combusted]=$E25)*(Table_Fuel_EFs_Transport[Transport type]=$D$25), Table_Fuel_EFs_Transport[Scope 1 Emission Factor (kg CO2 - e / GJ) CO2]), 0)</f>
        <v>67.400000000000006</v>
      </c>
      <c r="I25" s="15" cm="1">
        <f t="array" ref="I25">IFERROR(_xlfn.XLOOKUP(1, (Table_Fuel_EFs_Transport[Fuel combusted]=$E25)*(Table_Fuel_EFs_Transport[Transport type]=$D$25), Table_Fuel_EFs_Transport[Scope 1 Emission Factor (kg CO2 - e / GJ) CH4]), 0)</f>
        <v>0.02</v>
      </c>
      <c r="J25" s="15" cm="1">
        <f t="array" ref="J25">IFERROR(_xlfn.XLOOKUP(1, (Table_Fuel_EFs_Transport[Fuel combusted]=$E25)*(Table_Fuel_EFs_Transport[Transport type]=$D$25), Table_Fuel_EFs_Transport[Scope 1 Emission Factor (kg CO2 - e / GJ) N2O]), 0)</f>
        <v>0.2</v>
      </c>
      <c r="K25" s="15" cm="1">
        <f t="array" ref="K25">IFERROR(_xlfn.XLOOKUP(1, (Table_Fuel_EFs_Transport[Fuel combusted]=$E25)*(Table_Fuel_EFs_Transport[Transport type]=$D$25), Table_Fuel_EFs_Transport[Scope 3 Emission Factor (kg CO2 - e / GJ)]), 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57" cm="1">
        <f t="array" ref="N25">Fuel_Equations.VEERG_8_1_1_1__1_FuelCombustionTransport($L25,$G25,$H25)</f>
        <v>0</v>
      </c>
      <c r="O25" s="157" cm="1">
        <f t="array" ref="O25">Fuel_Equations.VEERG_8_1_1_1__1_FuelCombustionTransport($L25,$G25,$I25)</f>
        <v>0</v>
      </c>
      <c r="P25" s="157" cm="1">
        <f t="array" ref="P25">Fuel_Equations.VEERG_8_1_1_1__1_FuelCombustionTransport($L25,$G25,$J25)</f>
        <v>0</v>
      </c>
      <c r="Q25" s="157" cm="1">
        <f t="array" ref="Q25">Scope3_Equations.VEERG_15_11_1_1__2_UpstreamTransportFuelEmissions(L25,G25,K25)</f>
        <v>0</v>
      </c>
    </row>
    <row r="26" spans="1:17" ht="20.100000000000001" customHeight="1" x14ac:dyDescent="0.2">
      <c r="A26" s="6" t="s">
        <v>2</v>
      </c>
      <c r="D26" s="158" t="str">
        <f t="shared" ref="D26:D32" si="0">$D$25</f>
        <v>Cars and light commercial vehicles</v>
      </c>
      <c r="E26" s="155" t="str">
        <f>'Constants - Fuel'!$E$11</f>
        <v>Diesel oil</v>
      </c>
      <c r="F26" s="155" t="str">
        <f>'Constants - Fuel'!G132</f>
        <v>Diesel</v>
      </c>
      <c r="G26" s="15" cm="1">
        <f t="array" ref="G26">IFERROR(_xlfn.XLOOKUP(1, (Table_Fuel_EFs_Transport[Fuel combusted]=$E26)*(Table_Fuel_EFs_Transport[Transport type]=$D$25), Table_Fuel_EFs_Transport[Energy Content Factor (GJ per unit of fuel)]), 0)</f>
        <v>38.6</v>
      </c>
      <c r="H26" s="15" cm="1">
        <f t="array" ref="H26">IFERROR(_xlfn.XLOOKUP(1, (Table_Fuel_EFs_Transport[Fuel combusted]=$E26)*(Table_Fuel_EFs_Transport[Transport type]=$D$25), Table_Fuel_EFs_Transport[Scope 1 Emission Factor (kg CO2 - e / GJ) CO2]), 0)</f>
        <v>69.900000000000006</v>
      </c>
      <c r="I26" s="15" cm="1">
        <f t="array" ref="I26">IFERROR(_xlfn.XLOOKUP(1, (Table_Fuel_EFs_Transport[Fuel combusted]=$E26)*(Table_Fuel_EFs_Transport[Transport type]=$D$25), Table_Fuel_EFs_Transport[Scope 1 Emission Factor (kg CO2 - e / GJ) CH4]), 0)</f>
        <v>0.01</v>
      </c>
      <c r="J26" s="15" cm="1">
        <f t="array" ref="J26">IFERROR(_xlfn.XLOOKUP(1, (Table_Fuel_EFs_Transport[Fuel combusted]=$E26)*(Table_Fuel_EFs_Transport[Transport type]=$D$25), Table_Fuel_EFs_Transport[Scope 1 Emission Factor (kg CO2 - e / GJ) N2O]), 0)</f>
        <v>0.5</v>
      </c>
      <c r="K26" s="15" cm="1">
        <f t="array" ref="K26">IFERROR(_xlfn.XLOOKUP(1, (Table_Fuel_EFs_Transport[Fuel combusted]=$E26)*(Table_Fuel_EFs_Transport[Transport type]=$D$25), Table_Fuel_EFs_Transport[Scope 3 Emission Factor (kg CO2 - e / GJ)]), 0)</f>
        <v>17.3</v>
      </c>
      <c r="L26" s="156" cm="1">
        <f t="array" ref="L26">Fuel_InputFunctions.Fuel_TotalConsumption(Table_Input_Fuel[Amount consumed], Table_Input_Fuel[Fuel use (select)], D26, Table_Input_Fuel[Fuel type (select)],F26)</f>
        <v>10</v>
      </c>
      <c r="M26" s="156" t="str" cm="1">
        <f t="array" ref="M26">Common_InputFunctions.Utility_LookupValueInTable(F26,Table_FuelTypes_Units[Fuel type],Table_FuelTypes_Units[Unit])</f>
        <v>kL</v>
      </c>
      <c r="N26" s="157" cm="1">
        <f t="array" ref="N26">Fuel_Equations.VEERG_8_1_1_1__1_FuelCombustionTransport($L26,$G26,$H26)</f>
        <v>26.981400000000001</v>
      </c>
      <c r="O26" s="157" cm="1">
        <f t="array" ref="O26">Fuel_Equations.VEERG_8_1_1_1__1_FuelCombustionTransport($L26,$G26,$I26)</f>
        <v>3.8600000000000001E-3</v>
      </c>
      <c r="P26" s="157" cm="1">
        <f t="array" ref="P26">Fuel_Equations.VEERG_8_1_1_1__1_FuelCombustionTransport($L26,$G26,$J26)</f>
        <v>0.193</v>
      </c>
      <c r="Q26" s="157" cm="1">
        <f t="array" ref="Q26">Scope3_Equations.VEERG_15_11_1_1__2_UpstreamTransportFuelEmissions(L26,G26,K26)</f>
        <v>6.6778000000000004</v>
      </c>
    </row>
    <row r="27" spans="1:17" ht="20.100000000000001" customHeight="1" x14ac:dyDescent="0.2">
      <c r="A27" s="5" t="str">
        <f>HYPERLINK("#'4.6.1.1-2 Methane'!A1", "4.6.1.1-2 Manure Methane")</f>
        <v>4.6.1.1-2 Manure Methane</v>
      </c>
      <c r="D27" s="158" t="str">
        <f t="shared" si="0"/>
        <v>Cars and light commercial vehicles</v>
      </c>
      <c r="E27" s="155" t="str">
        <f>'Constants - Fuel'!$E$12</f>
        <v>Liquefied petroleum gas (LPG)</v>
      </c>
      <c r="F27" s="155" t="str">
        <f>'Constants - Fuel'!G133</f>
        <v>Liquefied petroleum gas (LPG)</v>
      </c>
      <c r="G27" s="15" cm="1">
        <f t="array" ref="G27">IFERROR(_xlfn.XLOOKUP(1, (Table_Fuel_EFs_Transport[Fuel combusted]=$E27)*(Table_Fuel_EFs_Transport[Transport type]=$D$25), Table_Fuel_EFs_Transport[Energy Content Factor (GJ per unit of fuel)]), 0)</f>
        <v>26.2</v>
      </c>
      <c r="H27" s="15" cm="1">
        <f t="array" ref="H27">IFERROR(_xlfn.XLOOKUP(1, (Table_Fuel_EFs_Transport[Fuel combusted]=$E27)*(Table_Fuel_EFs_Transport[Transport type]=$D$25), Table_Fuel_EFs_Transport[Scope 1 Emission Factor (kg CO2 - e / GJ) CO2]), 0)</f>
        <v>60.2</v>
      </c>
      <c r="I27" s="15" cm="1">
        <f t="array" ref="I27">IFERROR(_xlfn.XLOOKUP(1, (Table_Fuel_EFs_Transport[Fuel combusted]=$E27)*(Table_Fuel_EFs_Transport[Transport type]=$D$25), Table_Fuel_EFs_Transport[Scope 1 Emission Factor (kg CO2 - e / GJ) CH4]), 0)</f>
        <v>0.5</v>
      </c>
      <c r="J27" s="15" cm="1">
        <f t="array" ref="J27">IFERROR(_xlfn.XLOOKUP(1, (Table_Fuel_EFs_Transport[Fuel combusted]=$E27)*(Table_Fuel_EFs_Transport[Transport type]=$D$25), Table_Fuel_EFs_Transport[Scope 1 Emission Factor (kg CO2 - e / GJ) N2O]), 0)</f>
        <v>0.3</v>
      </c>
      <c r="K27" s="15" cm="1">
        <f t="array" ref="K27">IFERROR(_xlfn.XLOOKUP(1, (Table_Fuel_EFs_Transport[Fuel combusted]=$E27)*(Table_Fuel_EFs_Transport[Transport type]=$D$25), Table_Fuel_EFs_Transport[Scope 3 Emission Factor (kg CO2 - e / GJ)]), 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57" cm="1">
        <f t="array" ref="N27">Fuel_Equations.VEERG_8_1_1_1__1_FuelCombustionTransport($L27,$G27,$H27)</f>
        <v>0</v>
      </c>
      <c r="O27" s="157" cm="1">
        <f t="array" ref="O27">Fuel_Equations.VEERG_8_1_1_1__1_FuelCombustionTransport($L27,$G27,$I27)</f>
        <v>0</v>
      </c>
      <c r="P27" s="157" cm="1">
        <f t="array" ref="P27">Fuel_Equations.VEERG_8_1_1_1__1_FuelCombustionTransport($L27,$G27,$J27)</f>
        <v>0</v>
      </c>
      <c r="Q27" s="157" cm="1">
        <f t="array" ref="Q27">Scope3_Equations.VEERG_15_11_1_1__2_UpstreamTransportFuelEmissions(L27,G27,K27)</f>
        <v>0</v>
      </c>
    </row>
    <row r="28" spans="1:17" ht="20.100000000000001" customHeight="1" x14ac:dyDescent="0.2">
      <c r="A28" s="5" t="str">
        <f>HYPERLINK("#'4.6.1.3-4 Direct N20'!A1", "4.6.1.3-4 Manure Direct N2O")</f>
        <v>4.6.1.3-4 Manure Direct N2O</v>
      </c>
      <c r="D28" s="158" t="str">
        <f t="shared" si="0"/>
        <v>Cars and light commercial vehicles</v>
      </c>
      <c r="E28" s="155" t="str">
        <f>'Constants - Fuel'!$E$13</f>
        <v>Fuel oil</v>
      </c>
      <c r="F28" s="155" t="str">
        <f>'Constants - Fuel'!G134</f>
        <v>Fuel oil</v>
      </c>
      <c r="G28" s="15" cm="1">
        <f t="array" ref="G28">IFERROR(_xlfn.XLOOKUP(1, (Table_Fuel_EFs_Transport[Fuel combusted]=$E28)*(Table_Fuel_EFs_Transport[Transport type]=$D$25), Table_Fuel_EFs_Transport[Energy Content Factor (GJ per unit of fuel)]), 0)</f>
        <v>39.700000000000003</v>
      </c>
      <c r="H28" s="15" cm="1">
        <f t="array" ref="H28">IFERROR(_xlfn.XLOOKUP(1, (Table_Fuel_EFs_Transport[Fuel combusted]=$E28)*(Table_Fuel_EFs_Transport[Transport type]=$D$25), Table_Fuel_EFs_Transport[Scope 1 Emission Factor (kg CO2 - e / GJ) CO2]), 0)</f>
        <v>73.599999999999994</v>
      </c>
      <c r="I28" s="15" cm="1">
        <f t="array" ref="I28">IFERROR(_xlfn.XLOOKUP(1, (Table_Fuel_EFs_Transport[Fuel combusted]=$E28)*(Table_Fuel_EFs_Transport[Transport type]=$D$25), Table_Fuel_EFs_Transport[Scope 1 Emission Factor (kg CO2 - e / GJ) CH4]), 0)</f>
        <v>0.08</v>
      </c>
      <c r="J28" s="15" cm="1">
        <f t="array" ref="J28">IFERROR(_xlfn.XLOOKUP(1, (Table_Fuel_EFs_Transport[Fuel combusted]=$E28)*(Table_Fuel_EFs_Transport[Transport type]=$D$25), Table_Fuel_EFs_Transport[Scope 1 Emission Factor (kg CO2 - e / GJ) N2O]), 0)</f>
        <v>0.5</v>
      </c>
      <c r="K28" s="15" cm="1">
        <f t="array" ref="K28">IFERROR(_xlfn.XLOOKUP(1, (Table_Fuel_EFs_Transport[Fuel combusted]=$E28)*(Table_Fuel_EFs_Transport[Transport type]=$D$25), Table_Fuel_EFs_Transport[Scope 3 Emission Factor (kg CO2 - e / GJ)]), 0)</f>
        <v>18</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57" cm="1">
        <f t="array" ref="N28">Fuel_Equations.VEERG_8_1_1_1__1_FuelCombustionTransport($L28,$G28,$H28)</f>
        <v>0</v>
      </c>
      <c r="O28" s="157" cm="1">
        <f t="array" ref="O28">Fuel_Equations.VEERG_8_1_1_1__1_FuelCombustionTransport($L28,$G28,$I28)</f>
        <v>0</v>
      </c>
      <c r="P28" s="157" cm="1">
        <f t="array" ref="P28">Fuel_Equations.VEERG_8_1_1_1__1_FuelCombustionTransport($L28,$G28,$J28)</f>
        <v>0</v>
      </c>
      <c r="Q28" s="157" cm="1">
        <f t="array" ref="Q28">Scope3_Equations.VEERG_15_11_1_1__2_UpstreamTransportFuelEmissions(L28,G28,K28)</f>
        <v>0</v>
      </c>
    </row>
    <row r="29" spans="1:17" ht="20.100000000000001" customHeight="1" x14ac:dyDescent="0.2">
      <c r="A29" s="5" t="str">
        <f>HYPERLINK("#'4.6.1.5-6 Atmos Dep'!A1", "4.6.1.5-6 Manure Atmos Dep")</f>
        <v>4.6.1.5-6 Manure Atmos Dep</v>
      </c>
      <c r="D29" s="158" t="str">
        <f t="shared" si="0"/>
        <v>Cars and light commercial vehicles</v>
      </c>
      <c r="E29" s="155" t="str">
        <f>'Constants - Fuel'!$E$14</f>
        <v>Ethanol</v>
      </c>
      <c r="F29" s="155" t="str">
        <f>'Constants - Fuel'!G135</f>
        <v>Ethanol</v>
      </c>
      <c r="G29" s="15" cm="1">
        <f t="array" ref="G29">IFERROR(_xlfn.XLOOKUP(1, (Table_Fuel_EFs_Transport[Fuel combusted]=$E29)*(Table_Fuel_EFs_Transport[Transport type]=$D$25), Table_Fuel_EFs_Transport[Energy Content Factor (GJ per unit of fuel)]), 0)</f>
        <v>23.4</v>
      </c>
      <c r="H29" s="15" cm="1">
        <f t="array" ref="H29">IFERROR(_xlfn.XLOOKUP(1, (Table_Fuel_EFs_Transport[Fuel combusted]=$E29)*(Table_Fuel_EFs_Transport[Transport type]=$D$25), Table_Fuel_EFs_Transport[Scope 1 Emission Factor (kg CO2 - e / GJ) CO2]), 0)</f>
        <v>0</v>
      </c>
      <c r="I29" s="15" cm="1">
        <f t="array" ref="I29">IFERROR(_xlfn.XLOOKUP(1, (Table_Fuel_EFs_Transport[Fuel combusted]=$E29)*(Table_Fuel_EFs_Transport[Transport type]=$D$25), Table_Fuel_EFs_Transport[Scope 1 Emission Factor (kg CO2 - e / GJ) CH4]), 0)</f>
        <v>0.2</v>
      </c>
      <c r="J29" s="15" cm="1">
        <f t="array" ref="J29">IFERROR(_xlfn.XLOOKUP(1, (Table_Fuel_EFs_Transport[Fuel combusted]=$E29)*(Table_Fuel_EFs_Transport[Transport type]=$D$25), Table_Fuel_EFs_Transport[Scope 1 Emission Factor (kg CO2 - e / GJ) N2O]), 0)</f>
        <v>0.2</v>
      </c>
      <c r="K29" s="15" t="str" cm="1">
        <f t="array" ref="K29">IFERROR(_xlfn.XLOOKUP(1, (Table_Fuel_EFs_Transport[Fuel combusted]=$E29)*(Table_Fuel_EFs_Transport[Transport type]=$D$25), Table_Fuel_EFs_Transport[Scope 3 Emission Factor (kg CO2 - e / GJ)]), 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57" cm="1">
        <f t="array" ref="N29">Fuel_Equations.VEERG_8_1_1_1__1_FuelCombustionTransport($L29,$G29,$H29)</f>
        <v>0</v>
      </c>
      <c r="O29" s="157" cm="1">
        <f t="array" ref="O29">Fuel_Equations.VEERG_8_1_1_1__1_FuelCombustionTransport($L29,$G29,$I29)</f>
        <v>0</v>
      </c>
      <c r="P29" s="157" cm="1">
        <f t="array" ref="P29">Fuel_Equations.VEERG_8_1_1_1__1_FuelCombustionTransport($L29,$G29,$J29)</f>
        <v>0</v>
      </c>
      <c r="Q29" s="157" cm="1">
        <f t="array" ref="Q29">Scope3_Equations.VEERG_15_11_1_1__2_UpstreamTransportFuelEmissions(L29,G29,IF(ISNUMBER(K29),K29,0))</f>
        <v>0</v>
      </c>
    </row>
    <row r="30" spans="1:17" ht="20.100000000000001" customHeight="1" x14ac:dyDescent="0.2">
      <c r="A30" s="5" t="str">
        <f>HYPERLINK("#'4.6.1.7-8 Leaching and runoff'!A1", "4.6.1.7-8 Manure Leaching and runoff")</f>
        <v>4.6.1.7-8 Manure Leaching and runoff</v>
      </c>
      <c r="D30" s="158" t="str">
        <f t="shared" si="0"/>
        <v>Cars and light commercial vehicles</v>
      </c>
      <c r="E30" s="155" t="str">
        <f>'Constants - Fuel'!$E$15</f>
        <v>Biodiesel</v>
      </c>
      <c r="F30" s="155" t="str">
        <f>'Constants - Fuel'!G136</f>
        <v>Biodiesel</v>
      </c>
      <c r="G30" s="15" cm="1">
        <f t="array" ref="G30">IFERROR(_xlfn.XLOOKUP(1, (Table_Fuel_EFs_Transport[Fuel combusted]=$E30)*(Table_Fuel_EFs_Transport[Transport type]=$D$25), Table_Fuel_EFs_Transport[Energy Content Factor (GJ per unit of fuel)]), 0)</f>
        <v>34.6</v>
      </c>
      <c r="H30" s="15" cm="1">
        <f t="array" ref="H30">IFERROR(_xlfn.XLOOKUP(1, (Table_Fuel_EFs_Transport[Fuel combusted]=$E30)*(Table_Fuel_EFs_Transport[Transport type]=$D$25), Table_Fuel_EFs_Transport[Scope 1 Emission Factor (kg CO2 - e / GJ) CO2]), 0)</f>
        <v>0</v>
      </c>
      <c r="I30" s="15" cm="1">
        <f t="array" ref="I30">IFERROR(_xlfn.XLOOKUP(1, (Table_Fuel_EFs_Transport[Fuel combusted]=$E30)*(Table_Fuel_EFs_Transport[Transport type]=$D$25), Table_Fuel_EFs_Transport[Scope 1 Emission Factor (kg CO2 - e / GJ) CH4]), 0)</f>
        <v>0.8</v>
      </c>
      <c r="J30" s="15" cm="1">
        <f t="array" ref="J30">IFERROR(_xlfn.XLOOKUP(1, (Table_Fuel_EFs_Transport[Fuel combusted]=$E30)*(Table_Fuel_EFs_Transport[Transport type]=$D$25), Table_Fuel_EFs_Transport[Scope 1 Emission Factor (kg CO2 - e / GJ) N2O]), 0)</f>
        <v>1.7</v>
      </c>
      <c r="K30" s="15" t="str" cm="1">
        <f t="array" ref="K30">IFERROR(_xlfn.XLOOKUP(1, (Table_Fuel_EFs_Transport[Fuel combusted]=$E30)*(Table_Fuel_EFs_Transport[Transport type]=$D$25), Table_Fuel_EFs_Transport[Scope 3 Emission Factor (kg CO2 - e / GJ)]), 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57" cm="1">
        <f t="array" ref="N30">Fuel_Equations.VEERG_8_1_1_1__1_FuelCombustionTransport($L30,$G30,$H30)</f>
        <v>0</v>
      </c>
      <c r="O30" s="157" cm="1">
        <f t="array" ref="O30">Fuel_Equations.VEERG_8_1_1_1__1_FuelCombustionTransport($L30,$G30,$I30)</f>
        <v>0</v>
      </c>
      <c r="P30" s="157" cm="1">
        <f t="array" ref="P30">Fuel_Equations.VEERG_8_1_1_1__1_FuelCombustionTransport($L30,$G30,$J30)</f>
        <v>0</v>
      </c>
      <c r="Q30" s="157" cm="1">
        <f t="array" ref="Q30">Scope3_Equations.VEERG_15_11_1_1__2_UpstreamTransportFuelEmissions(L30,G30,IF(ISNUMBER(K30),K30,0))</f>
        <v>0</v>
      </c>
    </row>
    <row r="31" spans="1:17" ht="20.100000000000001" customHeight="1" x14ac:dyDescent="0.2">
      <c r="A31" s="5" t="str">
        <f>HYPERLINK("#'4.6.1.9 Manure applied to soils'!A1", "4.6.1.9 Manure applied to soils")</f>
        <v>4.6.1.9 Manure applied to soils</v>
      </c>
      <c r="D31" s="158" t="str">
        <f t="shared" si="0"/>
        <v>Cars and light commercial vehicles</v>
      </c>
      <c r="E31" s="155" t="str">
        <f>'Constants - Fuel'!$E$16</f>
        <v>Renewable diesel</v>
      </c>
      <c r="F31" s="155" t="str">
        <f>'Constants - Fuel'!G137</f>
        <v>Renewable diesel</v>
      </c>
      <c r="G31" s="15" cm="1">
        <f t="array" ref="G31">IFERROR(_xlfn.XLOOKUP(1, (Table_Fuel_EFs_Transport[Fuel combusted]=$E31)*(Table_Fuel_EFs_Transport[Transport type]=$D$25), Table_Fuel_EFs_Transport[Energy Content Factor (GJ per unit of fuel)]), 0)</f>
        <v>38.6</v>
      </c>
      <c r="H31" s="15" cm="1">
        <f t="array" ref="H31">IFERROR(_xlfn.XLOOKUP(1, (Table_Fuel_EFs_Transport[Fuel combusted]=$E31)*(Table_Fuel_EFs_Transport[Transport type]=$D$25), Table_Fuel_EFs_Transport[Scope 1 Emission Factor (kg CO2 - e / GJ) CO2]), 0)</f>
        <v>0</v>
      </c>
      <c r="I31" s="15" cm="1">
        <f t="array" ref="I31">IFERROR(_xlfn.XLOOKUP(1, (Table_Fuel_EFs_Transport[Fuel combusted]=$E31)*(Table_Fuel_EFs_Transport[Transport type]=$D$25), Table_Fuel_EFs_Transport[Scope 1 Emission Factor (kg CO2 - e / GJ) CH4]), 0)</f>
        <v>0.01</v>
      </c>
      <c r="J31" s="15" cm="1">
        <f t="array" ref="J31">IFERROR(_xlfn.XLOOKUP(1, (Table_Fuel_EFs_Transport[Fuel combusted]=$E31)*(Table_Fuel_EFs_Transport[Transport type]=$D$25), Table_Fuel_EFs_Transport[Scope 1 Emission Factor (kg CO2 - e / GJ) N2O]), 0)</f>
        <v>0.5</v>
      </c>
      <c r="K31" s="15" t="str" cm="1">
        <f t="array" ref="K31">IFERROR(_xlfn.XLOOKUP(1, (Table_Fuel_EFs_Transport[Fuel combusted]=$E31)*(Table_Fuel_EFs_Transport[Transport type]=$D$25), Table_Fuel_EFs_Transport[Scope 3 Emission Factor (kg CO2 - e / GJ)]), 0)</f>
        <v>NE</v>
      </c>
      <c r="L31" s="156" cm="1">
        <f t="array" ref="L31">Fuel_InputFunctions.Fuel_TotalConsumption(Table_Input_Fuel[Amount consumed], Table_Input_Fuel[Fuel use (select)], D31, Table_Input_Fuel[Fuel type (select)],F31)</f>
        <v>0</v>
      </c>
      <c r="M31" s="156" t="str" cm="1">
        <f t="array" ref="M31">Common_InputFunctions.Utility_LookupValueInTable(F31,Table_FuelTypes_Units[Fuel type],Table_FuelTypes_Units[Unit])</f>
        <v>kL</v>
      </c>
      <c r="N31" s="157" cm="1">
        <f t="array" ref="N31">Fuel_Equations.VEERG_8_1_1_1__1_FuelCombustionTransport($L31,$G31,$H31)</f>
        <v>0</v>
      </c>
      <c r="O31" s="157" cm="1">
        <f t="array" ref="O31">Fuel_Equations.VEERG_8_1_1_1__1_FuelCombustionTransport($L31,$G31,$I31)</f>
        <v>0</v>
      </c>
      <c r="P31" s="157" cm="1">
        <f t="array" ref="P31">Fuel_Equations.VEERG_8_1_1_1__1_FuelCombustionTransport($L31,$G31,$J31)</f>
        <v>0</v>
      </c>
      <c r="Q31" s="157" cm="1">
        <f t="array" ref="Q31">Scope3_Equations.VEERG_15_11_1_1__2_UpstreamTransportFuelEmissions(L31,G31,IF(ISNUMBER(K31),K31,0))</f>
        <v>0</v>
      </c>
    </row>
    <row r="32" spans="1:17" ht="20.100000000000001" customHeight="1" x14ac:dyDescent="0.2">
      <c r="A32" s="5" t="str">
        <f>HYPERLINK("#'4.6.1.10-11 Soil direct N2O'!A1", "4.6.1.10-11 Soil direct N2O")</f>
        <v>4.6.1.10-11 Soil direct N2O</v>
      </c>
      <c r="D32" s="158" t="str">
        <f t="shared" si="0"/>
        <v>Cars and light commercial vehicles</v>
      </c>
      <c r="E32" s="155" t="str">
        <f>'Constants - Fuel'!$E$17</f>
        <v>Other biofuels</v>
      </c>
      <c r="F32" s="155" t="str">
        <f>'Constants - Fuel'!G138</f>
        <v>Other biofuels</v>
      </c>
      <c r="G32" s="15" cm="1">
        <f t="array" ref="G32">IFERROR(_xlfn.XLOOKUP(1, (Table_Fuel_EFs_Transport[Fuel combusted]=$E32)*(Table_Fuel_EFs_Transport[Transport type]=$D$25), Table_Fuel_EFs_Transport[Energy Content Factor (GJ per unit of fuel)]), 0)</f>
        <v>23.4</v>
      </c>
      <c r="H32" s="15" cm="1">
        <f t="array" ref="H32">IFERROR(_xlfn.XLOOKUP(1, (Table_Fuel_EFs_Transport[Fuel combusted]=$E32)*(Table_Fuel_EFs_Transport[Transport type]=$D$25), Table_Fuel_EFs_Transport[Scope 1 Emission Factor (kg CO2 - e / GJ) CO2]), 0)</f>
        <v>0</v>
      </c>
      <c r="I32" s="15" cm="1">
        <f t="array" ref="I32">IFERROR(_xlfn.XLOOKUP(1, (Table_Fuel_EFs_Transport[Fuel combusted]=$E32)*(Table_Fuel_EFs_Transport[Transport type]=$D$25), Table_Fuel_EFs_Transport[Scope 1 Emission Factor (kg CO2 - e / GJ) CH4]), 0)</f>
        <v>0.8</v>
      </c>
      <c r="J32" s="15" cm="1">
        <f t="array" ref="J32">IFERROR(_xlfn.XLOOKUP(1, (Table_Fuel_EFs_Transport[Fuel combusted]=$E32)*(Table_Fuel_EFs_Transport[Transport type]=$D$25), Table_Fuel_EFs_Transport[Scope 1 Emission Factor (kg CO2 - e / GJ) N2O]), 0)</f>
        <v>1.7</v>
      </c>
      <c r="K32" s="152" t="str" cm="1">
        <f t="array" ref="K32">IFERROR(_xlfn.XLOOKUP(1, (Table_Fuel_EFs_Transport[Fuel combusted]=$E32)*(Table_Fuel_EFs_Transport[Transport type]=$D$25), Table_Fuel_EFs_Transport[Scope 3 Emission Factor (kg CO2 - e / GJ)]), 0)</f>
        <v>NE</v>
      </c>
      <c r="L32" s="159" cm="1">
        <f t="array" ref="L32">Fuel_InputFunctions.Fuel_TotalConsumption(Table_Input_Fuel[Amount consumed], Table_Input_Fuel[Fuel use (select)], D32, Table_Input_Fuel[Fuel type (select)],F32)</f>
        <v>0</v>
      </c>
      <c r="M32" s="156" t="str" cm="1">
        <f t="array" ref="M32">Common_InputFunctions.Utility_LookupValueInTable(F32,Table_FuelTypes_Units[Fuel type],Table_FuelTypes_Units[Unit])</f>
        <v>kL</v>
      </c>
      <c r="N32" s="160" cm="1">
        <f t="array" ref="N32">Fuel_Equations.VEERG_8_1_1_1__1_FuelCombustionTransport($L32,$G32,$H32)</f>
        <v>0</v>
      </c>
      <c r="O32" s="160" cm="1">
        <f t="array" ref="O32">Fuel_Equations.VEERG_8_1_1_1__1_FuelCombustionTransport($L32,$G32,$I32)</f>
        <v>0</v>
      </c>
      <c r="P32" s="160" cm="1">
        <f t="array" ref="P32">Fuel_Equations.VEERG_8_1_1_1__1_FuelCombustionTransport($L32,$G32,$J32)</f>
        <v>0</v>
      </c>
      <c r="Q32" s="157" cm="1">
        <f t="array" ref="Q32">Scope3_Equations.VEERG_15_11_1_1__2_UpstreamTransportFuelEmissions(L32,G32,IF(ISNUMBER(K32),K32,0))</f>
        <v>0</v>
      </c>
    </row>
    <row r="33" spans="1:17" ht="20.100000000000001" customHeight="1" x14ac:dyDescent="0.2">
      <c r="A33" s="5" t="str">
        <f>HYPERLINK("#'4.6.1.12-13 Soil atmos dep'!A1", "4.6.1.12-13 Soil atmos dep")</f>
        <v>4.6.1.12-13 Soil atmos dep</v>
      </c>
      <c r="D33" s="161" t="str">
        <f>Table_FuelTypesPerUse[[#Headers],[Off-road Agriculture and forestry equipment]]</f>
        <v>Off-road Agriculture and forestry equipment</v>
      </c>
      <c r="E33" s="162" t="str">
        <f>'Constants - Fuel'!$E$11</f>
        <v>Diesel oil</v>
      </c>
      <c r="F33" s="162" t="str">
        <f>'Constants - Fuel'!H131</f>
        <v>Diesel</v>
      </c>
      <c r="G33" s="163" cm="1">
        <f t="array" ref="G33">IFERROR(_xlfn.XLOOKUP(1, (Table_Fuel_EFs_Transport[Fuel combusted]=$E33)*(Table_Fuel_EFs_Transport[Transport type]=$D$33), Table_Fuel_EFs_Transport[Energy Content Factor (GJ per unit of fuel)]), 0)</f>
        <v>38.6</v>
      </c>
      <c r="H33" s="163" cm="1">
        <f t="array" ref="H33">IFERROR(_xlfn.XLOOKUP(1, (Table_Fuel_EFs_Transport[Fuel combusted]=$E33)*(Table_Fuel_EFs_Transport[Transport type]=$D$33), Table_Fuel_EFs_Transport[Scope 1 Emission Factor (kg CO2 - e / GJ) CO2]), 0)</f>
        <v>69.900000000000006</v>
      </c>
      <c r="I33" s="163" cm="1">
        <f t="array" ref="I33">IFERROR(_xlfn.XLOOKUP(1, (Table_Fuel_EFs_Transport[Fuel combusted]=$E33)*(Table_Fuel_EFs_Transport[Transport type]=$D$33), Table_Fuel_EFs_Transport[Scope 1 Emission Factor (kg CO2 - e / GJ) CH4]), 0)</f>
        <v>0.3</v>
      </c>
      <c r="J33" s="163" cm="1">
        <f t="array" ref="J33">IFERROR(_xlfn.XLOOKUP(1, (Table_Fuel_EFs_Transport[Fuel combusted]=$E33)*(Table_Fuel_EFs_Transport[Transport type]=$D$33), Table_Fuel_EFs_Transport[Scope 1 Emission Factor (kg CO2 - e / GJ) N2O]), 0)</f>
        <v>0.5</v>
      </c>
      <c r="K33" s="164" cm="1">
        <f t="array" ref="K33">IFERROR(_xlfn.XLOOKUP(1, (Table_Fuel_EFs_Transport[Fuel combusted]=$E33)*(Table_Fuel_EFs_Transport[Transport type]=$D$25), Table_Fuel_EFs_Transport[Scope 3 Emission Factor (kg CO2 - e / GJ)]), 0)</f>
        <v>17.3</v>
      </c>
      <c r="L33" s="165" cm="1">
        <f t="array" ref="L33">Fuel_InputFunctions.Fuel_TotalConsumption(Table_Input_Fuel[Amount consumed], Table_Input_Fuel[Fuel use (select)], D33, Table_Input_Fuel[Fuel type (select)],F33)</f>
        <v>10</v>
      </c>
      <c r="M33" s="166" t="str" cm="1">
        <f t="array" ref="M33">Common_InputFunctions.Utility_LookupValueInTable(F33,Table_FuelTypes_Units[Fuel type],Table_FuelTypes_Units[Unit])</f>
        <v>kL</v>
      </c>
      <c r="N33" s="167" cm="1">
        <f t="array" ref="N33">Fuel_Equations.VEERG_8_1_1_1__1_FuelCombustionTransport($L33,$G33,$H33)</f>
        <v>26.981400000000001</v>
      </c>
      <c r="O33" s="167" cm="1">
        <f t="array" ref="O33">Fuel_Equations.VEERG_8_1_1_1__1_FuelCombustionTransport($L33,$G33,$I33)</f>
        <v>0.1158</v>
      </c>
      <c r="P33" s="167" cm="1">
        <f t="array" ref="P33">Fuel_Equations.VEERG_8_1_1_1__1_FuelCombustionTransport($L33,$G33,$J33)</f>
        <v>0.193</v>
      </c>
      <c r="Q33" s="168" cm="1">
        <f t="array" ref="Q33">Scope3_Equations.VEERG_15_11_1_1__2_UpstreamTransportFuelEmissions(L33,G33,K33)</f>
        <v>6.6778000000000004</v>
      </c>
    </row>
    <row r="34" spans="1:17" ht="20.100000000000001" customHeight="1" x14ac:dyDescent="0.2">
      <c r="A34" s="5" t="str">
        <f>HYPERLINK("#'4.6.1.14-15 Soil leach runoff'!A1", "4.6.1.14-15 Soil leach runoff")</f>
        <v>4.6.1.14-15 Soil leach runoff</v>
      </c>
      <c r="D34" s="161" t="str">
        <f>Table_FuelTypesPerUse[[#Headers],[Aviation]]</f>
        <v>Aviation</v>
      </c>
      <c r="E34" s="162" t="str">
        <f>'Constants - Fuel'!$E$28</f>
        <v>Gasoline for use as fuel in an aircraft</v>
      </c>
      <c r="F34" s="162" t="str">
        <f>'Constants - Fuel'!$F$131</f>
        <v>Avgas</v>
      </c>
      <c r="G34" s="169" cm="1">
        <f t="array" ref="G34">IFERROR(_xlfn.XLOOKUP(1, (Table_Fuel_EFs_Transport[Fuel combusted]=$E34)*(Table_Fuel_EFs_Transport[Transport type]=$D$34), Table_Fuel_EFs_Transport[Energy Content Factor (GJ per unit of fuel)]), 0)</f>
        <v>33.1</v>
      </c>
      <c r="H34" s="169" cm="1">
        <f t="array" ref="H34">IFERROR(_xlfn.XLOOKUP(1, (Table_Fuel_EFs_Transport[Fuel combusted]=$E34)*(Table_Fuel_EFs_Transport[Transport type]=$D$34), Table_Fuel_EFs_Transport[Scope 1 Emission Factor (kg CO2 - e / GJ) CO2]), 0)</f>
        <v>67</v>
      </c>
      <c r="I34" s="169" cm="1">
        <f t="array" ref="I34">IFERROR(_xlfn.XLOOKUP(1, (Table_Fuel_EFs_Transport[Fuel combusted]=$E34)*(Table_Fuel_EFs_Transport[Transport type]=$D$34), Table_Fuel_EFs_Transport[Scope 1 Emission Factor (kg CO2 - e / GJ) CH4]), 0)</f>
        <v>0.06</v>
      </c>
      <c r="J34" s="169" cm="1">
        <f t="array" ref="J34">IFERROR(_xlfn.XLOOKUP(1, (Table_Fuel_EFs_Transport[Fuel combusted]=$E34)*(Table_Fuel_EFs_Transport[Transport type]=$D$34), Table_Fuel_EFs_Transport[Scope 1 Emission Factor (kg CO2 - e / GJ) N2O]), 0)</f>
        <v>0.6</v>
      </c>
      <c r="K34" s="169" cm="1">
        <f t="array" ref="K34">IFERROR(_xlfn.XLOOKUP(1, (Table_Fuel_EFs_Transport[Fuel combusted]=$E34)*(Table_Fuel_EFs_Transport[Transport type]=$D$25), Table_Fuel_EFs_Transport[Scope 3 Emission Factor (kg CO2 - e / GJ)]), 0)</f>
        <v>0</v>
      </c>
      <c r="L34" s="166" cm="1">
        <f t="array" ref="L34">Fuel_InputFunctions.Fuel_TotalConsumption(Table_Input_Fuel[Amount consumed], Table_Input_Fuel[Fuel use (select)], D34, Table_Input_Fuel[Fuel type (select)],F34)</f>
        <v>0</v>
      </c>
      <c r="M34" s="166" t="str" cm="1">
        <f t="array" ref="M34">Common_InputFunctions.Utility_LookupValueInTable(F34,Table_FuelTypes_Units[Fuel type],Table_FuelTypes_Units[Unit])</f>
        <v>kL</v>
      </c>
      <c r="N34" s="167" cm="1">
        <f t="array" ref="N34">Fuel_Equations.VEERG_8_1_1_1__1_FuelCombustionTransport($L34,$G34,$H34)</f>
        <v>0</v>
      </c>
      <c r="O34" s="167" cm="1">
        <f t="array" ref="O34">Fuel_Equations.VEERG_8_1_1_1__1_FuelCombustionTransport($L34,$G34,$I34)</f>
        <v>0</v>
      </c>
      <c r="P34" s="167" cm="1">
        <f t="array" ref="P34">Fuel_Equations.VEERG_8_1_1_1__1_FuelCombustionTransport($L34,$G34,$J34)</f>
        <v>0</v>
      </c>
      <c r="Q34" s="167" cm="1">
        <f t="array" ref="Q34">Scope3_Equations.VEERG_15_11_1_1__2_UpstreamTransportFuelEmissions(L34,G34,K34)</f>
        <v>0</v>
      </c>
    </row>
    <row r="35" spans="1:17" ht="20.100000000000001" customHeight="1" x14ac:dyDescent="0.2">
      <c r="A35" s="117" t="str">
        <f>HYPERLINK("#'8.1.1.1-2 Transport fuel'!A1", "8.1.1.1-2 Transport fuel")</f>
        <v>8.1.1.1-2 Transport fuel</v>
      </c>
      <c r="D35" s="158" t="str">
        <f>$D$34</f>
        <v>Aviation</v>
      </c>
      <c r="E35" s="155" t="str">
        <f>'Constants - Fuel'!$E$29</f>
        <v>Kerosene for use as fuel in an aircraft</v>
      </c>
      <c r="F35" s="155" t="str">
        <f>'Constants - Fuel'!$F$132</f>
        <v>Jet A1, Jet B</v>
      </c>
      <c r="G35" s="15" cm="1">
        <f t="array" ref="G35">IFERROR(_xlfn.XLOOKUP(1, (Table_Fuel_EFs_Transport[Fuel combusted]=$E35)*(Table_Fuel_EFs_Transport[Transport type]=$D$34), Table_Fuel_EFs_Transport[Energy Content Factor (GJ per unit of fuel)]), 0)</f>
        <v>36.799999999999997</v>
      </c>
      <c r="H35" s="15" cm="1">
        <f t="array" ref="H35">IFERROR(_xlfn.XLOOKUP(1, (Table_Fuel_EFs_Transport[Fuel combusted]=$E35)*(Table_Fuel_EFs_Transport[Transport type]=$D$34), Table_Fuel_EFs_Transport[Scope 1 Emission Factor (kg CO2 - e / GJ) CO2]), 0)</f>
        <v>69.599999999999994</v>
      </c>
      <c r="I35" s="15" cm="1">
        <f t="array" ref="I35">IFERROR(_xlfn.XLOOKUP(1, (Table_Fuel_EFs_Transport[Fuel combusted]=$E35)*(Table_Fuel_EFs_Transport[Transport type]=$D$34), Table_Fuel_EFs_Transport[Scope 1 Emission Factor (kg CO2 - e / GJ) CH4]), 0)</f>
        <v>0.01</v>
      </c>
      <c r="J35" s="15" cm="1">
        <f t="array" ref="J35">IFERROR(_xlfn.XLOOKUP(1, (Table_Fuel_EFs_Transport[Fuel combusted]=$E35)*(Table_Fuel_EFs_Transport[Transport type]=$D$34), Table_Fuel_EFs_Transport[Scope 1 Emission Factor (kg CO2 - e / GJ) N2O]), 0)</f>
        <v>0.6</v>
      </c>
      <c r="K35" s="15" cm="1">
        <f t="array" ref="K35">IFERROR(_xlfn.XLOOKUP(1, (Table_Fuel_EFs_Transport[Fuel combusted]=$E35)*(Table_Fuel_EFs_Transport[Transport type]=$D$25), Table_Fuel_EFs_Transport[Scope 3 Emission Factor (kg CO2 - e / GJ)]), 0)</f>
        <v>0</v>
      </c>
      <c r="L35" s="156" cm="1">
        <f t="array" ref="L35">Fuel_InputFunctions.Fuel_TotalConsumption(Table_Input_Fuel[Amount consumed], Table_Input_Fuel[Fuel use (select)], D35, Table_Input_Fuel[Fuel type (select)],F35)</f>
        <v>0</v>
      </c>
      <c r="M35" s="156" t="str" cm="1">
        <f t="array" ref="M35">Common_InputFunctions.Utility_LookupValueInTable(F35,Table_FuelTypes_Units[Fuel type],Table_FuelTypes_Units[Unit])</f>
        <v>kL</v>
      </c>
      <c r="N35" s="157" cm="1">
        <f t="array" ref="N35">Fuel_Equations.VEERG_8_1_1_1__1_FuelCombustionTransport($L35,$G35,$H35)</f>
        <v>0</v>
      </c>
      <c r="O35" s="157" cm="1">
        <f t="array" ref="O35">Fuel_Equations.VEERG_8_1_1_1__1_FuelCombustionTransport($L35,$G35,$I35)</f>
        <v>0</v>
      </c>
      <c r="P35" s="157" cm="1">
        <f t="array" ref="P35">Fuel_Equations.VEERG_8_1_1_1__1_FuelCombustionTransport($L35,$G35,$J35)</f>
        <v>0</v>
      </c>
      <c r="Q35" s="157" cm="1">
        <f t="array" ref="Q35">Scope3_Equations.VEERG_15_11_1_1__2_UpstreamTransportFuelEmissions(L35,G35,K35)</f>
        <v>0</v>
      </c>
    </row>
    <row r="36" spans="1:17" ht="20.100000000000001" customHeight="1" x14ac:dyDescent="0.2">
      <c r="A36" s="5" t="str">
        <f>HYPERLINK("#'8.2.1.1-2 Stationary fuel'!A1", "8.2.1.1-2 Stationary fuel")</f>
        <v>8.2.1.1-2 Stationary fuel</v>
      </c>
      <c r="D36" s="158" t="str">
        <f>$D$34</f>
        <v>Aviation</v>
      </c>
      <c r="E36" s="155" t="str">
        <f>'Constants - Fuel'!$E$30</f>
        <v>Renewable aviation kerosene</v>
      </c>
      <c r="F36" s="155" t="str">
        <f>'Constants - Fuel'!$F$133</f>
        <v>Renewable aviation kerosene</v>
      </c>
      <c r="G36" s="152" cm="1">
        <f t="array" ref="G36">IFERROR(_xlfn.XLOOKUP(1, (Table_Fuel_EFs_Transport[Fuel combusted]=$E36)*(Table_Fuel_EFs_Transport[Transport type]=$D$34), Table_Fuel_EFs_Transport[Energy Content Factor (GJ per unit of fuel)]), 0)</f>
        <v>36.799999999999997</v>
      </c>
      <c r="H36" s="152" cm="1">
        <f t="array" ref="H36">IFERROR(_xlfn.XLOOKUP(1, (Table_Fuel_EFs_Transport[Fuel combusted]=$E36)*(Table_Fuel_EFs_Transport[Transport type]=$D$34), Table_Fuel_EFs_Transport[Scope 1 Emission Factor (kg CO2 - e / GJ) CO2]), 0)</f>
        <v>0</v>
      </c>
      <c r="I36" s="152" cm="1">
        <f t="array" ref="I36">IFERROR(_xlfn.XLOOKUP(1, (Table_Fuel_EFs_Transport[Fuel combusted]=$E36)*(Table_Fuel_EFs_Transport[Transport type]=$D$34), Table_Fuel_EFs_Transport[Scope 1 Emission Factor (kg CO2 - e / GJ) CH4]), 0)</f>
        <v>0.01</v>
      </c>
      <c r="J36" s="152" cm="1">
        <f t="array" ref="J36">IFERROR(_xlfn.XLOOKUP(1, (Table_Fuel_EFs_Transport[Fuel combusted]=$E36)*(Table_Fuel_EFs_Transport[Transport type]=$D$34), Table_Fuel_EFs_Transport[Scope 1 Emission Factor (kg CO2 - e / GJ) N2O]), 0)</f>
        <v>0.6</v>
      </c>
      <c r="K36" s="152" cm="1">
        <f t="array" ref="K36">IFERROR(_xlfn.XLOOKUP(1, (Table_Fuel_EFs_Transport[Fuel combusted]=$E36)*(Table_Fuel_EFs_Transport[Transport type]=$D$25), Table_Fuel_EFs_Transport[Scope 3 Emission Factor (kg CO2 - e / GJ)]), 0)</f>
        <v>0</v>
      </c>
      <c r="L36" s="159" cm="1">
        <f t="array" ref="L36">Fuel_InputFunctions.Fuel_TotalConsumption(Table_Input_Fuel[Amount consumed], Table_Input_Fuel[Fuel use (select)], D36, Table_Input_Fuel[Fuel type (select)],F36)</f>
        <v>0</v>
      </c>
      <c r="M36" s="156" t="str" cm="1">
        <f t="array" ref="M36">Common_InputFunctions.Utility_LookupValueInTable(F36,Table_FuelTypes_Units[Fuel type],Table_FuelTypes_Units[Unit])</f>
        <v>kL</v>
      </c>
      <c r="N36" s="157" cm="1">
        <f t="array" ref="N36">Fuel_Equations.VEERG_8_1_1_1__1_FuelCombustionTransport($L36,$G36,$H36)</f>
        <v>0</v>
      </c>
      <c r="O36" s="157" cm="1">
        <f t="array" ref="O36">Fuel_Equations.VEERG_8_1_1_1__1_FuelCombustionTransport($L36,$G36,$I36)</f>
        <v>0</v>
      </c>
      <c r="P36" s="157" cm="1">
        <f t="array" ref="P36">Fuel_Equations.VEERG_8_1_1_1__1_FuelCombustionTransport($L36,$G36,$J36)</f>
        <v>0</v>
      </c>
      <c r="Q36" s="160" cm="1">
        <f t="array" ref="Q36">Scope3_Equations.VEERG_15_11_1_1__2_UpstreamTransportFuelEmissions(L36,G36,K36)</f>
        <v>0</v>
      </c>
    </row>
    <row r="37" spans="1:17" ht="20.100000000000001" customHeight="1" x14ac:dyDescent="0.2">
      <c r="A37" s="5" t="str">
        <f>HYPERLINK("#'10.1.1-2 Solid waste treatment'!A1", "10.1.1.1-2 Solid waste")</f>
        <v>10.1.1.1-2 Solid waste</v>
      </c>
      <c r="D37" s="161" t="str">
        <f>Table_FuelTypesPerUse[[#Headers],[Vessels]]</f>
        <v>Vessels</v>
      </c>
      <c r="E37" s="162" t="str">
        <f>'Constants - Fuel'!$E$10</f>
        <v>Gasoline</v>
      </c>
      <c r="F37" s="162" t="str">
        <f>'Constants - Fuel'!$I$131</f>
        <v>Petrol</v>
      </c>
      <c r="G37" s="169" cm="1">
        <f t="array" ref="G37">IFERROR(_xlfn.XLOOKUP(1, (Table_Fuel_EFs_Transport[Fuel combusted]=$E37)*(Table_Fuel_EFs_Transport[Transport type]=$D$37), Table_Fuel_EFs_Transport[Energy Content Factor (GJ per unit of fuel)]), 0)</f>
        <v>34.200000000000003</v>
      </c>
      <c r="H37" s="169" cm="1">
        <f t="array" ref="H37">IFERROR(_xlfn.XLOOKUP(1, (Table_Fuel_EFs_Transport[Fuel combusted]=$E37)*(Table_Fuel_EFs_Transport[Transport type]=$D$37), Table_Fuel_EFs_Transport[Scope 1 Emission Factor (kg CO2 - e / GJ) CO2]), 0)</f>
        <v>67.400000000000006</v>
      </c>
      <c r="I37" s="169" cm="1">
        <f t="array" ref="I37">IFERROR(_xlfn.XLOOKUP(1, (Table_Fuel_EFs_Transport[Fuel combusted]=$E37)*(Table_Fuel_EFs_Transport[Transport type]=$D$37), Table_Fuel_EFs_Transport[Scope 1 Emission Factor (kg CO2 - e / GJ) CH4]), 0)</f>
        <v>10.1</v>
      </c>
      <c r="J37" s="169" cm="1">
        <f t="array" ref="J37">IFERROR(_xlfn.XLOOKUP(1, (Table_Fuel_EFs_Transport[Fuel combusted]=$E37)*(Table_Fuel_EFs_Transport[Transport type]=$D$37), Table_Fuel_EFs_Transport[Scope 1 Emission Factor (kg CO2 - e / GJ) N2O]), 0)</f>
        <v>0.3</v>
      </c>
      <c r="K37" s="169" cm="1">
        <f t="array" ref="K37">IFERROR(_xlfn.XLOOKUP(1, (Table_Fuel_EFs_Transport[Fuel combusted]=$E37)*(Table_Fuel_EFs_Transport[Transport type]=$D$25), Table_Fuel_EFs_Transport[Scope 3 Emission Factor (kg CO2 - e / GJ)]), 0)</f>
        <v>17.2</v>
      </c>
      <c r="L37" s="166" cm="1">
        <f t="array" ref="L37">Fuel_InputFunctions.Fuel_TotalConsumption(Table_Input_Fuel[Amount consumed], Table_Input_Fuel[Fuel use (select)], D37, Table_Input_Fuel[Fuel type (select)],F37)</f>
        <v>0</v>
      </c>
      <c r="M37" s="170" t="str" cm="1">
        <f t="array" ref="M37">Common_InputFunctions.Utility_LookupValueInTable(F37,Table_FuelTypes_Units[Fuel type],Table_FuelTypes_Units[Unit])</f>
        <v>kL</v>
      </c>
      <c r="N37" s="167" cm="1">
        <f t="array" ref="N37">Fuel_Equations.VEERG_8_1_1_1__1_FuelCombustionTransport($L37,$G37,$H37)</f>
        <v>0</v>
      </c>
      <c r="O37" s="167" cm="1">
        <f t="array" ref="O37">Fuel_Equations.VEERG_8_1_1_1__1_FuelCombustionTransport($L37,$G37,$I37)</f>
        <v>0</v>
      </c>
      <c r="P37" s="167" cm="1">
        <f t="array" ref="P37">Fuel_Equations.VEERG_8_1_1_1__1_FuelCombustionTransport($L37,$G37,$J37)</f>
        <v>0</v>
      </c>
      <c r="Q37" s="167" cm="1">
        <f t="array" ref="Q37">Scope3_Equations.VEERG_15_11_1_1__2_UpstreamTransportFuelEmissions(L37,G37,K37)</f>
        <v>0</v>
      </c>
    </row>
    <row r="38" spans="1:17" ht="20.100000000000001" customHeight="1" x14ac:dyDescent="0.2">
      <c r="A38" s="5" t="str">
        <f>HYPERLINK("#'14.1.1-2 Purchased electricity'!A1", "14.1.1-2 Purchased electricity")</f>
        <v>14.1.1-2 Purchased electricity</v>
      </c>
      <c r="D38" s="158" t="str">
        <f>$D$37</f>
        <v>Vessels</v>
      </c>
      <c r="E38" s="155" t="str">
        <f>'Constants - Fuel'!$E$11</f>
        <v>Diesel oil</v>
      </c>
      <c r="F38" s="155" t="str">
        <f>'Constants - Fuel'!$I$132</f>
        <v>Diesel</v>
      </c>
      <c r="G38" s="15" cm="1">
        <f t="array" ref="G38">IFERROR(_xlfn.XLOOKUP(1, (Table_Fuel_EFs_Transport[Fuel combusted]=$E38)*(Table_Fuel_EFs_Transport[Transport type]=$D$37), Table_Fuel_EFs_Transport[Energy Content Factor (GJ per unit of fuel)]), 0)</f>
        <v>38.6</v>
      </c>
      <c r="H38" s="15" cm="1">
        <f t="array" ref="H38">IFERROR(_xlfn.XLOOKUP(1, (Table_Fuel_EFs_Transport[Fuel combusted]=$E38)*(Table_Fuel_EFs_Transport[Transport type]=$D$37), Table_Fuel_EFs_Transport[Scope 1 Emission Factor (kg CO2 - e / GJ) CO2]), 0)</f>
        <v>69.900000000000006</v>
      </c>
      <c r="I38" s="15" cm="1">
        <f t="array" ref="I38">IFERROR(_xlfn.XLOOKUP(1, (Table_Fuel_EFs_Transport[Fuel combusted]=$E38)*(Table_Fuel_EFs_Transport[Transport type]=$D$37), Table_Fuel_EFs_Transport[Scope 1 Emission Factor (kg CO2 - e / GJ) CH4]), 0)</f>
        <v>0.2</v>
      </c>
      <c r="J38" s="15" cm="1">
        <f t="array" ref="J38">IFERROR(_xlfn.XLOOKUP(1, (Table_Fuel_EFs_Transport[Fuel combusted]=$E38)*(Table_Fuel_EFs_Transport[Transport type]=$D$37), Table_Fuel_EFs_Transport[Scope 1 Emission Factor (kg CO2 - e / GJ) N2O]), 0)</f>
        <v>0.5</v>
      </c>
      <c r="K38" s="15" cm="1">
        <f t="array" ref="K38">IFERROR(_xlfn.XLOOKUP(1, (Table_Fuel_EFs_Transport[Fuel combusted]=$E38)*(Table_Fuel_EFs_Transport[Transport type]=$D$25), Table_Fuel_EFs_Transport[Scope 3 Emission Factor (kg CO2 - e / GJ)]), 0)</f>
        <v>17.3</v>
      </c>
      <c r="L38" s="156" cm="1">
        <f t="array" ref="L38">Fuel_InputFunctions.Fuel_TotalConsumption(Table_Input_Fuel[Amount consumed], Table_Input_Fuel[Fuel use (select)], D38, Table_Input_Fuel[Fuel type (select)],F38)</f>
        <v>0</v>
      </c>
      <c r="M38" s="156" t="str" cm="1">
        <f t="array" ref="M38">Common_InputFunctions.Utility_LookupValueInTable(F38,Table_FuelTypes_Units[Fuel type],Table_FuelTypes_Units[Unit])</f>
        <v>kL</v>
      </c>
      <c r="N38" s="157" cm="1">
        <f t="array" ref="N38">Fuel_Equations.VEERG_8_1_1_1__1_FuelCombustionTransport($L38,$G38,$H38)</f>
        <v>0</v>
      </c>
      <c r="O38" s="157" cm="1">
        <f t="array" ref="O38">Fuel_Equations.VEERG_8_1_1_1__1_FuelCombustionTransport($L38,$G38,$I38)</f>
        <v>0</v>
      </c>
      <c r="P38" s="157" cm="1">
        <f t="array" ref="P38">Fuel_Equations.VEERG_8_1_1_1__1_FuelCombustionTransport($L38,$G38,$J38)</f>
        <v>0</v>
      </c>
      <c r="Q38" s="157" cm="1">
        <f t="array" ref="Q38">Scope3_Equations.VEERG_15_11_1_1__2_UpstreamTransportFuelEmissions(L38,G38,K38)</f>
        <v>0</v>
      </c>
    </row>
    <row r="39" spans="1:17" ht="20.100000000000001" customHeight="1" x14ac:dyDescent="0.2">
      <c r="A39" s="5" t="str">
        <f>HYPERLINK("#'15 Scope 3'!A1", "15 Scope 3")</f>
        <v>15 Scope 3</v>
      </c>
      <c r="D39" s="158" t="str">
        <f>$D$37</f>
        <v>Vessels</v>
      </c>
      <c r="E39" s="155" t="str">
        <f>'Constants - Fuel'!E33</f>
        <v>Fuel Oil</v>
      </c>
      <c r="F39" s="155" t="str">
        <f>'Constants - Fuel'!$I$133</f>
        <v>Fuel oil</v>
      </c>
      <c r="G39" s="15" cm="1">
        <f t="array" ref="G39">IFERROR(_xlfn.XLOOKUP(1, (Table_Fuel_EFs_Transport[Fuel combusted]=$E39)*(Table_Fuel_EFs_Transport[Transport type]=$D$37), Table_Fuel_EFs_Transport[Energy Content Factor (GJ per unit of fuel)]), 0)</f>
        <v>39.700000000000003</v>
      </c>
      <c r="H39" s="15" cm="1">
        <f t="array" ref="H39">IFERROR(_xlfn.XLOOKUP(1, (Table_Fuel_EFs_Transport[Fuel combusted]=$E39)*(Table_Fuel_EFs_Transport[Transport type]=$D$37), Table_Fuel_EFs_Transport[Scope 1 Emission Factor (kg CO2 - e / GJ) CO2]), 0)</f>
        <v>73.599999999999994</v>
      </c>
      <c r="I39" s="15" cm="1">
        <f t="array" ref="I39">IFERROR(_xlfn.XLOOKUP(1, (Table_Fuel_EFs_Transport[Fuel combusted]=$E39)*(Table_Fuel_EFs_Transport[Transport type]=$D$37), Table_Fuel_EFs_Transport[Scope 1 Emission Factor (kg CO2 - e / GJ) CH4]), 0)</f>
        <v>0.2</v>
      </c>
      <c r="J39" s="15" cm="1">
        <f t="array" ref="J39">IFERROR(_xlfn.XLOOKUP(1, (Table_Fuel_EFs_Transport[Fuel combusted]=$E39)*(Table_Fuel_EFs_Transport[Transport type]=$D$37), Table_Fuel_EFs_Transport[Scope 1 Emission Factor (kg CO2 - e / GJ) N2O]), 0)</f>
        <v>0.5</v>
      </c>
      <c r="K39" s="15" cm="1">
        <f t="array" ref="K39">IFERROR(_xlfn.XLOOKUP(1, (Table_Fuel_EFs_Transport[Fuel combusted]=$E39)*(Table_Fuel_EFs_Transport[Transport type]=$D$25), Table_Fuel_EFs_Transport[Scope 3 Emission Factor (kg CO2 - e / GJ)]), 0)</f>
        <v>18</v>
      </c>
      <c r="L39" s="156" cm="1">
        <f t="array" ref="L39">Fuel_InputFunctions.Fuel_TotalConsumption(Table_Input_Fuel[Amount consumed], Table_Input_Fuel[Fuel use (select)], D39, Table_Input_Fuel[Fuel type (select)],F39)</f>
        <v>10</v>
      </c>
      <c r="M39" s="156" t="str" cm="1">
        <f t="array" ref="M39">Common_InputFunctions.Utility_LookupValueInTable(F39,Table_FuelTypes_Units[Fuel type],Table_FuelTypes_Units[Unit])</f>
        <v>kL</v>
      </c>
      <c r="N39" s="157" cm="1">
        <f t="array" ref="N39">Fuel_Equations.VEERG_8_1_1_1__1_FuelCombustionTransport($L39,$G39,$H39)</f>
        <v>29.219199999999997</v>
      </c>
      <c r="O39" s="157" cm="1">
        <f t="array" ref="O39">Fuel_Equations.VEERG_8_1_1_1__1_FuelCombustionTransport($L39,$G39,$I39)</f>
        <v>7.9400000000000012E-2</v>
      </c>
      <c r="P39" s="157" cm="1">
        <f t="array" ref="P39">Fuel_Equations.VEERG_8_1_1_1__1_FuelCombustionTransport($L39,$G39,$J39)</f>
        <v>0.19850000000000001</v>
      </c>
      <c r="Q39" s="157" cm="1">
        <f t="array" ref="Q39">Scope3_Equations.VEERG_15_11_1_1__2_UpstreamTransportFuelEmissions(L39,G39,K39)</f>
        <v>7.1459999999999999</v>
      </c>
    </row>
    <row r="40" spans="1:17" ht="20.100000000000001" customHeight="1" x14ac:dyDescent="0.2">
      <c r="A40" s="5" t="str">
        <f>HYPERLINK("#'Calcs - Manure sent off-site'!A1", "Calcs - Manure sent off-site")</f>
        <v>Calcs - Manure sent off-site</v>
      </c>
      <c r="H40" s="154"/>
      <c r="I40" s="154"/>
      <c r="J40" s="154"/>
      <c r="L40" s="154"/>
      <c r="M40" s="154"/>
      <c r="N40" s="154"/>
      <c r="O40" s="154"/>
      <c r="P40" s="154"/>
      <c r="Q40" s="154"/>
    </row>
    <row r="41" spans="1:17" ht="20.100000000000001" customHeight="1" x14ac:dyDescent="0.2">
      <c r="A41" s="5" t="str">
        <f>HYPERLINK("#'5.1.1.1-2 Inorganic fert N2O'!A1", "5.1.1.1-2 Inorganic fert N2O")</f>
        <v>5.1.1.1-2 Inorganic fert N2O</v>
      </c>
      <c r="H41" s="154"/>
      <c r="I41" s="154"/>
      <c r="J41" s="154"/>
      <c r="L41" s="154"/>
      <c r="M41" s="154"/>
      <c r="N41" s="154"/>
      <c r="O41" s="154"/>
      <c r="P41" s="154"/>
      <c r="Q41" s="154"/>
    </row>
    <row r="42" spans="1:17" ht="20.100000000000001" customHeight="1" x14ac:dyDescent="0.2">
      <c r="A42" s="5" t="str">
        <f>HYPERLINK("#'5.1.1.3-4 Inorganic fert CO2'!A1", "5.1.1.3-4 Inorganic fert CO2")</f>
        <v>5.1.1.3-4 Inorganic fert CO2</v>
      </c>
      <c r="D42" s="171" t="str">
        <f>"Total scope 1 - " &amp; D25</f>
        <v>Total scope 1 - Cars and light commercial vehicles</v>
      </c>
      <c r="E42" s="172"/>
      <c r="F42" s="173"/>
    </row>
    <row r="43" spans="1:17" ht="20.100000000000001" customHeight="1" x14ac:dyDescent="0.2">
      <c r="A43" s="5" t="str">
        <f>HYPERLINK("#'5.2.1.1-2 Organic Fert N2O'!A1", "5.2.1.1-2 Organic Fert N2O")</f>
        <v>5.2.1.1-2 Organic Fert N2O</v>
      </c>
      <c r="D43" s="24" t="s">
        <v>624</v>
      </c>
      <c r="E43" s="174">
        <f>SUM(N25:N32)+N("Partial sum")</f>
        <v>26.981400000000001</v>
      </c>
      <c r="F43" s="16" t="str">
        <f>$E$12</f>
        <v>t CO2-e</v>
      </c>
    </row>
    <row r="44" spans="1:17" ht="20.100000000000001" customHeight="1" x14ac:dyDescent="0.2">
      <c r="A44" s="5" t="str">
        <f>HYPERLINK("#'5.3.1.1-2 Lime CO2'!A1", "5.3.1.1-2 Lime CO2")</f>
        <v>5.3.1.1-2 Lime CO2</v>
      </c>
      <c r="D44" s="24" t="s">
        <v>625</v>
      </c>
      <c r="E44" s="174">
        <f>SUM(O25:O32)+N("Partial sum")</f>
        <v>3.8600000000000001E-3</v>
      </c>
      <c r="F44" s="16" t="str">
        <f t="shared" ref="F44:F46" si="1">$E$12</f>
        <v>t CO2-e</v>
      </c>
    </row>
    <row r="45" spans="1:17" ht="20.100000000000001" customHeight="1" x14ac:dyDescent="0.2">
      <c r="A45" s="5" t="str">
        <f>HYPERLINK("#'5.4.1.1-4 Atmos deposition'!A1", "5.4.1.1-4 Atmos deposition")</f>
        <v>5.4.1.1-4 Atmos deposition</v>
      </c>
      <c r="D45" s="24" t="s">
        <v>626</v>
      </c>
      <c r="E45" s="174">
        <f>SUM(P25:P32)+N("Partial sum")</f>
        <v>0.193</v>
      </c>
      <c r="F45" s="16" t="str">
        <f t="shared" si="1"/>
        <v>t CO2-e</v>
      </c>
    </row>
    <row r="46" spans="1:17" ht="20.100000000000001" customHeight="1" x14ac:dyDescent="0.2">
      <c r="A46" s="5" t="str">
        <f>HYPERLINK("#'5.5.1.1-2 Leaching and runoff'!A1", "5.5.1.1-2 Leaching and runoff")</f>
        <v>5.5.1.1-2 Leaching and runoff</v>
      </c>
      <c r="D46" s="24" t="s">
        <v>239</v>
      </c>
      <c r="E46" s="174">
        <f>SUM(Q25:Q32)+N("Partial sum")</f>
        <v>6.6778000000000004</v>
      </c>
      <c r="F46" s="16" t="str">
        <f t="shared" si="1"/>
        <v>t CO2-e</v>
      </c>
    </row>
    <row r="47" spans="1:17" ht="20.100000000000001" customHeight="1" x14ac:dyDescent="0.2">
      <c r="D47" s="154"/>
      <c r="E47" s="154"/>
      <c r="F47" s="154"/>
    </row>
    <row r="48" spans="1:17" ht="20.100000000000001" customHeight="1" x14ac:dyDescent="0.2">
      <c r="D48" s="171" t="str">
        <f>"Total scope 1 - " &amp; D33</f>
        <v>Total scope 1 - Off-road Agriculture and forestry equipment</v>
      </c>
      <c r="E48" s="175"/>
      <c r="F48" s="173"/>
      <c r="H48" s="154"/>
      <c r="I48" s="154"/>
      <c r="J48" s="154"/>
      <c r="L48" s="154"/>
      <c r="M48" s="154"/>
      <c r="N48" s="154"/>
      <c r="O48" s="154"/>
      <c r="P48" s="154"/>
      <c r="Q48" s="154"/>
    </row>
    <row r="49" spans="1:17" ht="20.100000000000001" customHeight="1" x14ac:dyDescent="0.2">
      <c r="A49" s="80" t="s">
        <v>1</v>
      </c>
      <c r="D49" s="24" t="s">
        <v>624</v>
      </c>
      <c r="E49" s="174">
        <f>SUM(N33:N33)+N("Partial sum")</f>
        <v>26.981400000000001</v>
      </c>
      <c r="F49" s="16" t="str">
        <f t="shared" ref="F49:F52" si="2">$E$12</f>
        <v>t CO2-e</v>
      </c>
      <c r="H49" s="154"/>
      <c r="I49" s="154"/>
      <c r="J49" s="154"/>
      <c r="L49" s="154"/>
      <c r="M49" s="154"/>
      <c r="N49" s="154"/>
      <c r="O49" s="154"/>
      <c r="P49" s="154"/>
      <c r="Q49" s="154"/>
    </row>
    <row r="50" spans="1:17" ht="20.100000000000001" customHeight="1" x14ac:dyDescent="0.2">
      <c r="A50" s="5" t="str">
        <f>HYPERLINK("#'Constants - Poultry'!A1", "Constants - Poultry")</f>
        <v>Constants - Poultry</v>
      </c>
      <c r="D50" s="24" t="s">
        <v>625</v>
      </c>
      <c r="E50" s="174">
        <f>SUM(O33:O33)+N("Partial sum")</f>
        <v>0.1158</v>
      </c>
      <c r="F50" s="16" t="str">
        <f t="shared" si="2"/>
        <v>t CO2-e</v>
      </c>
      <c r="H50" s="154"/>
      <c r="I50" s="154"/>
      <c r="J50" s="154"/>
      <c r="L50" s="154"/>
      <c r="M50" s="154"/>
      <c r="N50" s="154"/>
      <c r="O50" s="154"/>
      <c r="P50" s="154"/>
      <c r="Q50" s="154"/>
    </row>
    <row r="51" spans="1:17" ht="20.100000000000001" customHeight="1" x14ac:dyDescent="0.2">
      <c r="A51" s="5" t="str">
        <f>HYPERLINK("#'Constants - Common livestock'!A1", "Constants - Common Livestock")</f>
        <v>Constants - Common Livestock</v>
      </c>
      <c r="D51" s="24" t="s">
        <v>626</v>
      </c>
      <c r="E51" s="174">
        <f>SUM(P33:P33)+N("Partial sum")</f>
        <v>0.193</v>
      </c>
      <c r="F51" s="16" t="str">
        <f t="shared" si="2"/>
        <v>t CO2-e</v>
      </c>
      <c r="H51" s="154"/>
      <c r="I51" s="154"/>
      <c r="J51" s="154"/>
      <c r="L51" s="154"/>
      <c r="M51" s="154"/>
      <c r="N51" s="154"/>
      <c r="O51" s="154"/>
      <c r="P51" s="154"/>
      <c r="Q51" s="154"/>
    </row>
    <row r="52" spans="1:17" ht="20.100000000000001" customHeight="1" x14ac:dyDescent="0.2">
      <c r="A52" s="5" t="str">
        <f>HYPERLINK("#'Constants - Electricity'!A1", "Constants - Electricity")</f>
        <v>Constants - Electricity</v>
      </c>
      <c r="D52" s="24" t="s">
        <v>239</v>
      </c>
      <c r="E52" s="174">
        <f>SUM(Q33)+N("Partial sum")</f>
        <v>6.6778000000000004</v>
      </c>
      <c r="F52" s="16" t="str">
        <f t="shared" si="2"/>
        <v>t CO2-e</v>
      </c>
      <c r="H52" s="154"/>
      <c r="I52" s="154"/>
      <c r="J52" s="154"/>
      <c r="L52" s="154"/>
      <c r="M52" s="154"/>
      <c r="N52" s="154"/>
      <c r="O52" s="154"/>
      <c r="P52" s="154"/>
      <c r="Q52" s="154"/>
    </row>
    <row r="53" spans="1:17" ht="20.100000000000001" customHeight="1" x14ac:dyDescent="0.2">
      <c r="A53" s="5" t="str">
        <f>HYPERLINK("#'Constants - Fertiliser'!A1", "Constants - Fertiliser")</f>
        <v>Constants - Fertiliser</v>
      </c>
      <c r="D53" s="154"/>
      <c r="E53" s="176"/>
      <c r="F53" s="154"/>
      <c r="G53" s="154"/>
      <c r="H53" s="154"/>
      <c r="I53" s="154"/>
      <c r="J53" s="154"/>
      <c r="L53" s="154"/>
      <c r="M53" s="154"/>
      <c r="N53" s="154"/>
      <c r="O53" s="154"/>
      <c r="P53" s="154"/>
      <c r="Q53" s="154"/>
    </row>
    <row r="54" spans="1:17" ht="20.100000000000001" customHeight="1" x14ac:dyDescent="0.2">
      <c r="A54" s="5" t="str">
        <f>HYPERLINK("#'Constants - Fuel'!A1", "Constants - Fuel")</f>
        <v>Constants - Fuel</v>
      </c>
      <c r="D54" s="171" t="str">
        <f>"Total scope 1 - " &amp; D34</f>
        <v>Total scope 1 - Aviation</v>
      </c>
      <c r="E54" s="175"/>
      <c r="F54" s="173"/>
      <c r="G54" s="154"/>
      <c r="H54" s="154"/>
      <c r="I54" s="154"/>
      <c r="J54" s="154"/>
      <c r="L54" s="154"/>
      <c r="M54" s="154"/>
      <c r="N54" s="154"/>
      <c r="O54" s="154"/>
      <c r="P54" s="154"/>
      <c r="Q54" s="154"/>
    </row>
    <row r="55" spans="1:17" ht="20.100000000000001" customHeight="1" x14ac:dyDescent="0.2">
      <c r="A55" s="5" t="str">
        <f>HYPERLINK("#'Constants - Scope 3'!A1", "Constants - Scope 3")</f>
        <v>Constants - Scope 3</v>
      </c>
      <c r="D55" s="24" t="s">
        <v>624</v>
      </c>
      <c r="E55" s="174">
        <f>SUM(N34:N36)+N("Partial sum")</f>
        <v>0</v>
      </c>
      <c r="F55" s="16" t="str">
        <f t="shared" ref="F55:F58" si="3">$E$12</f>
        <v>t CO2-e</v>
      </c>
      <c r="G55" s="154"/>
      <c r="H55" s="154"/>
      <c r="I55" s="154"/>
      <c r="J55" s="154"/>
      <c r="L55" s="154"/>
      <c r="M55" s="154"/>
      <c r="N55" s="154"/>
      <c r="O55" s="154"/>
      <c r="P55" s="154"/>
      <c r="Q55" s="154"/>
    </row>
    <row r="56" spans="1:17" ht="20.100000000000001" customHeight="1" x14ac:dyDescent="0.2">
      <c r="A56" s="5" t="str">
        <f>HYPERLINK("#'Constants - Solid Waste'!A1", "Constants - Solid Waste")</f>
        <v>Constants - Solid Waste</v>
      </c>
      <c r="D56" s="24" t="s">
        <v>625</v>
      </c>
      <c r="E56" s="174">
        <f>SUM(O34:O36)+N("Partial sum")</f>
        <v>0</v>
      </c>
      <c r="F56" s="16" t="str">
        <f t="shared" si="3"/>
        <v>t CO2-e</v>
      </c>
      <c r="G56" s="154"/>
      <c r="H56" s="154"/>
      <c r="I56" s="154"/>
      <c r="J56" s="154"/>
      <c r="L56" s="154"/>
      <c r="M56" s="154"/>
      <c r="N56" s="154"/>
      <c r="O56" s="154"/>
      <c r="P56" s="154"/>
      <c r="Q56" s="154"/>
    </row>
    <row r="57" spans="1:17" ht="20.100000000000001" customHeight="1" x14ac:dyDescent="0.2">
      <c r="A57" s="5" t="str">
        <f>HYPERLINK("#'Constants - Common'!A1", "Constants - Common")</f>
        <v>Constants - Common</v>
      </c>
      <c r="D57" s="24" t="s">
        <v>626</v>
      </c>
      <c r="E57" s="174">
        <f>SUM(P34:P36)+N("Partial sum")</f>
        <v>0</v>
      </c>
      <c r="F57" s="16" t="str">
        <f t="shared" si="3"/>
        <v>t CO2-e</v>
      </c>
      <c r="G57" s="154"/>
      <c r="H57" s="154"/>
      <c r="I57" s="154"/>
      <c r="J57" s="154"/>
      <c r="L57" s="154"/>
      <c r="M57" s="154"/>
      <c r="N57" s="154"/>
      <c r="O57" s="154"/>
      <c r="P57" s="154"/>
      <c r="Q57" s="154"/>
    </row>
    <row r="58" spans="1:17" ht="20.100000000000001" customHeight="1" x14ac:dyDescent="0.2">
      <c r="D58" s="24" t="s">
        <v>239</v>
      </c>
      <c r="E58" s="174">
        <f>SUM(Q34:Q36)+N("Partial sum")</f>
        <v>0</v>
      </c>
      <c r="F58" s="16" t="str">
        <f t="shared" si="3"/>
        <v>t CO2-e</v>
      </c>
      <c r="G58" s="154"/>
      <c r="H58" s="154"/>
      <c r="I58" s="154"/>
      <c r="J58" s="154"/>
      <c r="L58" s="154"/>
      <c r="M58" s="154"/>
      <c r="N58" s="154"/>
      <c r="O58" s="154"/>
      <c r="P58" s="154"/>
      <c r="Q58" s="154"/>
    </row>
    <row r="59" spans="1:17" ht="20.100000000000001" customHeight="1" x14ac:dyDescent="0.2">
      <c r="D59" s="154"/>
      <c r="E59" s="176"/>
      <c r="F59" s="154"/>
      <c r="G59" s="154"/>
      <c r="H59" s="154"/>
      <c r="I59" s="154"/>
      <c r="J59" s="154"/>
      <c r="L59" s="154"/>
      <c r="M59" s="154"/>
      <c r="N59" s="154"/>
      <c r="O59" s="154"/>
      <c r="P59" s="154"/>
      <c r="Q59" s="154"/>
    </row>
    <row r="60" spans="1:17" ht="20.100000000000001" customHeight="1" x14ac:dyDescent="0.2">
      <c r="D60" s="171" t="str">
        <f>"Total scope 1 - " &amp; D37</f>
        <v>Total scope 1 - Vessels</v>
      </c>
      <c r="E60" s="175"/>
      <c r="F60" s="173"/>
      <c r="G60" s="154"/>
      <c r="H60" s="154"/>
      <c r="I60" s="154"/>
      <c r="J60" s="154"/>
      <c r="L60" s="154"/>
      <c r="M60" s="154"/>
      <c r="N60" s="154"/>
      <c r="O60" s="154"/>
      <c r="P60" s="154"/>
      <c r="Q60" s="154"/>
    </row>
    <row r="61" spans="1:17" ht="20.100000000000001" customHeight="1" x14ac:dyDescent="0.2">
      <c r="D61" s="24" t="s">
        <v>624</v>
      </c>
      <c r="E61" s="174">
        <f>SUM(N37:N39)+N("Partial sum")</f>
        <v>29.219199999999997</v>
      </c>
      <c r="F61" s="16" t="str">
        <f t="shared" ref="F61:F64" si="4">$E$12</f>
        <v>t CO2-e</v>
      </c>
      <c r="G61" s="154"/>
      <c r="H61" s="154"/>
      <c r="I61" s="154"/>
      <c r="J61" s="154"/>
      <c r="L61" s="154"/>
      <c r="M61" s="154"/>
      <c r="N61" s="154"/>
      <c r="O61" s="154"/>
      <c r="P61" s="154"/>
      <c r="Q61" s="154"/>
    </row>
    <row r="62" spans="1:17" ht="20.100000000000001" customHeight="1" x14ac:dyDescent="0.2">
      <c r="D62" s="24" t="s">
        <v>625</v>
      </c>
      <c r="E62" s="174">
        <f>SUM(O37:O39)+N("Partial sum")</f>
        <v>7.9400000000000012E-2</v>
      </c>
      <c r="F62" s="16" t="str">
        <f t="shared" si="4"/>
        <v>t CO2-e</v>
      </c>
      <c r="G62" s="154"/>
      <c r="H62" s="154"/>
      <c r="I62" s="154"/>
      <c r="J62" s="154"/>
      <c r="L62" s="154"/>
      <c r="M62" s="154"/>
      <c r="N62" s="154"/>
      <c r="O62" s="154"/>
      <c r="P62" s="154"/>
      <c r="Q62" s="154"/>
    </row>
    <row r="63" spans="1:17" ht="20.100000000000001" customHeight="1" x14ac:dyDescent="0.2">
      <c r="D63" s="24" t="s">
        <v>626</v>
      </c>
      <c r="E63" s="174">
        <f>SUM(P37:P39)+N("Partial sum")</f>
        <v>0.19850000000000001</v>
      </c>
      <c r="F63" s="16" t="str">
        <f t="shared" si="4"/>
        <v>t CO2-e</v>
      </c>
      <c r="G63" s="154"/>
      <c r="H63" s="154"/>
      <c r="I63" s="154"/>
      <c r="J63" s="154"/>
      <c r="L63" s="154"/>
      <c r="M63" s="154"/>
      <c r="N63" s="154"/>
      <c r="O63" s="154"/>
      <c r="P63" s="154"/>
      <c r="Q63" s="154"/>
    </row>
    <row r="64" spans="1:17" ht="20.100000000000001" customHeight="1" x14ac:dyDescent="0.2">
      <c r="D64" s="24" t="s">
        <v>239</v>
      </c>
      <c r="E64" s="174">
        <f>SUM(Q37:Q39)+N("Partial sum")</f>
        <v>7.1459999999999999</v>
      </c>
      <c r="F64" s="16" t="str">
        <f t="shared" si="4"/>
        <v>t CO2-e</v>
      </c>
      <c r="G64" s="154"/>
      <c r="H64" s="154"/>
      <c r="I64" s="154"/>
      <c r="J64" s="154"/>
      <c r="L64" s="154"/>
      <c r="M64" s="154"/>
      <c r="N64" s="154"/>
      <c r="O64" s="154"/>
      <c r="P64" s="154"/>
      <c r="Q64" s="154"/>
    </row>
    <row r="65" spans="1:17" ht="20.100000000000001" customHeight="1" x14ac:dyDescent="0.2">
      <c r="G65" s="154"/>
      <c r="H65" s="154"/>
      <c r="I65" s="154"/>
      <c r="J65" s="154"/>
      <c r="L65" s="154"/>
      <c r="M65" s="154"/>
      <c r="N65" s="154"/>
      <c r="O65" s="154"/>
      <c r="P65" s="154"/>
      <c r="Q65" s="154"/>
    </row>
    <row r="66" spans="1:17" ht="20.100000000000001" customHeight="1" x14ac:dyDescent="0.2">
      <c r="D66" s="171" t="s">
        <v>627</v>
      </c>
      <c r="E66" s="177"/>
      <c r="F66" s="173"/>
      <c r="G66" s="154"/>
      <c r="H66" s="154"/>
      <c r="I66" s="154"/>
      <c r="J66" s="154"/>
      <c r="L66" s="154"/>
      <c r="M66" s="154"/>
      <c r="N66" s="154"/>
      <c r="O66" s="154"/>
      <c r="P66" s="154"/>
      <c r="Q66" s="154"/>
    </row>
    <row r="67" spans="1:17" ht="20.100000000000001" customHeight="1" x14ac:dyDescent="0.2">
      <c r="D67" s="24" t="s">
        <v>624</v>
      </c>
      <c r="E67" s="174">
        <f>E43+E49+E55+E61</f>
        <v>83.182000000000002</v>
      </c>
      <c r="F67" s="16" t="str">
        <f t="shared" ref="F67:F70" si="5">$E$12</f>
        <v>t CO2-e</v>
      </c>
      <c r="G67" s="154"/>
    </row>
    <row r="68" spans="1:17" ht="20.100000000000001" customHeight="1" x14ac:dyDescent="0.2">
      <c r="A68" s="79" t="str">
        <f>HYPERLINK("#A1", "▲ Back to top")</f>
        <v>▲ Back to top</v>
      </c>
      <c r="D68" s="24" t="s">
        <v>625</v>
      </c>
      <c r="E68" s="174">
        <f t="shared" ref="E68:E70" si="6">E44+E50+E56+E62</f>
        <v>0.19906000000000001</v>
      </c>
      <c r="F68" s="16" t="str">
        <f t="shared" si="5"/>
        <v>t CO2-e</v>
      </c>
      <c r="G68" s="154"/>
    </row>
    <row r="69" spans="1:17" ht="20.100000000000001" customHeight="1" x14ac:dyDescent="0.2">
      <c r="D69" s="24" t="s">
        <v>626</v>
      </c>
      <c r="E69" s="174">
        <f t="shared" si="6"/>
        <v>0.58450000000000002</v>
      </c>
      <c r="F69" s="16" t="str">
        <f t="shared" si="5"/>
        <v>t CO2-e</v>
      </c>
      <c r="G69" s="154"/>
    </row>
    <row r="70" spans="1:17" ht="20.100000000000001" customHeight="1" x14ac:dyDescent="0.2">
      <c r="D70" s="24" t="s">
        <v>239</v>
      </c>
      <c r="E70" s="174">
        <f t="shared" si="6"/>
        <v>20.5016</v>
      </c>
      <c r="F70" s="16" t="str">
        <f t="shared" si="5"/>
        <v>t CO2-e</v>
      </c>
      <c r="G70" s="154"/>
    </row>
    <row r="71" spans="1:17" ht="20.100000000000001" customHeight="1" x14ac:dyDescent="0.2">
      <c r="G71" s="154"/>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Q172 O150:Q150 E269 N166:Q166 O143:Q144 E228 O167:Q167 G132 I129:I133 F134:I134 F129:F132 H128:H132 G129 F148:I148 I149 F150:I150" xr:uid="{BA585954-7A82-4164-945F-B8B029D70527}"/>
  </dataValidations>
  <pageMargins left="0.7" right="0.7" top="0.75" bottom="0.75" header="0.3" footer="0.3"/>
  <pageSetup paperSize="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20E7BB-C94D-43B5-8500-9C7C1D9A6824}">
  <sheetPr>
    <tabColor rgb="FF008000"/>
  </sheetPr>
  <dimension ref="A1:R71"/>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20" customFormat="1" ht="30" customHeight="1" x14ac:dyDescent="0.35">
      <c r="A1" s="10" t="e" vm="1">
        <v>#VALUE!</v>
      </c>
      <c r="C1" s="20" t="s">
        <v>628</v>
      </c>
    </row>
    <row r="2" spans="1:18" s="3" customFormat="1" ht="20.100000000000001" customHeight="1" x14ac:dyDescent="0.2">
      <c r="A2"/>
    </row>
    <row r="3" spans="1:18" ht="20.100000000000001" customHeight="1" x14ac:dyDescent="0.2">
      <c r="A3" s="5" t="str">
        <f>HYPERLINK("#'Home'!A1", "Home")</f>
        <v>Home</v>
      </c>
      <c r="C3" s="22"/>
      <c r="D3" s="22" t="s">
        <v>130</v>
      </c>
      <c r="E3" s="22"/>
      <c r="F3" s="22"/>
      <c r="G3" s="22"/>
      <c r="H3" s="22"/>
      <c r="I3" s="22"/>
      <c r="J3" s="22"/>
      <c r="K3" s="22"/>
      <c r="L3" s="22"/>
      <c r="M3" s="22"/>
      <c r="N3" s="22"/>
      <c r="O3" s="22"/>
      <c r="P3" s="22"/>
      <c r="Q3" s="22"/>
      <c r="R3" s="22"/>
    </row>
    <row r="4" spans="1:18" ht="20.100000000000001" customHeight="1" x14ac:dyDescent="0.2">
      <c r="A4" s="5" t="str">
        <f>HYPERLINK("#'Results - Activity period'!A1", "Results - Activity period")</f>
        <v>Results - Activity period</v>
      </c>
    </row>
    <row r="5" spans="1:18" ht="20.100000000000001" customHeight="1" x14ac:dyDescent="0.2">
      <c r="A5" s="5" t="str">
        <f>HYPERLINK("#'Results - Product EI'!A1", "Results - Product Emissions Intensity")</f>
        <v>Results - Product Emissions Intensity</v>
      </c>
      <c r="D5" s="2" t="str" cm="1">
        <f t="array" ref="D5">Fuel_Equations.VEERG_8_2_1_1__1_FuelCombustionStationary_Title()</f>
        <v>Emissions for each GHG from the stationary combustion of fuels</v>
      </c>
      <c r="K5" s="2" t="str" cm="1">
        <f t="array" ref="K5">Scope3_Equations.VEERG_15_11_1_1__3_UpstreamStationaryFuelEmissions_Title()</f>
        <v>Upstream emissions from scope 1 stationary combustion fuel use</v>
      </c>
      <c r="O5" s="154"/>
      <c r="P5" s="154"/>
      <c r="Q5" s="154"/>
      <c r="R5" s="154"/>
    </row>
    <row r="6" spans="1:18" ht="20.100000000000001" customHeight="1" x14ac:dyDescent="0.2">
      <c r="D6" s="17" t="str" cm="1">
        <f t="array" ref="D6">Fuel_Equations.VEERG_8_2_1_1__1_FuelCombustionStationary_Source()</f>
        <v>VEERG 2026: 8.2.1.1, Equation (1)</v>
      </c>
      <c r="K6" s="17" t="str" cm="1">
        <f t="array" ref="K6">Scope3_Equations.VEERG_15_11_1_1__3_UpstreamStationaryFuelEmissions_Source()</f>
        <v>VEERG 2026: 15.11.1.1, Equation (3)</v>
      </c>
      <c r="O6" s="154"/>
      <c r="P6" s="154"/>
      <c r="Q6" s="154"/>
      <c r="R6" s="154"/>
    </row>
    <row r="7" spans="1:18" ht="20.100000000000001" customHeight="1" x14ac:dyDescent="0.2">
      <c r="D7" s="112" t="s">
        <v>328</v>
      </c>
      <c r="E7" s="112" t="str" cm="1">
        <f t="array" aca="1" ref="E7" ca="1">Common_InputFunctions.Utility_DisplayFunctionName(N25)</f>
        <v>=Fuel_Equations.VEERG_8_2_1_1__1_FuelCombustionStationary</v>
      </c>
      <c r="K7" s="25" t="str" cm="1">
        <f t="array" ref="K7">Scope3_Equations.VEERG_15_11_1_1__3_UpstreamStationaryFuelEmissions_Variation()</f>
        <v>VARIATION ON SOURCE: Added 'state' and 'metro/non-metro' arguments as gaseous scope 3 EFs are state and metro/non-metro location-based.</v>
      </c>
      <c r="O7" s="154"/>
      <c r="P7" s="154"/>
      <c r="Q7" s="154"/>
      <c r="R7" s="154"/>
    </row>
    <row r="8" spans="1:18" ht="20.100000000000001" customHeight="1" x14ac:dyDescent="0.2">
      <c r="A8" s="7" t="s">
        <v>0</v>
      </c>
      <c r="K8" s="112" t="s">
        <v>328</v>
      </c>
      <c r="L8" s="112" t="str" cm="1">
        <f t="array" aca="1" ref="L8" ca="1">Common_InputFunctions.Utility_DisplayFunctionName(Q25)</f>
        <v>=Fuel_Equations.VEERG_8_2_1_1__1_FuelCombustionStationary</v>
      </c>
      <c r="O8" s="154"/>
      <c r="P8" s="154"/>
      <c r="Q8" s="154"/>
      <c r="R8" s="154"/>
    </row>
    <row r="9" spans="1:18" ht="20.100000000000001" customHeight="1" x14ac:dyDescent="0.2">
      <c r="A9" s="5" t="str">
        <f>HYPERLINK("#'Input - Enterprise'!A1", "Enterprise")</f>
        <v>Enterprise</v>
      </c>
      <c r="G9" s="17"/>
      <c r="O9" s="154"/>
      <c r="P9" s="154"/>
      <c r="Q9" s="154"/>
      <c r="R9" s="154"/>
    </row>
    <row r="10" spans="1:18" ht="20.100000000000001" customHeight="1" x14ac:dyDescent="0.2">
      <c r="A10" s="5" t="str">
        <f>HYPERLINK("#'Input - Site'!A1", "Site")</f>
        <v>Site</v>
      </c>
      <c r="O10" s="154"/>
      <c r="P10" s="154"/>
      <c r="Q10" s="154"/>
      <c r="R10" s="154"/>
    </row>
    <row r="11" spans="1:18" ht="20.100000000000001" customHeight="1" x14ac:dyDescent="0.2">
      <c r="A11" s="5" t="str">
        <f>HYPERLINK("#'Input - Poultry'!A1", "Poultry")</f>
        <v>Poultry</v>
      </c>
      <c r="D11" s="75" t="s">
        <v>329</v>
      </c>
      <c r="E11" s="1" t="str" cm="1">
        <f t="array" ref="E11">Fuel_Equations.VEERG_8_2_1_1__1_FuelCombustionStationary_Variable()</f>
        <v>E_g</v>
      </c>
      <c r="K11" s="75" t="s">
        <v>329</v>
      </c>
      <c r="L11" s="1" t="str" cm="1">
        <f t="array" ref="L11">Scope3_Equations.VEERG_15_11_1_1__3_UpstreamStationaryFuelEmissions_Variable()</f>
        <v>E_WTTSCq</v>
      </c>
      <c r="O11" s="154"/>
      <c r="P11" s="154"/>
      <c r="Q11" s="154"/>
      <c r="R11" s="154"/>
    </row>
    <row r="12" spans="1:18" ht="20.100000000000001" customHeight="1" x14ac:dyDescent="0.2">
      <c r="A12" s="5" t="str">
        <f>HYPERLINK("#'Input - Livestock sales'!A1", "Livestock sales")</f>
        <v>Livestock sales</v>
      </c>
      <c r="D12" s="75" t="s">
        <v>118</v>
      </c>
      <c r="E12" s="9" t="str" cm="1">
        <f t="array" ref="E12">Fuel_Equations.VEERG_8_2_1_1__1_FuelCombustionStationary_Unit()</f>
        <v>t CO2-e</v>
      </c>
      <c r="K12" s="75" t="s">
        <v>118</v>
      </c>
      <c r="L12" s="9" t="str" cm="1">
        <f t="array" ref="L12">Scope3_Equations.VEERG_15_11_1_1__3_UpstreamStationaryFuelEmissions_Unit()</f>
        <v>t CO2e</v>
      </c>
    </row>
    <row r="13" spans="1:18" ht="20.100000000000001" customHeight="1" x14ac:dyDescent="0.2">
      <c r="A13" s="5" t="str">
        <f>HYPERLINK("#'Input - Poultry purchases'!A1", "Poultry purchases")</f>
        <v>Poultry purchases</v>
      </c>
    </row>
    <row r="14" spans="1:18" ht="20.100000000000001" customHeight="1" x14ac:dyDescent="0.2">
      <c r="A14" s="5" t="str">
        <f>HYPERLINK("#'Input - Fuel'!A1", "Fuel")</f>
        <v>Fuel</v>
      </c>
      <c r="D14" s="113" t="str" cm="1">
        <f t="array" ref="D14:E20">_xlfn.CHOOSECOLS(Fuel_Equations.VEERG_8_2_1_1__1_FuelCombustionStationary_Arguments(), 1,2)</f>
        <v>Q_SCq</v>
      </c>
      <c r="E14" s="122" t="str">
        <v>Amount of fuel type q used for stationary combustion operations</v>
      </c>
      <c r="F14" s="123"/>
      <c r="G14" s="113" t="str" cm="1">
        <f t="array" ref="G14:H20">_xlfn.CHOOSECOLS(Fuel_Equations.VEERG_8_2_1_1__1_FuelCombustionStationary_Arguments(), 3,4)</f>
        <v>Varies based on fuel type: kL, m3, GJ</v>
      </c>
      <c r="H14" s="114" t="str">
        <v>Input</v>
      </c>
      <c r="I14" s="116" t="str" cm="1">
        <f t="array" aca="1" ref="I14" ca="1">HYPERLINK(Common_InputFunctions.Utility_SourceHyperlink($D$22), $D$22)</f>
        <v>Table_E_g</v>
      </c>
      <c r="K14" s="113" t="str" cm="1">
        <f t="array" ref="K14:L18">_xlfn.CHOOSECOLS(Scope3_Equations.VEERG_15_11_1_1__3_UpstreamStationaryFuelEmissions_Arguments(),1,2)</f>
        <v>Q_SCq</v>
      </c>
      <c r="L14" s="113" t="str">
        <v>amount of fuel q used for stationary combustion operations</v>
      </c>
      <c r="M14" s="113"/>
      <c r="N14" s="113" t="str" cm="1">
        <f t="array" ref="N14:O18">_xlfn.CHOOSECOLS(Scope3_Equations.VEERG_15_11_1_1__3_UpstreamStationaryFuelEmissions_Arguments(),3,4)</f>
        <v>kL</v>
      </c>
      <c r="O14" s="114" t="str">
        <v>Input</v>
      </c>
      <c r="P14" s="116" t="str" cm="1">
        <f t="array" aca="1" ref="P14" ca="1">HYPERLINK(Common_InputFunctions.Utility_SourceHyperlink($D$22), $D$22)</f>
        <v>Table_E_g</v>
      </c>
      <c r="Q14" s="154"/>
    </row>
    <row r="15" spans="1:18" ht="20.100000000000001" customHeight="1" x14ac:dyDescent="0.2">
      <c r="A15" s="5" t="str">
        <f>HYPERLINK("#'Input - Electricity'!A1", "Electricity")</f>
        <v>Electricity</v>
      </c>
      <c r="D15" s="113" t="str">
        <v>EC_SCq</v>
      </c>
      <c r="E15" s="122" t="str">
        <v>Energy content factor for stationary combustion operations</v>
      </c>
      <c r="F15" s="123"/>
      <c r="G15" s="113" t="str">
        <v>GJ / unit of fuel</v>
      </c>
      <c r="H15" s="115" t="str">
        <v>Constant</v>
      </c>
      <c r="I15" s="116" t="str" cm="1">
        <f t="array" aca="1" ref="I15" ca="1">HYPERLINK(Common_InputFunctions.Utility_SourceHyperlink($D$22), $D$22)</f>
        <v>Table_E_g</v>
      </c>
      <c r="K15" s="113" t="str">
        <v>EC_SCq</v>
      </c>
      <c r="L15" s="113" t="str">
        <v>energy content factor for stationary combustion operations</v>
      </c>
      <c r="M15" s="113"/>
      <c r="N15" s="113" t="str">
        <v>GJ/kL</v>
      </c>
      <c r="O15" s="115" t="str">
        <v>Constant</v>
      </c>
      <c r="P15" s="116" t="str" cm="1">
        <f t="array" aca="1" ref="P15" ca="1">HYPERLINK(Common_InputFunctions.Utility_SourceHyperlink($D$22), $D$22)</f>
        <v>Table_E_g</v>
      </c>
      <c r="Q15" s="154"/>
    </row>
    <row r="16" spans="1:18" ht="20.100000000000001" customHeight="1" x14ac:dyDescent="0.2">
      <c r="A16" s="5" t="str">
        <f>HYPERLINK("#'Input - Common farm inputs'!A1", "Common farm inputs")</f>
        <v>Common farm inputs</v>
      </c>
      <c r="D16" s="113" t="str">
        <v>EF_SC1qg</v>
      </c>
      <c r="E16" s="122" t="str">
        <v>Scope 1 emission factor for stationary combustion for each greenhouse gas</v>
      </c>
      <c r="F16" s="123"/>
      <c r="G16" s="113" t="str">
        <v>kg CO2e / GJ</v>
      </c>
      <c r="H16" s="115" t="str">
        <v>Constant</v>
      </c>
      <c r="I16" s="116" t="str" cm="1">
        <f t="array" aca="1" ref="I16" ca="1">HYPERLINK(Common_InputFunctions.Utility_SourceHyperlink($D$22), $D$22)</f>
        <v>Table_E_g</v>
      </c>
      <c r="K16" s="113" t="str">
        <v>EF_SC3q</v>
      </c>
      <c r="L16" s="113" t="str">
        <v>scope 3 emission factor for stationary combustion operations</v>
      </c>
      <c r="M16" s="113"/>
      <c r="N16" s="113" t="str">
        <v>kg CO2e/GJ</v>
      </c>
      <c r="O16" s="115" t="str">
        <v>Constant</v>
      </c>
      <c r="P16" s="116" t="str" cm="1">
        <f t="array" aca="1" ref="P16" ca="1">HYPERLINK(Common_InputFunctions.Utility_SourceHyperlink($D$22), $D$22)</f>
        <v>Table_E_g</v>
      </c>
      <c r="Q16" s="154"/>
    </row>
    <row r="17" spans="1:17" ht="20.100000000000001" customHeight="1" x14ac:dyDescent="0.2">
      <c r="A17" s="5" t="str">
        <f>HYPERLINK("#'Input - Livestock farm Inputs'!A1", "Livestock farm Inputs")</f>
        <v>Livestock farm Inputs</v>
      </c>
      <c r="D17" s="113" t="str">
        <v>q</v>
      </c>
      <c r="E17" s="122" t="str">
        <v>Fuel type</v>
      </c>
      <c r="F17" s="123"/>
      <c r="G17" s="113" t="str">
        <v/>
      </c>
      <c r="H17" s="115" t="str">
        <v>Constant</v>
      </c>
      <c r="I17" s="116"/>
      <c r="J17" s="154"/>
      <c r="K17" s="113" t="str">
        <v>i</v>
      </c>
      <c r="L17" s="122" t="str">
        <v>state</v>
      </c>
      <c r="M17" s="123"/>
      <c r="N17" s="113" t="str">
        <v/>
      </c>
      <c r="O17" s="114" t="str">
        <v>Input</v>
      </c>
      <c r="P17" s="113" t="str">
        <f>X_Cell_Site_State</f>
        <v>Dry climate zone</v>
      </c>
      <c r="Q17" s="154"/>
    </row>
    <row r="18" spans="1:17" ht="20.100000000000001" customHeight="1" x14ac:dyDescent="0.2">
      <c r="A18" s="5" t="str">
        <f>HYPERLINK("#'Input - Freight'!A1", "Freight")</f>
        <v>Freight</v>
      </c>
      <c r="D18" s="113" t="str">
        <v>SC</v>
      </c>
      <c r="E18" s="122" t="str">
        <v>Stationary combustion</v>
      </c>
      <c r="F18" s="123"/>
      <c r="G18" s="113" t="str">
        <v/>
      </c>
      <c r="H18" s="115" t="str">
        <v>Constant</v>
      </c>
      <c r="I18" s="116"/>
      <c r="J18" s="154"/>
      <c r="K18" s="113" t="str">
        <v>m</v>
      </c>
      <c r="L18" s="122" t="str">
        <v>metropolitan/non-metropolitan location</v>
      </c>
      <c r="M18" s="123"/>
      <c r="N18" s="113" t="str">
        <v/>
      </c>
      <c r="O18" s="114" t="str">
        <v>Input</v>
      </c>
      <c r="P18" s="113" t="str">
        <f>X_Cell_Fuel_IsMetroLocation</f>
        <v>Metro</v>
      </c>
      <c r="Q18" s="154"/>
    </row>
    <row r="19" spans="1:17" ht="20.100000000000001" customHeight="1" x14ac:dyDescent="0.2">
      <c r="A19" s="5" t="str">
        <f>HYPERLINK("#'Input - Solid waste'!A1", "Solid waste")</f>
        <v>Solid waste</v>
      </c>
      <c r="D19" s="113" t="str">
        <v>g</v>
      </c>
      <c r="E19" s="122" t="str">
        <v>Greenhouse gas</v>
      </c>
      <c r="F19" s="123"/>
      <c r="G19" s="113" t="str">
        <v/>
      </c>
      <c r="H19" s="115" t="str">
        <v>Constant</v>
      </c>
      <c r="I19" s="116"/>
      <c r="J19" s="154"/>
      <c r="L19" s="154"/>
      <c r="N19" s="154"/>
      <c r="O19" s="154"/>
      <c r="P19" s="154"/>
      <c r="Q19" s="154"/>
    </row>
    <row r="20" spans="1:17" ht="20.100000000000001" customHeight="1" x14ac:dyDescent="0.2">
      <c r="A20" s="5" t="str">
        <f>HYPERLINK("#'Input - Manure sent off-site'!A1", "Manure sent off-site")</f>
        <v>Manure sent off-site</v>
      </c>
      <c r="D20" s="113" t="str">
        <v>1</v>
      </c>
      <c r="E20" s="122" t="str">
        <v>Scope 1</v>
      </c>
      <c r="F20" s="123"/>
      <c r="G20" s="113" t="str">
        <v/>
      </c>
      <c r="H20" s="115" t="str">
        <v>Constant</v>
      </c>
      <c r="I20" s="116"/>
      <c r="J20" s="154"/>
      <c r="L20" s="154"/>
      <c r="N20" s="154"/>
      <c r="O20" s="154"/>
      <c r="P20" s="154"/>
      <c r="Q20" s="154"/>
    </row>
    <row r="21" spans="1:17" ht="20.100000000000001" customHeight="1" x14ac:dyDescent="0.2">
      <c r="A21" s="5" t="str">
        <f>HYPERLINK("#'Input - Data quality'!A1", "Data quality")</f>
        <v>Data quality</v>
      </c>
      <c r="O21" s="154"/>
      <c r="P21" s="154"/>
      <c r="Q21" s="154"/>
    </row>
    <row r="22" spans="1:17" ht="20.100000000000001" customHeight="1" x14ac:dyDescent="0.2">
      <c r="A22" s="5" t="str">
        <f>HYPERLINK("#'Input - Fert Prod System'!A1", "Fert Prod System")</f>
        <v>Fert Prod System</v>
      </c>
      <c r="D22" s="118" t="s">
        <v>608</v>
      </c>
    </row>
    <row r="23" spans="1:17" ht="20.100000000000001" customHeight="1" x14ac:dyDescent="0.2">
      <c r="A23" s="5" t="str">
        <f>HYPERLINK("#'Input - Fertiliser'!A1", "Fertiliser")</f>
        <v>Fertiliser</v>
      </c>
      <c r="D23" s="119" t="s">
        <v>629</v>
      </c>
    </row>
    <row r="24" spans="1:17" ht="20.100000000000001" customHeight="1" x14ac:dyDescent="0.2">
      <c r="D24" s="120" t="s">
        <v>610</v>
      </c>
      <c r="E24" s="120" t="s">
        <v>611</v>
      </c>
      <c r="F24" s="120" t="s">
        <v>612</v>
      </c>
      <c r="G24" s="120" t="s">
        <v>630</v>
      </c>
      <c r="H24" s="120" t="s">
        <v>631</v>
      </c>
      <c r="I24" s="120" t="s">
        <v>632</v>
      </c>
      <c r="J24" s="120" t="s">
        <v>633</v>
      </c>
      <c r="K24" s="120" t="s">
        <v>634</v>
      </c>
      <c r="L24" s="78" t="s">
        <v>635</v>
      </c>
      <c r="M24" s="120" t="s">
        <v>619</v>
      </c>
      <c r="N24" s="120" t="s">
        <v>620</v>
      </c>
      <c r="O24" s="120" t="s">
        <v>621</v>
      </c>
      <c r="P24" s="120" t="s">
        <v>622</v>
      </c>
      <c r="Q24" s="120" t="s">
        <v>636</v>
      </c>
    </row>
    <row r="25" spans="1:17" ht="20.100000000000001" customHeight="1" x14ac:dyDescent="0.2">
      <c r="D25" s="24" t="str">
        <f>Table_FuelTypesPerUse[[#Headers],[Generators]]</f>
        <v>Generators</v>
      </c>
      <c r="E25" s="155" t="str">
        <f>'Constants - Fuel'!$D$58</f>
        <v>Automotive gasoline / petrol (other than for use as fuel in an aircraft)</v>
      </c>
      <c r="F25" s="155" t="str">
        <f>'Constants - Fuel'!D131</f>
        <v>Petrol</v>
      </c>
      <c r="G25" s="15">
        <f>IFERROR(_xlfn.XLOOKUP($E25, Table_Fuel_EFs_StationaryLiquid[Fuel combusted], Table_Fuel_EFs_StationaryLiquid[Energy Content Factor (GJ per unit of fuel)]),0)</f>
        <v>34.200000000000003</v>
      </c>
      <c r="H25" s="15">
        <f>IFERROR(_xlfn.XLOOKUP($E25, Table_Fuel_EFs_StationaryLiquid[Fuel combusted], Table_Fuel_EFs_StationaryLiquid[Scope 1 Emission Factor (kg CO2 - e / GJ) CO2]),0)</f>
        <v>67.400000000000006</v>
      </c>
      <c r="I25" s="15">
        <f>IFERROR(_xlfn.XLOOKUP($E25, Table_Fuel_EFs_StationaryLiquid[Fuel combusted], Table_Fuel_EFs_StationaryLiquid[Scope 1 Emission Factor (kg CO2 - e / GJ) CH4]),0)</f>
        <v>0.2</v>
      </c>
      <c r="J25" s="15">
        <f>IFERROR(_xlfn.XLOOKUP($E25, Table_Fuel_EFs_StationaryLiquid[Fuel combusted], Table_Fuel_EFs_StationaryLiquid[Scope 1 Emission Factor (kg CO2 - e / GJ) N2O]),0)</f>
        <v>0.2</v>
      </c>
      <c r="K25" s="15">
        <f>IFERROR(_xlfn.XLOOKUP($E25, Table_Fuel_EFs_StationaryLiquid[Fuel combusted], Table_Fuel_EFs_StationaryLiquid[Scope 3 Emission Factor (kg CO2 - e / GJ)]),0)</f>
        <v>17.2</v>
      </c>
      <c r="L25" s="156" cm="1">
        <f t="array" ref="L25">Fuel_InputFunctions.Fuel_TotalConsumption(Table_Input_Fuel[Amount consumed], Table_Input_Fuel[Fuel use (select)], D25, Table_Input_Fuel[Fuel type (select)],F25)</f>
        <v>0</v>
      </c>
      <c r="M25" s="156" t="str" cm="1">
        <f t="array" ref="M25">Common_InputFunctions.Utility_LookupValueInTable(F25,Table_FuelTypes_Units[Fuel type],Table_FuelTypes_Units[Unit])</f>
        <v>kL</v>
      </c>
      <c r="N25" s="178" cm="1">
        <f t="array" ref="N25">Fuel_Equations.VEERG_8_2_1_1__1_FuelCombustionStationary($L25,$G25,H25)</f>
        <v>0</v>
      </c>
      <c r="O25" s="178" cm="1">
        <f t="array" ref="O25">Fuel_Equations.VEERG_8_2_1_1__1_FuelCombustionStationary($L25,$G25,I25)</f>
        <v>0</v>
      </c>
      <c r="P25" s="178" cm="1">
        <f t="array" ref="P25">Fuel_Equations.VEERG_8_2_1_1__1_FuelCombustionStationary($L25,$G25,J25)</f>
        <v>0</v>
      </c>
      <c r="Q25" s="178" cm="1">
        <f t="array" ref="Q25">Fuel_Equations.VEERG_8_2_1_1__1_FuelCombustionStationary($L25,$G25,IF(ISNUMBER(K25), K25, 0))</f>
        <v>0</v>
      </c>
    </row>
    <row r="26" spans="1:17" ht="20.100000000000001" customHeight="1" x14ac:dyDescent="0.2">
      <c r="A26" s="6" t="s">
        <v>2</v>
      </c>
      <c r="D26" s="158" t="str">
        <f t="shared" ref="D26:D31" si="0">$D$25</f>
        <v>Generators</v>
      </c>
      <c r="E26" s="155" t="str">
        <f>'Constants - Fuel'!$D$63</f>
        <v>Diesel oil</v>
      </c>
      <c r="F26" s="155" t="str">
        <f>'Constants - Fuel'!D132</f>
        <v>Diesel</v>
      </c>
      <c r="G26" s="15">
        <f>IFERROR(_xlfn.XLOOKUP($E26, Table_Fuel_EFs_StationaryLiquid[Fuel combusted], Table_Fuel_EFs_StationaryLiquid[Energy Content Factor (GJ per unit of fuel)]),0)</f>
        <v>38.6</v>
      </c>
      <c r="H26" s="15">
        <f>IFERROR(_xlfn.XLOOKUP($E26, Table_Fuel_EFs_StationaryLiquid[Fuel combusted], Table_Fuel_EFs_StationaryLiquid[Scope 1 Emission Factor (kg CO2 - e / GJ) CO2]),0)</f>
        <v>69.900000000000006</v>
      </c>
      <c r="I26" s="15">
        <f>IFERROR(_xlfn.XLOOKUP($E26, Table_Fuel_EFs_StationaryLiquid[Fuel combusted], Table_Fuel_EFs_StationaryLiquid[Scope 1 Emission Factor (kg CO2 - e / GJ) CH4]),0)</f>
        <v>0.1</v>
      </c>
      <c r="J26" s="15">
        <f>IFERROR(_xlfn.XLOOKUP($E26, Table_Fuel_EFs_StationaryLiquid[Fuel combusted], Table_Fuel_EFs_StationaryLiquid[Scope 1 Emission Factor (kg CO2 - e / GJ) N2O]),0)</f>
        <v>0.2</v>
      </c>
      <c r="K26" s="15">
        <f>IFERROR(_xlfn.XLOOKUP($E26, Table_Fuel_EFs_StationaryLiquid[Fuel combusted], Table_Fuel_EFs_StationaryLiquid[Scope 3 Emission Factor (kg CO2 - e / GJ)]),0)</f>
        <v>17.3</v>
      </c>
      <c r="L26" s="156" cm="1">
        <f t="array" ref="L26">Fuel_InputFunctions.Fuel_TotalConsumption(Table_Input_Fuel[Amount consumed], Table_Input_Fuel[Fuel use (select)], D26, Table_Input_Fuel[Fuel type (select)],F26)</f>
        <v>0</v>
      </c>
      <c r="M26" s="156" t="str" cm="1">
        <f t="array" ref="M26">Common_InputFunctions.Utility_LookupValueInTable(F26,Table_FuelTypes_Units[Fuel type],Table_FuelTypes_Units[Unit])</f>
        <v>kL</v>
      </c>
      <c r="N26" s="178" cm="1">
        <f t="array" ref="N26">Fuel_Equations.VEERG_8_2_1_1__1_FuelCombustionStationary($L26,$G26,H26)</f>
        <v>0</v>
      </c>
      <c r="O26" s="178" cm="1">
        <f t="array" ref="O26">Fuel_Equations.VEERG_8_2_1_1__1_FuelCombustionStationary($L26,$G26,I26)</f>
        <v>0</v>
      </c>
      <c r="P26" s="178" cm="1">
        <f t="array" ref="P26">Fuel_Equations.VEERG_8_2_1_1__1_FuelCombustionStationary($L26,$G26,J26)</f>
        <v>0</v>
      </c>
      <c r="Q26" s="178" cm="1">
        <f t="array" ref="Q26">Fuel_Equations.VEERG_8_2_1_1__1_FuelCombustionStationary($L26,$G26,IF(ISNUMBER(K26), K26, 0))</f>
        <v>0</v>
      </c>
    </row>
    <row r="27" spans="1:17" ht="20.100000000000001" customHeight="1" x14ac:dyDescent="0.2">
      <c r="A27" s="5" t="str">
        <f>HYPERLINK("#'4.6.1.1-2 Methane'!A1", "4.6.1.1-2 Manure Methane")</f>
        <v>4.6.1.1-2 Manure Methane</v>
      </c>
      <c r="D27" s="158" t="str">
        <f t="shared" si="0"/>
        <v>Generators</v>
      </c>
      <c r="E27" s="155" t="str">
        <f>'Constants - Fuel'!$D$67</f>
        <v>Liquefied petroleum gas (LPG)</v>
      </c>
      <c r="F27" s="155" t="str">
        <f>'Constants - Fuel'!D133</f>
        <v>Liquefied petroleum gas (LPG)</v>
      </c>
      <c r="G27" s="15">
        <f>IFERROR(_xlfn.XLOOKUP($E27, Table_Fuel_EFs_StationaryLiquid[Fuel combusted], Table_Fuel_EFs_StationaryLiquid[Energy Content Factor (GJ per unit of fuel)]),0)</f>
        <v>25.7</v>
      </c>
      <c r="H27" s="15">
        <f>IFERROR(_xlfn.XLOOKUP($E27, Table_Fuel_EFs_StationaryLiquid[Fuel combusted], Table_Fuel_EFs_StationaryLiquid[Scope 1 Emission Factor (kg CO2 - e / GJ) CO2]),0)</f>
        <v>60.2</v>
      </c>
      <c r="I27" s="15">
        <f>IFERROR(_xlfn.XLOOKUP($E27, Table_Fuel_EFs_StationaryLiquid[Fuel combusted], Table_Fuel_EFs_StationaryLiquid[Scope 1 Emission Factor (kg CO2 - e / GJ) CH4]),0)</f>
        <v>0.2</v>
      </c>
      <c r="J27" s="15">
        <f>IFERROR(_xlfn.XLOOKUP($E27, Table_Fuel_EFs_StationaryLiquid[Fuel combusted], Table_Fuel_EFs_StationaryLiquid[Scope 1 Emission Factor (kg CO2 - e / GJ) N2O]),0)</f>
        <v>0.2</v>
      </c>
      <c r="K27" s="15">
        <f>IFERROR(_xlfn.XLOOKUP($E27, Table_Fuel_EFs_StationaryLiquid[Fuel combusted], Table_Fuel_EFs_StationaryLiquid[Scope 3 Emission Factor (kg CO2 - e / GJ)]),0)</f>
        <v>20.2</v>
      </c>
      <c r="L27" s="156" cm="1">
        <f t="array" ref="L27">Fuel_InputFunctions.Fuel_TotalConsumption(Table_Input_Fuel[Amount consumed], Table_Input_Fuel[Fuel use (select)], D27, Table_Input_Fuel[Fuel type (select)],F27)</f>
        <v>0</v>
      </c>
      <c r="M27" s="156" t="str" cm="1">
        <f t="array" ref="M27">Common_InputFunctions.Utility_LookupValueInTable(F27,Table_FuelTypes_Units[Fuel type],Table_FuelTypes_Units[Unit])</f>
        <v>kL</v>
      </c>
      <c r="N27" s="178" cm="1">
        <f t="array" ref="N27">Fuel_Equations.VEERG_8_2_1_1__1_FuelCombustionStationary($L27,$G27,H27)</f>
        <v>0</v>
      </c>
      <c r="O27" s="178" cm="1">
        <f t="array" ref="O27">Fuel_Equations.VEERG_8_2_1_1__1_FuelCombustionStationary($L27,$G27,I27)</f>
        <v>0</v>
      </c>
      <c r="P27" s="178" cm="1">
        <f t="array" ref="P27">Fuel_Equations.VEERG_8_2_1_1__1_FuelCombustionStationary($L27,$G27,J27)</f>
        <v>0</v>
      </c>
      <c r="Q27" s="178" cm="1">
        <f t="array" ref="Q27">Fuel_Equations.VEERG_8_2_1_1__1_FuelCombustionStationary($L27,$G27,IF(ISNUMBER(K27), K27, 0))</f>
        <v>0</v>
      </c>
    </row>
    <row r="28" spans="1:17" ht="20.100000000000001" customHeight="1" x14ac:dyDescent="0.2">
      <c r="A28" s="5" t="str">
        <f>HYPERLINK("#'4.6.1.3-4 Direct N20'!A1", "4.6.1.3-4 Manure Direct N2O")</f>
        <v>4.6.1.3-4 Manure Direct N2O</v>
      </c>
      <c r="D28" s="158" t="str">
        <f t="shared" si="0"/>
        <v>Generators</v>
      </c>
      <c r="E28" s="155" t="str">
        <f>'Constants - Fuel'!$D$73</f>
        <v>Biodiesel</v>
      </c>
      <c r="F28" s="155" t="str">
        <f>'Constants - Fuel'!D134</f>
        <v>Biodiesel</v>
      </c>
      <c r="G28" s="15">
        <f>IFERROR(_xlfn.XLOOKUP($E28, Table_Fuel_EFs_StationaryLiquid[Fuel combusted], Table_Fuel_EFs_StationaryLiquid[Energy Content Factor (GJ per unit of fuel)]),0)</f>
        <v>34.6</v>
      </c>
      <c r="H28" s="15">
        <f>IFERROR(_xlfn.XLOOKUP($E28, Table_Fuel_EFs_StationaryLiquid[Fuel combusted], Table_Fuel_EFs_StationaryLiquid[Scope 1 Emission Factor (kg CO2 - e / GJ) CO2]),0)</f>
        <v>0</v>
      </c>
      <c r="I28" s="15">
        <f>IFERROR(_xlfn.XLOOKUP($E28, Table_Fuel_EFs_StationaryLiquid[Fuel combusted], Table_Fuel_EFs_StationaryLiquid[Scope 1 Emission Factor (kg CO2 - e / GJ) CH4]),0)</f>
        <v>0.08</v>
      </c>
      <c r="J28" s="15">
        <f>IFERROR(_xlfn.XLOOKUP($E28, Table_Fuel_EFs_StationaryLiquid[Fuel combusted], Table_Fuel_EFs_StationaryLiquid[Scope 1 Emission Factor (kg CO2 - e / GJ) N2O]),0)</f>
        <v>0.2</v>
      </c>
      <c r="K28" s="15" t="str">
        <f>IFERROR(_xlfn.XLOOKUP($E28, Table_Fuel_EFs_StationaryLiquid[Fuel combusted], Table_Fuel_EFs_StationaryLiquid[Scope 3 Emission Factor (kg CO2 - e / GJ)]),0)</f>
        <v>NE</v>
      </c>
      <c r="L28" s="156" cm="1">
        <f t="array" ref="L28">Fuel_InputFunctions.Fuel_TotalConsumption(Table_Input_Fuel[Amount consumed], Table_Input_Fuel[Fuel use (select)], D28, Table_Input_Fuel[Fuel type (select)],F28)</f>
        <v>0</v>
      </c>
      <c r="M28" s="156" t="str" cm="1">
        <f t="array" ref="M28">Common_InputFunctions.Utility_LookupValueInTable(F28,Table_FuelTypes_Units[Fuel type],Table_FuelTypes_Units[Unit])</f>
        <v>kL</v>
      </c>
      <c r="N28" s="178" cm="1">
        <f t="array" ref="N28">Fuel_Equations.VEERG_8_2_1_1__1_FuelCombustionStationary($L28,$G28,H28)</f>
        <v>0</v>
      </c>
      <c r="O28" s="178" cm="1">
        <f t="array" ref="O28">Fuel_Equations.VEERG_8_2_1_1__1_FuelCombustionStationary($L28,$G28,I28)</f>
        <v>0</v>
      </c>
      <c r="P28" s="178" cm="1">
        <f t="array" ref="P28">Fuel_Equations.VEERG_8_2_1_1__1_FuelCombustionStationary($L28,$G28,J28)</f>
        <v>0</v>
      </c>
      <c r="Q28" s="178" cm="1">
        <f t="array" ref="Q28">Fuel_Equations.VEERG_8_2_1_1__1_FuelCombustionStationary($L28,$G28,IF(ISNUMBER(K28), K28, 0))</f>
        <v>0</v>
      </c>
    </row>
    <row r="29" spans="1:17" ht="20.100000000000001" customHeight="1" x14ac:dyDescent="0.2">
      <c r="A29" s="5" t="str">
        <f>HYPERLINK("#'4.6.1.5-6 Atmos Dep'!A1", "4.6.1.5-6 Manure Atmos Dep")</f>
        <v>4.6.1.5-6 Manure Atmos Dep</v>
      </c>
      <c r="D29" s="158" t="str">
        <f t="shared" si="0"/>
        <v>Generators</v>
      </c>
      <c r="E29" s="155" t="str">
        <f>'Constants - Fuel'!$D$74</f>
        <v>Ethanol for use as a fuel in an internal combustion engine</v>
      </c>
      <c r="F29" s="155" t="str">
        <f>'Constants - Fuel'!D135</f>
        <v>Ethanol</v>
      </c>
      <c r="G29" s="15">
        <f>IFERROR(_xlfn.XLOOKUP($E29, Table_Fuel_EFs_StationaryLiquid[Fuel combusted], Table_Fuel_EFs_StationaryLiquid[Energy Content Factor (GJ per unit of fuel)]),0)</f>
        <v>23.4</v>
      </c>
      <c r="H29" s="15">
        <f>IFERROR(_xlfn.XLOOKUP($E29, Table_Fuel_EFs_StationaryLiquid[Fuel combusted], Table_Fuel_EFs_StationaryLiquid[Scope 1 Emission Factor (kg CO2 - e / GJ) CO2]),0)</f>
        <v>0</v>
      </c>
      <c r="I29" s="15">
        <f>IFERROR(_xlfn.XLOOKUP($E29, Table_Fuel_EFs_StationaryLiquid[Fuel combusted], Table_Fuel_EFs_StationaryLiquid[Scope 1 Emission Factor (kg CO2 - e / GJ) CH4]),0)</f>
        <v>0.08</v>
      </c>
      <c r="J29" s="15">
        <f>IFERROR(_xlfn.XLOOKUP($E29, Table_Fuel_EFs_StationaryLiquid[Fuel combusted], Table_Fuel_EFs_StationaryLiquid[Scope 1 Emission Factor (kg CO2 - e / GJ) N2O]),0)</f>
        <v>0.2</v>
      </c>
      <c r="K29" s="15" t="str">
        <f>IFERROR(_xlfn.XLOOKUP($E29, Table_Fuel_EFs_StationaryLiquid[Fuel combusted], Table_Fuel_EFs_StationaryLiquid[Scope 3 Emission Factor (kg CO2 - e / GJ)]),0)</f>
        <v>NE</v>
      </c>
      <c r="L29" s="156" cm="1">
        <f t="array" ref="L29">Fuel_InputFunctions.Fuel_TotalConsumption(Table_Input_Fuel[Amount consumed], Table_Input_Fuel[Fuel use (select)], D29, Table_Input_Fuel[Fuel type (select)],F29)</f>
        <v>0</v>
      </c>
      <c r="M29" s="156" t="str" cm="1">
        <f t="array" ref="M29">Common_InputFunctions.Utility_LookupValueInTable(F29,Table_FuelTypes_Units[Fuel type],Table_FuelTypes_Units[Unit])</f>
        <v>kL</v>
      </c>
      <c r="N29" s="178" cm="1">
        <f t="array" ref="N29">Fuel_Equations.VEERG_8_2_1_1__1_FuelCombustionStationary($L29,$G29,H29)</f>
        <v>0</v>
      </c>
      <c r="O29" s="178" cm="1">
        <f t="array" ref="O29">Fuel_Equations.VEERG_8_2_1_1__1_FuelCombustionStationary($L29,$G29,I29)</f>
        <v>0</v>
      </c>
      <c r="P29" s="178" cm="1">
        <f t="array" ref="P29">Fuel_Equations.VEERG_8_2_1_1__1_FuelCombustionStationary($L29,$G29,J29)</f>
        <v>0</v>
      </c>
      <c r="Q29" s="178" cm="1">
        <f t="array" ref="Q29">Fuel_Equations.VEERG_8_2_1_1__1_FuelCombustionStationary($L29,$G29,IF(ISNUMBER(K29), K29, 0))</f>
        <v>0</v>
      </c>
    </row>
    <row r="30" spans="1:17" ht="20.100000000000001" customHeight="1" x14ac:dyDescent="0.2">
      <c r="A30" s="5" t="str">
        <f>HYPERLINK("#'4.6.1.7-8 Leaching and runoff'!A1", "4.6.1.7-8 Manure Leaching and runoff")</f>
        <v>4.6.1.7-8 Manure Leaching and runoff</v>
      </c>
      <c r="D30" s="158" t="str">
        <f t="shared" si="0"/>
        <v>Generators</v>
      </c>
      <c r="E30" s="155" t="str">
        <f>'Constants - Fuel'!$D$75</f>
        <v>Biofuels other than those mentioned in the items above and below</v>
      </c>
      <c r="F30" s="155" t="str">
        <f>'Constants - Fuel'!D136</f>
        <v>Other biofuels</v>
      </c>
      <c r="G30" s="15">
        <f>IFERROR(_xlfn.XLOOKUP($E30, Table_Fuel_EFs_StationaryLiquid[Fuel combusted], Table_Fuel_EFs_StationaryLiquid[Energy Content Factor (GJ per unit of fuel)]),0)</f>
        <v>23.4</v>
      </c>
      <c r="H30" s="15">
        <f>IFERROR(_xlfn.XLOOKUP($E30, Table_Fuel_EFs_StationaryLiquid[Fuel combusted], Table_Fuel_EFs_StationaryLiquid[Scope 1 Emission Factor (kg CO2 - e / GJ) CO2]),0)</f>
        <v>0</v>
      </c>
      <c r="I30" s="15">
        <f>IFERROR(_xlfn.XLOOKUP($E30, Table_Fuel_EFs_StationaryLiquid[Fuel combusted], Table_Fuel_EFs_StationaryLiquid[Scope 1 Emission Factor (kg CO2 - e / GJ) CH4]),0)</f>
        <v>0.08</v>
      </c>
      <c r="J30" s="15">
        <f>IFERROR(_xlfn.XLOOKUP($E30, Table_Fuel_EFs_StationaryLiquid[Fuel combusted], Table_Fuel_EFs_StationaryLiquid[Scope 1 Emission Factor (kg CO2 - e / GJ) N2O]),0)</f>
        <v>0.2</v>
      </c>
      <c r="K30" s="15" t="str">
        <f>IFERROR(_xlfn.XLOOKUP($E30, Table_Fuel_EFs_StationaryLiquid[Fuel combusted], Table_Fuel_EFs_StationaryLiquid[Scope 3 Emission Factor (kg CO2 - e / GJ)]),0)</f>
        <v>NE</v>
      </c>
      <c r="L30" s="156" cm="1">
        <f t="array" ref="L30">Fuel_InputFunctions.Fuel_TotalConsumption(Table_Input_Fuel[Amount consumed], Table_Input_Fuel[Fuel use (select)], D30, Table_Input_Fuel[Fuel type (select)],F30)</f>
        <v>0</v>
      </c>
      <c r="M30" s="156" t="str" cm="1">
        <f t="array" ref="M30">Common_InputFunctions.Utility_LookupValueInTable(F30,Table_FuelTypes_Units[Fuel type],Table_FuelTypes_Units[Unit])</f>
        <v>kL</v>
      </c>
      <c r="N30" s="178" cm="1">
        <f t="array" ref="N30">Fuel_Equations.VEERG_8_2_1_1__1_FuelCombustionStationary($L30,$G30,H30)</f>
        <v>0</v>
      </c>
      <c r="O30" s="178" cm="1">
        <f t="array" ref="O30">Fuel_Equations.VEERG_8_2_1_1__1_FuelCombustionStationary($L30,$G30,I30)</f>
        <v>0</v>
      </c>
      <c r="P30" s="178" cm="1">
        <f t="array" ref="P30">Fuel_Equations.VEERG_8_2_1_1__1_FuelCombustionStationary($L30,$G30,J30)</f>
        <v>0</v>
      </c>
      <c r="Q30" s="178" cm="1">
        <f t="array" ref="Q30">Fuel_Equations.VEERG_8_2_1_1__1_FuelCombustionStationary($L30,$G30,IF(ISNUMBER(K30), K30, 0))</f>
        <v>0</v>
      </c>
    </row>
    <row r="31" spans="1:17" ht="20.100000000000001" customHeight="1" x14ac:dyDescent="0.2">
      <c r="A31" s="5" t="str">
        <f>HYPERLINK("#'4.6.1.9 Manure applied to soils'!A1", "4.6.1.9 Manure applied to soils")</f>
        <v>4.6.1.9 Manure applied to soils</v>
      </c>
      <c r="D31" s="158" t="str">
        <f t="shared" si="0"/>
        <v>Generators</v>
      </c>
      <c r="E31" s="155" t="str">
        <f>'Constants - Fuel'!$D$77</f>
        <v>Renewable diesel</v>
      </c>
      <c r="F31" s="155" t="str">
        <f>'Constants - Fuel'!D137</f>
        <v>Renewable diesel</v>
      </c>
      <c r="G31" s="152">
        <f>IFERROR(_xlfn.XLOOKUP($E31, Table_Fuel_EFs_StationaryLiquid[Fuel combusted], Table_Fuel_EFs_StationaryLiquid[Energy Content Factor (GJ per unit of fuel)]),0)</f>
        <v>38.6</v>
      </c>
      <c r="H31" s="152">
        <f>IFERROR(_xlfn.XLOOKUP($E31, Table_Fuel_EFs_StationaryLiquid[Fuel combusted], Table_Fuel_EFs_StationaryLiquid[Scope 1 Emission Factor (kg CO2 - e / GJ) CO2]),0)</f>
        <v>0</v>
      </c>
      <c r="I31" s="152">
        <f>IFERROR(_xlfn.XLOOKUP($E31, Table_Fuel_EFs_StationaryLiquid[Fuel combusted], Table_Fuel_EFs_StationaryLiquid[Scope 1 Emission Factor (kg CO2 - e / GJ) CH4]),0)</f>
        <v>0.1</v>
      </c>
      <c r="J31" s="152">
        <f>IFERROR(_xlfn.XLOOKUP($E31, Table_Fuel_EFs_StationaryLiquid[Fuel combusted], Table_Fuel_EFs_StationaryLiquid[Scope 1 Emission Factor (kg CO2 - e / GJ) N2O]),0)</f>
        <v>0.2</v>
      </c>
      <c r="K31" s="152" t="str">
        <f>IFERROR(_xlfn.XLOOKUP($E31, Table_Fuel_EFs_StationaryLiquid[Fuel combusted], Table_Fuel_EFs_StationaryLiquid[Scope 3 Emission Factor (kg CO2 - e / GJ)]),0)</f>
        <v>NE</v>
      </c>
      <c r="L31" s="159" cm="1">
        <f t="array" ref="L31">Fuel_InputFunctions.Fuel_TotalConsumption(Table_Input_Fuel[Amount consumed], Table_Input_Fuel[Fuel use (select)], D31, Table_Input_Fuel[Fuel type (select)],F31)</f>
        <v>0</v>
      </c>
      <c r="M31" s="159" t="str" cm="1">
        <f t="array" ref="M31">Common_InputFunctions.Utility_LookupValueInTable(F31,Table_FuelTypes_Units[Fuel type],Table_FuelTypes_Units[Unit])</f>
        <v>kL</v>
      </c>
      <c r="N31" s="179" cm="1">
        <f t="array" ref="N31">Fuel_Equations.VEERG_8_2_1_1__1_FuelCombustionStationary($L31,$G31,H31)</f>
        <v>0</v>
      </c>
      <c r="O31" s="179" cm="1">
        <f t="array" ref="O31">Fuel_Equations.VEERG_8_2_1_1__1_FuelCombustionStationary($L31,$G31,I31)</f>
        <v>0</v>
      </c>
      <c r="P31" s="179" cm="1">
        <f t="array" ref="P31">Fuel_Equations.VEERG_8_2_1_1__1_FuelCombustionStationary($L31,$G31,J31)</f>
        <v>0</v>
      </c>
      <c r="Q31" s="179" cm="1">
        <f t="array" ref="Q31">Fuel_Equations.VEERG_8_2_1_1__1_FuelCombustionStationary($L31,$G31,IF(ISNUMBER(K31), K31, 0))</f>
        <v>0</v>
      </c>
    </row>
    <row r="32" spans="1:17" ht="20.100000000000001" customHeight="1" x14ac:dyDescent="0.2">
      <c r="A32" s="5" t="str">
        <f>HYPERLINK("#'4.6.1.10-11 Soil direct N2O'!A1", "4.6.1.10-11 Soil direct N2O")</f>
        <v>4.6.1.10-11 Soil direct N2O</v>
      </c>
      <c r="D32" s="161" t="str">
        <f>Table_FuelTypesPerUse[[#Headers],[Power standalone machinery or heating]]</f>
        <v>Power standalone machinery or heating</v>
      </c>
      <c r="E32" s="162" t="str">
        <f>'Constants - Fuel'!$D$58</f>
        <v>Automotive gasoline / petrol (other than for use as fuel in an aircraft)</v>
      </c>
      <c r="F32" s="162" t="str">
        <f>'Constants - Fuel'!E131</f>
        <v>Petrol</v>
      </c>
      <c r="G32" s="169">
        <f>IFERROR(_xlfn.XLOOKUP($E32, Table_Fuel_EFs_StationaryLiquid[Fuel combusted], Table_Fuel_EFs_StationaryLiquid[Energy Content Factor (GJ per unit of fuel)]),0)</f>
        <v>34.200000000000003</v>
      </c>
      <c r="H32" s="169">
        <f>IFERROR(_xlfn.XLOOKUP($E32, Table_Fuel_EFs_StationaryLiquid[Fuel combusted], Table_Fuel_EFs_StationaryLiquid[Scope 1 Emission Factor (kg CO2 - e / GJ) CO2]),0)</f>
        <v>67.400000000000006</v>
      </c>
      <c r="I32" s="169">
        <f>IFERROR(_xlfn.XLOOKUP($E32, Table_Fuel_EFs_StationaryLiquid[Fuel combusted], Table_Fuel_EFs_StationaryLiquid[Scope 1 Emission Factor (kg CO2 - e / GJ) CH4]),0)</f>
        <v>0.2</v>
      </c>
      <c r="J32" s="169">
        <f>IFERROR(_xlfn.XLOOKUP($E32, Table_Fuel_EFs_StationaryLiquid[Fuel combusted], Table_Fuel_EFs_StationaryLiquid[Scope 1 Emission Factor (kg CO2 - e / GJ) N2O]),0)</f>
        <v>0.2</v>
      </c>
      <c r="K32" s="169">
        <f>IFERROR(_xlfn.XLOOKUP($E32, Table_Fuel_EFs_StationaryLiquid[Fuel combusted], Table_Fuel_EFs_StationaryLiquid[Scope 3 Emission Factor (kg CO2 - e / GJ)]),0)</f>
        <v>17.2</v>
      </c>
      <c r="L32" s="165" cm="1">
        <f t="array" ref="L32">Fuel_InputFunctions.Fuel_TotalConsumption(Table_Input_Fuel[Amount consumed], Table_Input_Fuel[Fuel use (select)], D32, Table_Input_Fuel[Fuel type (select)],F32)</f>
        <v>10</v>
      </c>
      <c r="M32" s="166" t="str" cm="1">
        <f t="array" ref="M32">Common_InputFunctions.Utility_LookupValueInTable(F32,Table_FuelTypes_Units[Fuel type],Table_FuelTypes_Units[Unit])</f>
        <v>kL</v>
      </c>
      <c r="N32" s="180" cm="1">
        <f t="array" ref="N32">Fuel_Equations.VEERG_8_2_1_1__1_FuelCombustionStationary($L32,$G32,H32)</f>
        <v>23.050800000000002</v>
      </c>
      <c r="O32" s="180" cm="1">
        <f t="array" ref="O32">Fuel_Equations.VEERG_8_2_1_1__1_FuelCombustionStationary($L32,$G32,I32)</f>
        <v>6.8400000000000002E-2</v>
      </c>
      <c r="P32" s="180" cm="1">
        <f t="array" ref="P32">Fuel_Equations.VEERG_8_2_1_1__1_FuelCombustionStationary($L32,$G32,J32)</f>
        <v>6.8400000000000002E-2</v>
      </c>
      <c r="Q32" s="180" cm="1">
        <f t="array" ref="Q32">Fuel_Equations.VEERG_8_2_1_1__1_FuelCombustionStationary($L32,$G32,IF(ISNUMBER(K32), K32, 0))</f>
        <v>5.8823999999999996</v>
      </c>
    </row>
    <row r="33" spans="1:17" ht="20.100000000000001" customHeight="1" x14ac:dyDescent="0.2">
      <c r="A33" s="5" t="str">
        <f>HYPERLINK("#'4.6.1.12-13 Soil atmos dep'!A1", "4.6.1.12-13 Soil atmos dep")</f>
        <v>4.6.1.12-13 Soil atmos dep</v>
      </c>
      <c r="D33" s="158" t="str">
        <f t="shared" ref="D33:D40" si="1">$D$32</f>
        <v>Power standalone machinery or heating</v>
      </c>
      <c r="E33" s="155" t="str">
        <f>'Constants - Fuel'!$D$63</f>
        <v>Diesel oil</v>
      </c>
      <c r="F33" s="155" t="str">
        <f>'Constants - Fuel'!E132</f>
        <v>Diesel</v>
      </c>
      <c r="G33" s="15">
        <f>IFERROR(_xlfn.XLOOKUP($E33, Table_Fuel_EFs_StationaryLiquid[Fuel combusted], Table_Fuel_EFs_StationaryLiquid[Energy Content Factor (GJ per unit of fuel)]),0)</f>
        <v>38.6</v>
      </c>
      <c r="H33" s="15">
        <f>IFERROR(_xlfn.XLOOKUP($E33, Table_Fuel_EFs_StationaryLiquid[Fuel combusted], Table_Fuel_EFs_StationaryLiquid[Scope 1 Emission Factor (kg CO2 - e / GJ) CO2]),0)</f>
        <v>69.900000000000006</v>
      </c>
      <c r="I33" s="15">
        <f>IFERROR(_xlfn.XLOOKUP($E33, Table_Fuel_EFs_StationaryLiquid[Fuel combusted], Table_Fuel_EFs_StationaryLiquid[Scope 1 Emission Factor (kg CO2 - e / GJ) CH4]),0)</f>
        <v>0.1</v>
      </c>
      <c r="J33" s="15">
        <f>IFERROR(_xlfn.XLOOKUP($E33, Table_Fuel_EFs_StationaryLiquid[Fuel combusted], Table_Fuel_EFs_StationaryLiquid[Scope 1 Emission Factor (kg CO2 - e / GJ) N2O]),0)</f>
        <v>0.2</v>
      </c>
      <c r="K33" s="15">
        <f>IFERROR(_xlfn.XLOOKUP($E33, Table_Fuel_EFs_StationaryLiquid[Fuel combusted], Table_Fuel_EFs_StationaryLiquid[Scope 3 Emission Factor (kg CO2 - e / GJ)]),0)</f>
        <v>17.3</v>
      </c>
      <c r="L33" s="15" cm="1">
        <f t="array" ref="L33">Fuel_InputFunctions.Fuel_TotalConsumption(Table_Input_Fuel[Amount consumed], Table_Input_Fuel[Fuel use (select)], D33, Table_Input_Fuel[Fuel type (select)],F33)</f>
        <v>0</v>
      </c>
      <c r="M33" s="15" t="str" cm="1">
        <f t="array" ref="M33">Common_InputFunctions.Utility_LookupValueInTable(F33,Table_FuelTypes_Units[Fuel type],Table_FuelTypes_Units[Unit])</f>
        <v>kL</v>
      </c>
      <c r="N33" s="178" cm="1">
        <f t="array" ref="N33">Fuel_Equations.VEERG_8_2_1_1__1_FuelCombustionStationary($L33,$G33,H33)</f>
        <v>0</v>
      </c>
      <c r="O33" s="178" cm="1">
        <f t="array" ref="O33">Fuel_Equations.VEERG_8_2_1_1__1_FuelCombustionStationary($L33,$G33,I33)</f>
        <v>0</v>
      </c>
      <c r="P33" s="178" cm="1">
        <f t="array" ref="P33">Fuel_Equations.VEERG_8_2_1_1__1_FuelCombustionStationary($L33,$G33,J33)</f>
        <v>0</v>
      </c>
      <c r="Q33" s="178" cm="1">
        <f t="array" ref="Q33">Fuel_Equations.VEERG_8_2_1_1__1_FuelCombustionStationary($L33,$G33,IF(ISNUMBER(K33), K33, 0))</f>
        <v>0</v>
      </c>
    </row>
    <row r="34" spans="1:17" ht="20.100000000000001" customHeight="1" x14ac:dyDescent="0.2">
      <c r="A34" s="5" t="str">
        <f>HYPERLINK("#'4.6.1.14-15 Soil leach runoff'!A1", "4.6.1.14-15 Soil leach runoff")</f>
        <v>4.6.1.14-15 Soil leach runoff</v>
      </c>
      <c r="D34" s="158" t="str">
        <f t="shared" si="1"/>
        <v>Power standalone machinery or heating</v>
      </c>
      <c r="E34" s="155" t="str">
        <f>'Constants - Fuel'!$D$67</f>
        <v>Liquefied petroleum gas (LPG)</v>
      </c>
      <c r="F34" s="155" t="str">
        <f>'Constants - Fuel'!E133</f>
        <v>Liquefied petroleum gas (LPG)</v>
      </c>
      <c r="G34" s="15">
        <f>IFERROR(_xlfn.XLOOKUP($E34, Table_Fuel_EFs_StationaryLiquid[Fuel combusted], Table_Fuel_EFs_StationaryLiquid[Energy Content Factor (GJ per unit of fuel)]),0)</f>
        <v>25.7</v>
      </c>
      <c r="H34" s="15">
        <f>IFERROR(_xlfn.XLOOKUP($E34, Table_Fuel_EFs_StationaryLiquid[Fuel combusted], Table_Fuel_EFs_StationaryLiquid[Scope 1 Emission Factor (kg CO2 - e / GJ) CO2]),0)</f>
        <v>60.2</v>
      </c>
      <c r="I34" s="15">
        <f>IFERROR(_xlfn.XLOOKUP($E34, Table_Fuel_EFs_StationaryLiquid[Fuel combusted], Table_Fuel_EFs_StationaryLiquid[Scope 1 Emission Factor (kg CO2 - e / GJ) CH4]),0)</f>
        <v>0.2</v>
      </c>
      <c r="J34" s="15">
        <f>IFERROR(_xlfn.XLOOKUP($E34, Table_Fuel_EFs_StationaryLiquid[Fuel combusted], Table_Fuel_EFs_StationaryLiquid[Scope 1 Emission Factor (kg CO2 - e / GJ) N2O]),0)</f>
        <v>0.2</v>
      </c>
      <c r="K34" s="15">
        <f>IFERROR(_xlfn.XLOOKUP($E34, Table_Fuel_EFs_StationaryLiquid[Fuel combusted], Table_Fuel_EFs_StationaryLiquid[Scope 3 Emission Factor (kg CO2 - e / GJ)]),0)</f>
        <v>20.2</v>
      </c>
      <c r="L34" s="15" cm="1">
        <f t="array" ref="L34">Fuel_InputFunctions.Fuel_TotalConsumption(Table_Input_Fuel[Amount consumed], Table_Input_Fuel[Fuel use (select)], D34, Table_Input_Fuel[Fuel type (select)],F34)</f>
        <v>0</v>
      </c>
      <c r="M34" s="15" t="str" cm="1">
        <f t="array" ref="M34">Common_InputFunctions.Utility_LookupValueInTable(F34,Table_FuelTypes_Units[Fuel type],Table_FuelTypes_Units[Unit])</f>
        <v>kL</v>
      </c>
      <c r="N34" s="178" cm="1">
        <f t="array" ref="N34">Fuel_Equations.VEERG_8_2_1_1__1_FuelCombustionStationary($L34,$G34,H34)</f>
        <v>0</v>
      </c>
      <c r="O34" s="178" cm="1">
        <f t="array" ref="O34">Fuel_Equations.VEERG_8_2_1_1__1_FuelCombustionStationary($L34,$G34,I34)</f>
        <v>0</v>
      </c>
      <c r="P34" s="178" cm="1">
        <f t="array" ref="P34">Fuel_Equations.VEERG_8_2_1_1__1_FuelCombustionStationary($L34,$G34,J34)</f>
        <v>0</v>
      </c>
      <c r="Q34" s="178" cm="1">
        <f t="array" ref="Q34">Fuel_Equations.VEERG_8_2_1_1__1_FuelCombustionStationary($L34,$G34,IF(ISNUMBER(K34), K34, 0))</f>
        <v>0</v>
      </c>
    </row>
    <row r="35" spans="1:17" ht="20.100000000000001" customHeight="1" x14ac:dyDescent="0.2">
      <c r="A35" s="5" t="str">
        <f>HYPERLINK("#'8.1.1.1-2 Transport fuel'!A1", "8.1.1.1-2 Transport fuel")</f>
        <v>8.1.1.1-2 Transport fuel</v>
      </c>
      <c r="D35" s="158" t="str">
        <f t="shared" si="1"/>
        <v>Power standalone machinery or heating</v>
      </c>
      <c r="E35" s="155" t="str">
        <f>'Constants - Fuel'!$D$73</f>
        <v>Biodiesel</v>
      </c>
      <c r="F35" s="155" t="str">
        <f>'Constants - Fuel'!E134</f>
        <v>Biodiesel</v>
      </c>
      <c r="G35" s="15">
        <f>IFERROR(_xlfn.XLOOKUP($E35, Table_Fuel_EFs_StationaryLiquid[Fuel combusted], Table_Fuel_EFs_StationaryLiquid[Energy Content Factor (GJ per unit of fuel)]),0)</f>
        <v>34.6</v>
      </c>
      <c r="H35" s="15">
        <f>IFERROR(_xlfn.XLOOKUP($E35, Table_Fuel_EFs_StationaryLiquid[Fuel combusted], Table_Fuel_EFs_StationaryLiquid[Scope 1 Emission Factor (kg CO2 - e / GJ) CO2]),0)</f>
        <v>0</v>
      </c>
      <c r="I35" s="15">
        <f>IFERROR(_xlfn.XLOOKUP($E35, Table_Fuel_EFs_StationaryLiquid[Fuel combusted], Table_Fuel_EFs_StationaryLiquid[Scope 1 Emission Factor (kg CO2 - e / GJ) CH4]),0)</f>
        <v>0.08</v>
      </c>
      <c r="J35" s="15">
        <f>IFERROR(_xlfn.XLOOKUP($E35, Table_Fuel_EFs_StationaryLiquid[Fuel combusted], Table_Fuel_EFs_StationaryLiquid[Scope 1 Emission Factor (kg CO2 - e / GJ) N2O]),0)</f>
        <v>0.2</v>
      </c>
      <c r="K35" s="15" t="str">
        <f>IFERROR(_xlfn.XLOOKUP($E35, Table_Fuel_EFs_StationaryLiquid[Fuel combusted], Table_Fuel_EFs_StationaryLiquid[Scope 3 Emission Factor (kg CO2 - e / GJ)]),0)</f>
        <v>NE</v>
      </c>
      <c r="L35" s="15" cm="1">
        <f t="array" ref="L35">Fuel_InputFunctions.Fuel_TotalConsumption(Table_Input_Fuel[Amount consumed], Table_Input_Fuel[Fuel use (select)], D35, Table_Input_Fuel[Fuel type (select)],F35)</f>
        <v>0</v>
      </c>
      <c r="M35" s="15" t="str" cm="1">
        <f t="array" ref="M35">Common_InputFunctions.Utility_LookupValueInTable(F35,Table_FuelTypes_Units[Fuel type],Table_FuelTypes_Units[Unit])</f>
        <v>kL</v>
      </c>
      <c r="N35" s="178" cm="1">
        <f t="array" ref="N35">Fuel_Equations.VEERG_8_2_1_1__1_FuelCombustionStationary($L35,$G35,H35)</f>
        <v>0</v>
      </c>
      <c r="O35" s="178" cm="1">
        <f t="array" ref="O35">Fuel_Equations.VEERG_8_2_1_1__1_FuelCombustionStationary($L35,$G35,I35)</f>
        <v>0</v>
      </c>
      <c r="P35" s="178" cm="1">
        <f t="array" ref="P35">Fuel_Equations.VEERG_8_2_1_1__1_FuelCombustionStationary($L35,$G35,J35)</f>
        <v>0</v>
      </c>
      <c r="Q35" s="178" cm="1">
        <f t="array" ref="Q35">Fuel_Equations.VEERG_8_2_1_1__1_FuelCombustionStationary($L35,$G35,IF(ISNUMBER(K35), K35, 0))</f>
        <v>0</v>
      </c>
    </row>
    <row r="36" spans="1:17" ht="20.100000000000001" customHeight="1" x14ac:dyDescent="0.2">
      <c r="A36" s="117" t="str">
        <f>HYPERLINK("#'8.2.1.1-2 Stationary fuel'!A1", "8.2.1.1-2 Stationary fuel")</f>
        <v>8.2.1.1-2 Stationary fuel</v>
      </c>
      <c r="D36" s="158" t="str">
        <f t="shared" si="1"/>
        <v>Power standalone machinery or heating</v>
      </c>
      <c r="E36" s="155" t="str">
        <f>'Constants - Fuel'!$D$74</f>
        <v>Ethanol for use as a fuel in an internal combustion engine</v>
      </c>
      <c r="F36" s="155" t="str">
        <f>'Constants - Fuel'!E135</f>
        <v>Ethanol</v>
      </c>
      <c r="G36" s="15">
        <f>IFERROR(_xlfn.XLOOKUP($E36, Table_Fuel_EFs_StationaryLiquid[Fuel combusted], Table_Fuel_EFs_StationaryLiquid[Energy Content Factor (GJ per unit of fuel)]),0)</f>
        <v>23.4</v>
      </c>
      <c r="H36" s="15">
        <f>IFERROR(_xlfn.XLOOKUP($E36, Table_Fuel_EFs_StationaryLiquid[Fuel combusted], Table_Fuel_EFs_StationaryLiquid[Scope 1 Emission Factor (kg CO2 - e / GJ) CO2]),0)</f>
        <v>0</v>
      </c>
      <c r="I36" s="15">
        <f>IFERROR(_xlfn.XLOOKUP($E36, Table_Fuel_EFs_StationaryLiquid[Fuel combusted], Table_Fuel_EFs_StationaryLiquid[Scope 1 Emission Factor (kg CO2 - e / GJ) CH4]),0)</f>
        <v>0.08</v>
      </c>
      <c r="J36" s="15">
        <f>IFERROR(_xlfn.XLOOKUP($E36, Table_Fuel_EFs_StationaryLiquid[Fuel combusted], Table_Fuel_EFs_StationaryLiquid[Scope 1 Emission Factor (kg CO2 - e / GJ) N2O]),0)</f>
        <v>0.2</v>
      </c>
      <c r="K36" s="15" t="str">
        <f>IFERROR(_xlfn.XLOOKUP($E36, Table_Fuel_EFs_StationaryLiquid[Fuel combusted], Table_Fuel_EFs_StationaryLiquid[Scope 3 Emission Factor (kg CO2 - e / GJ)]),0)</f>
        <v>NE</v>
      </c>
      <c r="L36" s="15" cm="1">
        <f t="array" ref="L36">Fuel_InputFunctions.Fuel_TotalConsumption(Table_Input_Fuel[Amount consumed], Table_Input_Fuel[Fuel use (select)], D36, Table_Input_Fuel[Fuel type (select)],F36)</f>
        <v>0</v>
      </c>
      <c r="M36" s="15" t="str" cm="1">
        <f t="array" ref="M36">Common_InputFunctions.Utility_LookupValueInTable(F36,Table_FuelTypes_Units[Fuel type],Table_FuelTypes_Units[Unit])</f>
        <v>kL</v>
      </c>
      <c r="N36" s="178" cm="1">
        <f t="array" ref="N36">Fuel_Equations.VEERG_8_2_1_1__1_FuelCombustionStationary($L36,$G36,H36)</f>
        <v>0</v>
      </c>
      <c r="O36" s="178" cm="1">
        <f t="array" ref="O36">Fuel_Equations.VEERG_8_2_1_1__1_FuelCombustionStationary($L36,$G36,I36)</f>
        <v>0</v>
      </c>
      <c r="P36" s="178" cm="1">
        <f t="array" ref="P36">Fuel_Equations.VEERG_8_2_1_1__1_FuelCombustionStationary($L36,$G36,J36)</f>
        <v>0</v>
      </c>
      <c r="Q36" s="178" cm="1">
        <f t="array" ref="Q36">Fuel_Equations.VEERG_8_2_1_1__1_FuelCombustionStationary($L36,$G36,IF(ISNUMBER(K36), K36, 0))</f>
        <v>0</v>
      </c>
    </row>
    <row r="37" spans="1:17" ht="20.100000000000001" customHeight="1" x14ac:dyDescent="0.2">
      <c r="A37" s="5" t="str">
        <f>HYPERLINK("#'10.1.1-2 Solid waste treatment'!A1", "10.1.1.1-2 Solid waste")</f>
        <v>10.1.1.1-2 Solid waste</v>
      </c>
      <c r="D37" s="158" t="str">
        <f t="shared" si="1"/>
        <v>Power standalone machinery or heating</v>
      </c>
      <c r="E37" s="155" t="str">
        <f>'Constants - Fuel'!$D$75</f>
        <v>Biofuels other than those mentioned in the items above and below</v>
      </c>
      <c r="F37" s="155" t="str">
        <f>'Constants - Fuel'!E136</f>
        <v>Other biofuels</v>
      </c>
      <c r="G37" s="15">
        <f>IFERROR(_xlfn.XLOOKUP($E37, Table_Fuel_EFs_StationaryLiquid[Fuel combusted], Table_Fuel_EFs_StationaryLiquid[Energy Content Factor (GJ per unit of fuel)]),0)</f>
        <v>23.4</v>
      </c>
      <c r="H37" s="15">
        <f>IFERROR(_xlfn.XLOOKUP($E37, Table_Fuel_EFs_StationaryLiquid[Fuel combusted], Table_Fuel_EFs_StationaryLiquid[Scope 1 Emission Factor (kg CO2 - e / GJ) CO2]),0)</f>
        <v>0</v>
      </c>
      <c r="I37" s="15">
        <f>IFERROR(_xlfn.XLOOKUP($E37, Table_Fuel_EFs_StationaryLiquid[Fuel combusted], Table_Fuel_EFs_StationaryLiquid[Scope 1 Emission Factor (kg CO2 - e / GJ) CH4]),0)</f>
        <v>0.08</v>
      </c>
      <c r="J37" s="15">
        <f>IFERROR(_xlfn.XLOOKUP($E37, Table_Fuel_EFs_StationaryLiquid[Fuel combusted], Table_Fuel_EFs_StationaryLiquid[Scope 1 Emission Factor (kg CO2 - e / GJ) N2O]),0)</f>
        <v>0.2</v>
      </c>
      <c r="K37" s="15" t="str">
        <f>IFERROR(_xlfn.XLOOKUP($E37, Table_Fuel_EFs_StationaryLiquid[Fuel combusted], Table_Fuel_EFs_StationaryLiquid[Scope 3 Emission Factor (kg CO2 - e / GJ)]),0)</f>
        <v>NE</v>
      </c>
      <c r="L37" s="15" cm="1">
        <f t="array" ref="L37">Fuel_InputFunctions.Fuel_TotalConsumption(Table_Input_Fuel[Amount consumed], Table_Input_Fuel[Fuel use (select)], D37, Table_Input_Fuel[Fuel type (select)],F37)</f>
        <v>0</v>
      </c>
      <c r="M37" s="15" t="str" cm="1">
        <f t="array" ref="M37">Common_InputFunctions.Utility_LookupValueInTable(F37,Table_FuelTypes_Units[Fuel type],Table_FuelTypes_Units[Unit])</f>
        <v>kL</v>
      </c>
      <c r="N37" s="178" cm="1">
        <f t="array" ref="N37">Fuel_Equations.VEERG_8_2_1_1__1_FuelCombustionStationary($L37,$G37,H37)</f>
        <v>0</v>
      </c>
      <c r="O37" s="178" cm="1">
        <f t="array" ref="O37">Fuel_Equations.VEERG_8_2_1_1__1_FuelCombustionStationary($L37,$G37,I37)</f>
        <v>0</v>
      </c>
      <c r="P37" s="178" cm="1">
        <f t="array" ref="P37">Fuel_Equations.VEERG_8_2_1_1__1_FuelCombustionStationary($L37,$G37,J37)</f>
        <v>0</v>
      </c>
      <c r="Q37" s="178" cm="1">
        <f t="array" ref="Q37">Fuel_Equations.VEERG_8_2_1_1__1_FuelCombustionStationary($L37,$G37,IF(ISNUMBER(K37), K37, 0))</f>
        <v>0</v>
      </c>
    </row>
    <row r="38" spans="1:17" ht="20.100000000000001" customHeight="1" x14ac:dyDescent="0.2">
      <c r="A38" s="5" t="str">
        <f>HYPERLINK("#'14.1.1-2 Purchased electricity'!A1", "14.1.1-2 Purchased electricity")</f>
        <v>14.1.1-2 Purchased electricity</v>
      </c>
      <c r="D38" s="158" t="str">
        <f t="shared" si="1"/>
        <v>Power standalone machinery or heating</v>
      </c>
      <c r="E38" s="155" t="str">
        <f>'Constants - Fuel'!$D$77</f>
        <v>Renewable diesel</v>
      </c>
      <c r="F38" s="155" t="str">
        <f>'Constants - Fuel'!E137</f>
        <v>Renewable diesel</v>
      </c>
      <c r="G38" s="15">
        <f>IFERROR(_xlfn.XLOOKUP($E38, Table_Fuel_EFs_StationaryLiquid[Fuel combusted], Table_Fuel_EFs_StationaryLiquid[Energy Content Factor (GJ per unit of fuel)]),0)</f>
        <v>38.6</v>
      </c>
      <c r="H38" s="15">
        <f>IFERROR(_xlfn.XLOOKUP($E38, Table_Fuel_EFs_StationaryLiquid[Fuel combusted], Table_Fuel_EFs_StationaryLiquid[Scope 1 Emission Factor (kg CO2 - e / GJ) CO2]),0)</f>
        <v>0</v>
      </c>
      <c r="I38" s="15">
        <f>IFERROR(_xlfn.XLOOKUP($E38, Table_Fuel_EFs_StationaryLiquid[Fuel combusted], Table_Fuel_EFs_StationaryLiquid[Scope 1 Emission Factor (kg CO2 - e / GJ) CH4]),0)</f>
        <v>0.1</v>
      </c>
      <c r="J38" s="15">
        <f>IFERROR(_xlfn.XLOOKUP($E38, Table_Fuel_EFs_StationaryLiquid[Fuel combusted], Table_Fuel_EFs_StationaryLiquid[Scope 1 Emission Factor (kg CO2 - e / GJ) N2O]),0)</f>
        <v>0.2</v>
      </c>
      <c r="K38" s="15" t="str">
        <f>IFERROR(_xlfn.XLOOKUP($E38, Table_Fuel_EFs_StationaryLiquid[Fuel combusted], Table_Fuel_EFs_StationaryLiquid[Scope 3 Emission Factor (kg CO2 - e / GJ)]),0)</f>
        <v>NE</v>
      </c>
      <c r="L38" s="15" cm="1">
        <f t="array" ref="L38">Fuel_InputFunctions.Fuel_TotalConsumption(Table_Input_Fuel[Amount consumed], Table_Input_Fuel[Fuel use (select)], D38, Table_Input_Fuel[Fuel type (select)],F38)</f>
        <v>0</v>
      </c>
      <c r="M38" s="15" t="str" cm="1">
        <f t="array" ref="M38">Common_InputFunctions.Utility_LookupValueInTable(F38,Table_FuelTypes_Units[Fuel type],Table_FuelTypes_Units[Unit])</f>
        <v>kL</v>
      </c>
      <c r="N38" s="178" cm="1">
        <f t="array" ref="N38">Fuel_Equations.VEERG_8_2_1_1__1_FuelCombustionStationary($L38,$G38,H38)</f>
        <v>0</v>
      </c>
      <c r="O38" s="178" cm="1">
        <f t="array" ref="O38">Fuel_Equations.VEERG_8_2_1_1__1_FuelCombustionStationary($L38,$G38,I38)</f>
        <v>0</v>
      </c>
      <c r="P38" s="178" cm="1">
        <f t="array" ref="P38">Fuel_Equations.VEERG_8_2_1_1__1_FuelCombustionStationary($L38,$G38,J38)</f>
        <v>0</v>
      </c>
      <c r="Q38" s="178" cm="1">
        <f t="array" ref="Q38">Fuel_Equations.VEERG_8_2_1_1__1_FuelCombustionStationary($L38,$G38,IF(ISNUMBER(K38), K38, 0))</f>
        <v>0</v>
      </c>
    </row>
    <row r="39" spans="1:17" ht="20.100000000000001" customHeight="1" x14ac:dyDescent="0.2">
      <c r="A39" s="5" t="str">
        <f>HYPERLINK("#'15 Scope 3'!A1", "15 Scope 3")</f>
        <v>15 Scope 3</v>
      </c>
      <c r="D39" s="158" t="str">
        <f t="shared" si="1"/>
        <v>Power standalone machinery or heating</v>
      </c>
      <c r="E39" s="155" t="str">
        <f>'Constants - Fuel'!$D$103</f>
        <v>Natural gas distributed in a pipeline - Gigajoules</v>
      </c>
      <c r="F39" s="155" t="str">
        <f>'Constants - Fuel'!E138</f>
        <v>Natural gas (via pipeline) in GJ</v>
      </c>
      <c r="G39" s="15">
        <f>IFERROR(_xlfn.XLOOKUP($E39, Table_Fuel_EFs_StationaryGaseous[Fuel combusted], Table_Fuel_EFs_StationaryGaseous[Energy Content Factor (GJ per unit of fuel)]),0)</f>
        <v>1</v>
      </c>
      <c r="H39" s="15">
        <f>IFERROR(_xlfn.XLOOKUP($E39, Table_Fuel_EFs_StationaryGaseous[Fuel combusted], Table_Fuel_EFs_StationaryGaseous[Scope 1 Emission Factor (kg CO2 - e / GJ) CO2]),0)</f>
        <v>51.4</v>
      </c>
      <c r="I39" s="15">
        <f>IFERROR(_xlfn.XLOOKUP($E39, Table_Fuel_EFs_StationaryGaseous[Fuel combusted], Table_Fuel_EFs_StationaryGaseous[Scope 1 Emission Factor (kg CO2 - e / GJ) CH4]),0)</f>
        <v>0.1</v>
      </c>
      <c r="J39" s="15">
        <f>IFERROR(_xlfn.XLOOKUP($E39, Table_Fuel_EFs_StationaryGaseous[Fuel combusted], Table_Fuel_EFs_StationaryGaseous[Scope 1 Emission Factor (kg CO2 - e / GJ) N2O]),0)</f>
        <v>0.03</v>
      </c>
      <c r="K39" s="15" t="str" cm="1">
        <f t="array" ref="K39">IFERROR(Common_InputFunctions.Utility_LookupValueInTableOneColumnAndHeader($P$17,$P$18,Table_Fuel_EFs_StationaryGaseous34[State or territory],Table_Fuel_EFs_StationaryGaseous34[#Headers],Table_Fuel_EFs_StationaryGaseous34[#Data]),0)</f>
        <v/>
      </c>
      <c r="L39" s="156" cm="1">
        <f t="array" ref="L39">Fuel_InputFunctions.Fuel_TotalConsumption(Table_Input_Fuel[Amount consumed], Table_Input_Fuel[Fuel use (select)], D39, Table_Input_Fuel[Fuel type (select)],F39)</f>
        <v>0</v>
      </c>
      <c r="M39" s="156" t="str" cm="1">
        <f t="array" ref="M39">Common_InputFunctions.Utility_LookupValueInTable(F39,Table_FuelTypes_Units[Fuel type],Table_FuelTypes_Units[Unit])</f>
        <v>GJ</v>
      </c>
      <c r="N39" s="178" cm="1">
        <f t="array" ref="N39">Fuel_Equations.VEERG_8_2_1_1__1_FuelCombustionStationary($L39,$G39,H39)</f>
        <v>0</v>
      </c>
      <c r="O39" s="178" cm="1">
        <f t="array" ref="O39">Fuel_Equations.VEERG_8_2_1_1__1_FuelCombustionStationary($L39,$G39,I39)</f>
        <v>0</v>
      </c>
      <c r="P39" s="178" cm="1">
        <f t="array" ref="P39">Fuel_Equations.VEERG_8_2_1_1__1_FuelCombustionStationary($L39,$G39,J39)</f>
        <v>0</v>
      </c>
      <c r="Q39" s="178" cm="1">
        <f t="array" ref="Q39">Fuel_Equations.VEERG_8_2_1_1__1_FuelCombustionStationary($L39,$G39,IF(ISNUMBER(K39), K39, 0))</f>
        <v>0</v>
      </c>
    </row>
    <row r="40" spans="1:17" ht="20.100000000000001" customHeight="1" x14ac:dyDescent="0.2">
      <c r="A40" s="5" t="str">
        <f>HYPERLINK("#'Calcs - Manure sent off-site'!A1", "Calcs - Manure sent off-site")</f>
        <v>Calcs - Manure sent off-site</v>
      </c>
      <c r="D40" s="158" t="str">
        <f t="shared" si="1"/>
        <v>Power standalone machinery or heating</v>
      </c>
      <c r="E40" s="155" t="str">
        <f>'Constants - Fuel'!$D$104</f>
        <v>Town gas - Gigajoules</v>
      </c>
      <c r="F40" s="155" t="str">
        <f>'Constants - Fuel'!E139</f>
        <v>Town gas in GJ</v>
      </c>
      <c r="G40" s="15">
        <f>IFERROR(_xlfn.XLOOKUP($E40, Table_Fuel_EFs_StationaryGaseous[Fuel combusted], Table_Fuel_EFs_StationaryGaseous[Energy Content Factor (GJ per unit of fuel)]),0)</f>
        <v>1</v>
      </c>
      <c r="H40" s="15">
        <f>IFERROR(_xlfn.XLOOKUP($E40, Table_Fuel_EFs_StationaryGaseous[Fuel combusted], Table_Fuel_EFs_StationaryGaseous[Scope 1 Emission Factor (kg CO2 - e / GJ) CO2]),0)</f>
        <v>60.2</v>
      </c>
      <c r="I40" s="15">
        <f>IFERROR(_xlfn.XLOOKUP($E40, Table_Fuel_EFs_StationaryGaseous[Fuel combusted], Table_Fuel_EFs_StationaryGaseous[Scope 1 Emission Factor (kg CO2 - e / GJ) CH4]),0)</f>
        <v>0.04</v>
      </c>
      <c r="J40" s="15">
        <f>IFERROR(_xlfn.XLOOKUP($E40, Table_Fuel_EFs_StationaryGaseous[Fuel combusted], Table_Fuel_EFs_StationaryGaseous[Scope 1 Emission Factor (kg CO2 - e / GJ) N2O]),0)</f>
        <v>0.03</v>
      </c>
      <c r="K40" s="15" t="str" cm="1">
        <f t="array" ref="K40">IFERROR(Common_InputFunctions.Utility_LookupValueInTableOneColumnAndHeader($P$17,$P$18,Table_Fuel_EFs_StationaryGaseous34[State or territory],Table_Fuel_EFs_StationaryGaseous34[#Headers],Table_Fuel_EFs_StationaryGaseous34[#Data]),0)</f>
        <v/>
      </c>
      <c r="L40" s="156" cm="1">
        <f t="array" ref="L40">Fuel_InputFunctions.Fuel_TotalConsumption(Table_Input_Fuel[Amount consumed], Table_Input_Fuel[Fuel use (select)], D40, Table_Input_Fuel[Fuel type (select)],F40)</f>
        <v>100</v>
      </c>
      <c r="M40" s="156" t="str" cm="1">
        <f t="array" ref="M40">Common_InputFunctions.Utility_LookupValueInTable(F40,Table_FuelTypes_Units[Fuel type],Table_FuelTypes_Units[Unit])</f>
        <v>GJ</v>
      </c>
      <c r="N40" s="178" cm="1">
        <f t="array" ref="N40">Fuel_Equations.VEERG_8_2_1_1__1_FuelCombustionStationary($L40,$G40,H40)</f>
        <v>6.0200000000000005</v>
      </c>
      <c r="O40" s="178" cm="1">
        <f t="array" ref="O40">Fuel_Equations.VEERG_8_2_1_1__1_FuelCombustionStationary($L40,$G40,I40)</f>
        <v>4.0000000000000001E-3</v>
      </c>
      <c r="P40" s="178" cm="1">
        <f t="array" ref="P40">Fuel_Equations.VEERG_8_2_1_1__1_FuelCombustionStationary($L40,$G40,J40)</f>
        <v>3.0000000000000001E-3</v>
      </c>
      <c r="Q40" s="178" cm="1">
        <f t="array" ref="Q40">Fuel_Equations.VEERG_8_2_1_1__1_FuelCombustionStationary($L40,$G40,IF(ISNUMBER(K40), K40, 0))</f>
        <v>0</v>
      </c>
    </row>
    <row r="41" spans="1:17" ht="20.100000000000001" customHeight="1" x14ac:dyDescent="0.2">
      <c r="A41" s="5" t="str">
        <f>HYPERLINK("#'5.1.1.1-2 Inorganic fert N2O'!A1", "5.1.1.1-2 Inorganic fert N2O")</f>
        <v>5.1.1.1-2 Inorganic fert N2O</v>
      </c>
    </row>
    <row r="42" spans="1:17" ht="20.100000000000001" customHeight="1" x14ac:dyDescent="0.2">
      <c r="A42" s="5" t="str">
        <f>HYPERLINK("#'5.1.1.3-4 Inorganic fert CO2'!A1", "5.1.1.3-4 Inorganic fert CO2")</f>
        <v>5.1.1.3-4 Inorganic fert CO2</v>
      </c>
      <c r="D42" s="171" t="str">
        <f>"Total scope 1 - " &amp; D25</f>
        <v>Total scope 1 - Generators</v>
      </c>
      <c r="E42" s="172"/>
      <c r="F42" s="173"/>
    </row>
    <row r="43" spans="1:17" ht="20.100000000000001" customHeight="1" x14ac:dyDescent="0.2">
      <c r="A43" s="5" t="str">
        <f>HYPERLINK("#'5.2.1.1-2 Organic Fert N2O'!A1", "5.2.1.1-2 Organic Fert N2O")</f>
        <v>5.2.1.1-2 Organic Fert N2O</v>
      </c>
      <c r="D43" s="24" t="s">
        <v>624</v>
      </c>
      <c r="E43" s="174">
        <f>SUM(N25:N31)+N("Partial sum")</f>
        <v>0</v>
      </c>
      <c r="F43" s="16" t="str">
        <f>$E$12</f>
        <v>t CO2-e</v>
      </c>
    </row>
    <row r="44" spans="1:17" ht="20.100000000000001" customHeight="1" x14ac:dyDescent="0.2">
      <c r="A44" s="5" t="str">
        <f>HYPERLINK("#'5.3.1.1-2 Lime CO2'!A1", "5.3.1.1-2 Lime CO2")</f>
        <v>5.3.1.1-2 Lime CO2</v>
      </c>
      <c r="D44" s="24" t="s">
        <v>625</v>
      </c>
      <c r="E44" s="174">
        <f>SUM(O25:O31)+N("Partial sum")</f>
        <v>0</v>
      </c>
      <c r="F44" s="16" t="str">
        <f t="shared" ref="F44:F46" si="2">$E$12</f>
        <v>t CO2-e</v>
      </c>
    </row>
    <row r="45" spans="1:17" ht="20.100000000000001" customHeight="1" x14ac:dyDescent="0.2">
      <c r="A45" s="5" t="str">
        <f>HYPERLINK("#'5.4.1.1-4 Atmos deposition'!A1", "5.4.1.1-4 Atmos deposition")</f>
        <v>5.4.1.1-4 Atmos deposition</v>
      </c>
      <c r="D45" s="24" t="s">
        <v>626</v>
      </c>
      <c r="E45" s="174">
        <f>SUM(P25:P31)+N("Partial sum")</f>
        <v>0</v>
      </c>
      <c r="F45" s="16" t="str">
        <f t="shared" si="2"/>
        <v>t CO2-e</v>
      </c>
    </row>
    <row r="46" spans="1:17" ht="20.100000000000001" customHeight="1" x14ac:dyDescent="0.2">
      <c r="A46" s="5" t="str">
        <f>HYPERLINK("#'5.5.1.1-2 Leaching and runoff'!A1", "5.5.1.1-2 Leaching and runoff")</f>
        <v>5.5.1.1-2 Leaching and runoff</v>
      </c>
      <c r="D46" s="24" t="s">
        <v>239</v>
      </c>
      <c r="E46" s="174">
        <f>SUM(Q25:Q31)+N("Partial sum")</f>
        <v>0</v>
      </c>
      <c r="F46" s="16" t="str">
        <f t="shared" si="2"/>
        <v>t CO2-e</v>
      </c>
    </row>
    <row r="47" spans="1:17" ht="20.100000000000001" customHeight="1" x14ac:dyDescent="0.2">
      <c r="H47" s="154"/>
      <c r="I47" s="154"/>
      <c r="J47" s="154"/>
      <c r="L47" s="154"/>
      <c r="N47" s="154"/>
      <c r="O47" s="154"/>
      <c r="P47" s="154"/>
      <c r="Q47" s="154"/>
    </row>
    <row r="48" spans="1:17" ht="20.100000000000001" customHeight="1" x14ac:dyDescent="0.2">
      <c r="D48" s="171" t="str">
        <f>"Total scope 1 - " &amp; D32</f>
        <v>Total scope 1 - Power standalone machinery or heating</v>
      </c>
      <c r="E48" s="175"/>
      <c r="F48" s="173"/>
      <c r="H48" s="154"/>
      <c r="I48" s="154"/>
      <c r="J48" s="154"/>
      <c r="L48" s="154"/>
      <c r="N48" s="154"/>
      <c r="O48" s="154"/>
      <c r="P48" s="154"/>
      <c r="Q48" s="154"/>
    </row>
    <row r="49" spans="1:17" ht="20.100000000000001" customHeight="1" x14ac:dyDescent="0.2">
      <c r="A49" s="80" t="s">
        <v>1</v>
      </c>
      <c r="D49" s="24" t="s">
        <v>624</v>
      </c>
      <c r="E49" s="174">
        <f>SUM(N32:N40)+N("Partial sum")</f>
        <v>29.070800000000002</v>
      </c>
      <c r="F49" s="16" t="str">
        <f t="shared" ref="F49:F52" si="3">$E$12</f>
        <v>t CO2-e</v>
      </c>
      <c r="H49" s="154"/>
      <c r="I49" s="154"/>
      <c r="J49" s="154"/>
      <c r="L49" s="154"/>
      <c r="N49" s="154"/>
      <c r="O49" s="154"/>
      <c r="P49" s="154"/>
      <c r="Q49" s="154"/>
    </row>
    <row r="50" spans="1:17" ht="20.100000000000001" customHeight="1" x14ac:dyDescent="0.2">
      <c r="A50" s="5" t="str">
        <f>HYPERLINK("#'Constants - Poultry'!A1", "Constants - Poultry")</f>
        <v>Constants - Poultry</v>
      </c>
      <c r="D50" s="24" t="s">
        <v>625</v>
      </c>
      <c r="E50" s="174">
        <f>SUM(O32:O40)+N("Partial sum")</f>
        <v>7.2400000000000006E-2</v>
      </c>
      <c r="F50" s="16" t="str">
        <f t="shared" si="3"/>
        <v>t CO2-e</v>
      </c>
      <c r="H50" s="154"/>
      <c r="I50" s="154"/>
      <c r="J50" s="154"/>
      <c r="L50" s="154"/>
      <c r="N50" s="154"/>
      <c r="O50" s="154"/>
      <c r="P50" s="154"/>
      <c r="Q50" s="154"/>
    </row>
    <row r="51" spans="1:17" ht="20.100000000000001" customHeight="1" x14ac:dyDescent="0.2">
      <c r="A51" s="5" t="str">
        <f>HYPERLINK("#'Constants - Common livestock'!A1", "Constants - Common Livestock")</f>
        <v>Constants - Common Livestock</v>
      </c>
      <c r="D51" s="24" t="s">
        <v>626</v>
      </c>
      <c r="E51" s="174">
        <f>SUM(P32:P40)+N("Partial sum")</f>
        <v>7.1400000000000005E-2</v>
      </c>
      <c r="F51" s="16" t="str">
        <f t="shared" si="3"/>
        <v>t CO2-e</v>
      </c>
      <c r="H51" s="154"/>
      <c r="I51" s="154"/>
      <c r="J51" s="154"/>
      <c r="L51" s="154"/>
      <c r="N51" s="154"/>
      <c r="O51" s="154"/>
      <c r="P51" s="154"/>
      <c r="Q51" s="154"/>
    </row>
    <row r="52" spans="1:17" ht="20.100000000000001" customHeight="1" x14ac:dyDescent="0.2">
      <c r="A52" s="5" t="str">
        <f>HYPERLINK("#'Constants - Electricity'!A1", "Constants - Electricity")</f>
        <v>Constants - Electricity</v>
      </c>
      <c r="D52" s="24" t="s">
        <v>239</v>
      </c>
      <c r="E52" s="174">
        <f>SUM(Q32:Q40)+N("Partial sum")</f>
        <v>5.8823999999999996</v>
      </c>
      <c r="F52" s="16" t="str">
        <f t="shared" si="3"/>
        <v>t CO2-e</v>
      </c>
      <c r="G52" s="154"/>
      <c r="H52" s="154"/>
      <c r="I52" s="154"/>
      <c r="J52" s="154"/>
      <c r="L52" s="154"/>
      <c r="N52" s="154"/>
      <c r="O52" s="154"/>
      <c r="P52" s="154"/>
      <c r="Q52" s="154"/>
    </row>
    <row r="53" spans="1:17" ht="20.100000000000001" customHeight="1" x14ac:dyDescent="0.2">
      <c r="A53" s="5" t="str">
        <f>HYPERLINK("#'Constants - Fertiliser'!A1", "Constants - Fertiliser")</f>
        <v>Constants - Fertiliser</v>
      </c>
      <c r="G53" s="154"/>
      <c r="H53" s="154"/>
      <c r="I53" s="154"/>
      <c r="J53" s="154"/>
      <c r="L53" s="154"/>
      <c r="N53" s="154"/>
      <c r="O53" s="154"/>
      <c r="P53" s="154"/>
      <c r="Q53" s="154"/>
    </row>
    <row r="54" spans="1:17" ht="20.100000000000001" customHeight="1" x14ac:dyDescent="0.2">
      <c r="A54" s="5" t="str">
        <f>HYPERLINK("#'Constants - Fuel'!A1", "Constants - Fuel")</f>
        <v>Constants - Fuel</v>
      </c>
      <c r="D54" s="171" t="s">
        <v>637</v>
      </c>
      <c r="E54" s="175"/>
      <c r="F54" s="173"/>
      <c r="G54" s="154"/>
      <c r="H54" s="154"/>
      <c r="I54" s="154"/>
      <c r="J54" s="154"/>
      <c r="L54" s="154"/>
      <c r="N54" s="154"/>
      <c r="O54" s="154"/>
      <c r="P54" s="154"/>
      <c r="Q54" s="154"/>
    </row>
    <row r="55" spans="1:17" ht="20.100000000000001" customHeight="1" x14ac:dyDescent="0.2">
      <c r="A55" s="5" t="str">
        <f>HYPERLINK("#'Constants - Scope 3'!A1", "Constants - Scope 3")</f>
        <v>Constants - Scope 3</v>
      </c>
      <c r="D55" s="24" t="s">
        <v>624</v>
      </c>
      <c r="E55" s="174">
        <f>E43+E49</f>
        <v>29.070800000000002</v>
      </c>
      <c r="F55" s="16" t="str">
        <f t="shared" ref="F55:F58" si="4">$E$12</f>
        <v>t CO2-e</v>
      </c>
      <c r="G55" s="154"/>
      <c r="H55" s="154"/>
      <c r="I55" s="154"/>
      <c r="J55" s="154"/>
      <c r="L55" s="154"/>
      <c r="N55" s="154"/>
      <c r="O55" s="154"/>
      <c r="P55" s="154"/>
      <c r="Q55" s="154"/>
    </row>
    <row r="56" spans="1:17" ht="20.100000000000001" customHeight="1" x14ac:dyDescent="0.2">
      <c r="A56" s="5" t="str">
        <f>HYPERLINK("#'Constants - Solid Waste'!A1", "Constants - Solid Waste")</f>
        <v>Constants - Solid Waste</v>
      </c>
      <c r="D56" s="24" t="s">
        <v>625</v>
      </c>
      <c r="E56" s="174">
        <f>E44+E50</f>
        <v>7.2400000000000006E-2</v>
      </c>
      <c r="F56" s="16" t="str">
        <f t="shared" si="4"/>
        <v>t CO2-e</v>
      </c>
      <c r="H56" s="154"/>
    </row>
    <row r="57" spans="1:17" ht="20.100000000000001" customHeight="1" x14ac:dyDescent="0.2">
      <c r="A57" s="5" t="str">
        <f>HYPERLINK("#'Constants - Common'!A1", "Constants - Common")</f>
        <v>Constants - Common</v>
      </c>
      <c r="D57" s="24" t="s">
        <v>626</v>
      </c>
      <c r="E57" s="174">
        <f>E45+E51</f>
        <v>7.1400000000000005E-2</v>
      </c>
      <c r="F57" s="16" t="str">
        <f t="shared" si="4"/>
        <v>t CO2-e</v>
      </c>
      <c r="G57" s="154"/>
      <c r="H57" s="154"/>
      <c r="I57" s="154"/>
      <c r="J57" s="154"/>
      <c r="L57" s="154"/>
      <c r="N57" s="154"/>
      <c r="O57" s="154"/>
      <c r="P57" s="154"/>
      <c r="Q57" s="154"/>
    </row>
    <row r="58" spans="1:17" ht="20.100000000000001" customHeight="1" x14ac:dyDescent="0.2">
      <c r="D58" s="24" t="s">
        <v>239</v>
      </c>
      <c r="E58" s="174">
        <f>E46+E52</f>
        <v>5.8823999999999996</v>
      </c>
      <c r="F58" s="16" t="str">
        <f t="shared" si="4"/>
        <v>t CO2-e</v>
      </c>
      <c r="G58" s="154"/>
      <c r="H58" s="154"/>
      <c r="I58" s="154"/>
      <c r="J58" s="154"/>
      <c r="L58" s="154"/>
      <c r="N58" s="154"/>
      <c r="O58" s="154"/>
      <c r="P58" s="154"/>
      <c r="Q58" s="154"/>
    </row>
    <row r="59" spans="1:17" ht="20.100000000000001" customHeight="1" x14ac:dyDescent="0.2">
      <c r="G59" s="154"/>
      <c r="H59" s="154"/>
      <c r="I59" s="154"/>
      <c r="J59" s="154"/>
      <c r="L59" s="154"/>
      <c r="N59" s="154"/>
      <c r="O59" s="154"/>
      <c r="P59" s="154"/>
      <c r="Q59" s="154"/>
    </row>
    <row r="60" spans="1:17" ht="20.100000000000001" customHeight="1" x14ac:dyDescent="0.2">
      <c r="G60" s="154"/>
      <c r="H60" s="154"/>
      <c r="I60" s="154"/>
      <c r="J60" s="154"/>
      <c r="L60" s="154"/>
      <c r="N60" s="154"/>
      <c r="O60" s="154"/>
      <c r="P60" s="154"/>
      <c r="Q60" s="154"/>
    </row>
    <row r="61" spans="1:17" ht="20.100000000000001" customHeight="1" x14ac:dyDescent="0.2">
      <c r="G61" s="154"/>
      <c r="H61" s="154"/>
      <c r="I61" s="154"/>
      <c r="J61" s="154"/>
      <c r="L61" s="154"/>
      <c r="N61" s="154"/>
      <c r="O61" s="154"/>
      <c r="P61" s="154"/>
      <c r="Q61" s="154"/>
    </row>
    <row r="62" spans="1:17" ht="20.100000000000001" customHeight="1" x14ac:dyDescent="0.2">
      <c r="G62" s="154"/>
      <c r="H62" s="154"/>
      <c r="I62" s="154"/>
      <c r="J62" s="154"/>
      <c r="L62" s="154"/>
      <c r="N62" s="154"/>
      <c r="O62" s="154"/>
      <c r="P62" s="154"/>
      <c r="Q62" s="154"/>
    </row>
    <row r="63" spans="1:17" ht="20.100000000000001" customHeight="1" x14ac:dyDescent="0.2">
      <c r="G63" s="154"/>
      <c r="H63" s="154"/>
      <c r="I63" s="154"/>
      <c r="J63" s="154"/>
      <c r="L63" s="154"/>
      <c r="N63" s="154"/>
      <c r="O63" s="154"/>
      <c r="P63" s="154"/>
      <c r="Q63" s="154"/>
    </row>
    <row r="64" spans="1:17" ht="20.100000000000001" customHeight="1" x14ac:dyDescent="0.2">
      <c r="G64" s="154"/>
      <c r="H64" s="154"/>
      <c r="I64" s="154"/>
      <c r="J64" s="154"/>
      <c r="L64" s="154"/>
      <c r="N64" s="154"/>
      <c r="O64" s="154"/>
      <c r="P64" s="154"/>
      <c r="Q64" s="154"/>
    </row>
    <row r="65" spans="7:17" ht="20.100000000000001" customHeight="1" x14ac:dyDescent="0.2">
      <c r="G65" s="154"/>
      <c r="H65" s="154"/>
      <c r="I65" s="154"/>
      <c r="J65" s="154"/>
      <c r="L65" s="154"/>
      <c r="N65" s="154"/>
      <c r="O65" s="154"/>
      <c r="P65" s="154"/>
      <c r="Q65" s="154"/>
    </row>
    <row r="66" spans="7:17" ht="20.100000000000001" customHeight="1" x14ac:dyDescent="0.2">
      <c r="G66" s="154"/>
      <c r="H66" s="154"/>
      <c r="I66" s="154"/>
      <c r="J66" s="154"/>
      <c r="L66" s="154"/>
      <c r="N66" s="154"/>
      <c r="O66" s="154"/>
      <c r="P66" s="154"/>
      <c r="Q66" s="154"/>
    </row>
    <row r="67" spans="7:17" ht="20.100000000000001" customHeight="1" x14ac:dyDescent="0.2">
      <c r="G67" s="154"/>
    </row>
    <row r="68" spans="7:17" ht="20.100000000000001" customHeight="1" x14ac:dyDescent="0.2">
      <c r="G68" s="154"/>
    </row>
    <row r="69" spans="7:17" ht="20.100000000000001" customHeight="1" x14ac:dyDescent="0.2">
      <c r="G69" s="154"/>
    </row>
    <row r="70" spans="7:17" ht="20.100000000000001" customHeight="1" x14ac:dyDescent="0.2">
      <c r="G70" s="154"/>
    </row>
    <row r="71" spans="7:17" ht="20.100000000000001" customHeight="1" x14ac:dyDescent="0.2">
      <c r="G71" s="154"/>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77D00E-AA71-46EF-81DD-910C436316D8}">
  <sheetPr>
    <tabColor rgb="FF008000"/>
  </sheetPr>
  <dimension ref="A1:L34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20" customFormat="1" ht="30" customHeight="1" x14ac:dyDescent="0.35">
      <c r="A1" s="10" t="e" vm="1">
        <v>#VALUE!</v>
      </c>
      <c r="C1" s="20" t="s">
        <v>266</v>
      </c>
    </row>
    <row r="2" spans="1:12" s="3" customFormat="1" ht="20.100000000000001" customHeight="1" x14ac:dyDescent="0.2">
      <c r="A2"/>
    </row>
    <row r="3" spans="1:12" ht="20.100000000000001" customHeight="1" x14ac:dyDescent="0.2">
      <c r="A3" s="5" t="str">
        <f>HYPERLINK("#'Home'!A1", "Home")</f>
        <v>Home</v>
      </c>
      <c r="C3" s="22"/>
      <c r="D3" s="22" t="s">
        <v>130</v>
      </c>
      <c r="E3" s="22"/>
      <c r="F3" s="22"/>
      <c r="G3" s="22"/>
      <c r="H3" s="22"/>
      <c r="I3" s="22"/>
      <c r="J3" s="22"/>
      <c r="K3" s="22"/>
      <c r="L3" s="22"/>
    </row>
    <row r="4" spans="1:12" ht="20.100000000000001" customHeight="1" x14ac:dyDescent="0.2">
      <c r="A4" s="5" t="str">
        <f>HYPERLINK("#'Results - Activity period'!A1", "Results - Activity period")</f>
        <v>Results - Activity period</v>
      </c>
    </row>
    <row r="5" spans="1:12" ht="20.100000000000001" customHeight="1" x14ac:dyDescent="0.2">
      <c r="A5" s="5" t="str">
        <f>HYPERLINK("#'Results - Product EI'!A1", "Results - Product Emissions Intensity")</f>
        <v>Results - Product Emissions Intensity</v>
      </c>
      <c r="D5" s="2" t="str" cm="1">
        <f t="array" ref="D5">WasteSolid_Equations.VEERG_10_1_1_1__2_MassOfWasteFromVolume_Title()</f>
        <v>Mass of waste from waste volume</v>
      </c>
    </row>
    <row r="6" spans="1:12" ht="20.100000000000001" customHeight="1" x14ac:dyDescent="0.2">
      <c r="D6" s="17" t="str" cm="1">
        <f t="array" ref="D6">WasteSolid_Equations.VEERG_10_1_1_1__2_MassOfWasteFromVolume_Source()</f>
        <v>VEERG 2026: 10.1.1.1, Equation (2)</v>
      </c>
    </row>
    <row r="7" spans="1:12" ht="20.100000000000001" customHeight="1" x14ac:dyDescent="0.2">
      <c r="D7" s="112" t="s">
        <v>328</v>
      </c>
      <c r="E7" s="112" t="str" cm="1">
        <f t="array" aca="1" ref="E7" ca="1">Common_InputFunctions.Utility_DisplayFunctionName(I21)</f>
        <v>=WasteSolid_Equations.VEERG_10_1_1_1__2_MassOfWasteFromVolume</v>
      </c>
    </row>
    <row r="8" spans="1:12" ht="20.100000000000001" customHeight="1" x14ac:dyDescent="0.2">
      <c r="A8" s="7" t="s">
        <v>0</v>
      </c>
    </row>
    <row r="9" spans="1:12" ht="20.100000000000001" customHeight="1" x14ac:dyDescent="0.2">
      <c r="A9" s="5" t="str">
        <f>HYPERLINK("#'Input - Enterprise'!A1", "Enterprise")</f>
        <v>Enterprise</v>
      </c>
    </row>
    <row r="10" spans="1:12" ht="20.100000000000001" customHeight="1" x14ac:dyDescent="0.2">
      <c r="A10" s="5" t="str">
        <f>HYPERLINK("#'Input - Site'!A1", "Site")</f>
        <v>Site</v>
      </c>
      <c r="D10" s="75" t="s">
        <v>329</v>
      </c>
      <c r="E10" s="1" t="str" cm="1">
        <f t="array" ref="E10">WasteSolid_Equations.VEERG_10_1_1_1__2_MassOfWasteFromVolume_Variable()</f>
        <v>Q_wt</v>
      </c>
    </row>
    <row r="11" spans="1:12" ht="20.100000000000001" customHeight="1" x14ac:dyDescent="0.2">
      <c r="A11" s="5" t="str">
        <f>HYPERLINK("#'Input - Poultry'!A1", "Poultry")</f>
        <v>Poultry</v>
      </c>
      <c r="D11" s="75" t="s">
        <v>118</v>
      </c>
      <c r="E11" s="9" t="str" cm="1">
        <f t="array" ref="E11">WasteSolid_Equations.VEERG_10_1_1_1__2_MassOfWasteFromVolume_Unit()</f>
        <v>t</v>
      </c>
    </row>
    <row r="12" spans="1:12" ht="20.100000000000001" customHeight="1" x14ac:dyDescent="0.2">
      <c r="A12" s="5" t="str">
        <f>HYPERLINK("#'Input - Livestock sales'!A1", "Livestock sales")</f>
        <v>Livestock sales</v>
      </c>
    </row>
    <row r="13" spans="1:12" ht="20.100000000000001" customHeight="1" x14ac:dyDescent="0.2">
      <c r="A13" s="5" t="str">
        <f>HYPERLINK("#'Input - Poultry purchases'!A1", "Poultry purchases")</f>
        <v>Poultry purchases</v>
      </c>
      <c r="D13" s="113" t="str" cm="1">
        <f t="array" ref="D13:E16">_xlfn.CHOOSECOLS(WasteSolid_Equations.VEERG_10_1_1_1__2_MassOfWasteFromVolume_Arguments(),1,2)</f>
        <v>V_wt</v>
      </c>
      <c r="E13" s="122" t="str">
        <v>volume of solid waste type w being sent to treatment facility t</v>
      </c>
      <c r="F13" s="123"/>
      <c r="G13" s="113" t="str" cm="1">
        <f t="array" ref="G13:H16">_xlfn.CHOOSECOLS(WasteSolid_Equations.VEERG_10_1_1_1__2_MassOfWasteFromVolume_Arguments(),3,4)</f>
        <v>m3</v>
      </c>
      <c r="H13" s="114" t="str">
        <v>Input</v>
      </c>
      <c r="I13" s="116" t="str" cm="1">
        <f t="array" aca="1" ref="I13" ca="1">HYPERLINK(Common_InputFunctions.Utility_SourceHyperlink($D$18),$D$18)</f>
        <v>Table_V_w_t_onsite</v>
      </c>
      <c r="J13" s="116" t="str" cm="1">
        <f t="array" aca="1" ref="J13" ca="1">HYPERLINK(Common_InputFunctions.Utility_SourceHyperlink($D$56),$D$56)</f>
        <v>Table_V_w_t_offsite</v>
      </c>
    </row>
    <row r="14" spans="1:12" ht="20.100000000000001" customHeight="1" x14ac:dyDescent="0.2">
      <c r="A14" s="5" t="str">
        <f>HYPERLINK("#'Input - Fuel'!A1", "Fuel")</f>
        <v>Fuel</v>
      </c>
      <c r="D14" s="113" t="str">
        <v>VTM_w</v>
      </c>
      <c r="E14" s="122" t="str">
        <v>conversion factor of volume to mass for waste type w</v>
      </c>
      <c r="F14" s="123"/>
      <c r="G14" s="113" t="str">
        <v>t/m3</v>
      </c>
      <c r="H14" s="115" t="str">
        <v>Constant</v>
      </c>
      <c r="I14" s="116" t="str" cm="1">
        <f t="array" aca="1" ref="I14" ca="1">HYPERLINK(Common_InputFunctions.Utility_SourceHyperlink($D$18),$D$18)</f>
        <v>Table_V_w_t_onsite</v>
      </c>
      <c r="J14" s="116" t="str" cm="1">
        <f t="array" aca="1" ref="J14" ca="1">HYPERLINK(Common_InputFunctions.Utility_SourceHyperlink($D$56),$D$56)</f>
        <v>Table_V_w_t_offsite</v>
      </c>
    </row>
    <row r="15" spans="1:12" ht="20.100000000000001" customHeight="1" x14ac:dyDescent="0.2">
      <c r="A15" s="5" t="str">
        <f>HYPERLINK("#'Input - Electricity'!A1", "Electricity")</f>
        <v>Electricity</v>
      </c>
      <c r="D15" s="113" t="str">
        <v>w</v>
      </c>
      <c r="E15" s="122" t="str">
        <v>waste type</v>
      </c>
      <c r="F15" s="123"/>
      <c r="G15" s="113" t="str">
        <v/>
      </c>
      <c r="H15" s="114" t="str">
        <v>Input</v>
      </c>
      <c r="I15" s="116" t="str" cm="1">
        <f t="array" aca="1" ref="I15" ca="1">HYPERLINK(Common_InputFunctions.Utility_SourceHyperlink($D$18),$D$18)</f>
        <v>Table_V_w_t_onsite</v>
      </c>
      <c r="J15" s="116" t="str" cm="1">
        <f t="array" aca="1" ref="J15" ca="1">HYPERLINK(Common_InputFunctions.Utility_SourceHyperlink($D$56),$D$56)</f>
        <v>Table_V_w_t_offsite</v>
      </c>
    </row>
    <row r="16" spans="1:12" ht="20.100000000000001" customHeight="1" x14ac:dyDescent="0.2">
      <c r="A16" s="5" t="str">
        <f>HYPERLINK("#'Input - Common farm inputs'!A1", "Common farm inputs")</f>
        <v>Common farm inputs</v>
      </c>
      <c r="D16" s="113" t="str">
        <v>t</v>
      </c>
      <c r="E16" s="122" t="str">
        <v>treatment facility</v>
      </c>
      <c r="F16" s="123"/>
      <c r="G16" s="113" t="str">
        <v/>
      </c>
      <c r="H16" s="114" t="str">
        <v>Input</v>
      </c>
      <c r="I16" s="116" t="str" cm="1">
        <f t="array" aca="1" ref="I16" ca="1">HYPERLINK(Common_InputFunctions.Utility_SourceHyperlink($D$18),$D$18)</f>
        <v>Table_V_w_t_onsite</v>
      </c>
      <c r="J16" s="116" t="str" cm="1">
        <f t="array" aca="1" ref="J16" ca="1">HYPERLINK(Common_InputFunctions.Utility_SourceHyperlink($D$56),$D$56)</f>
        <v>Table_V_w_t_offsite</v>
      </c>
    </row>
    <row r="17" spans="1:9" ht="20.100000000000001" customHeight="1" x14ac:dyDescent="0.2">
      <c r="A17" s="5" t="str">
        <f>HYPERLINK("#'Input - Livestock farm Inputs'!A1", "Livestock farm Inputs")</f>
        <v>Livestock farm Inputs</v>
      </c>
    </row>
    <row r="18" spans="1:9" ht="20.100000000000001" customHeight="1" x14ac:dyDescent="0.2">
      <c r="A18" s="5" t="str">
        <f>HYPERLINK("#'Input - Freight'!A1", "Freight")</f>
        <v>Freight</v>
      </c>
      <c r="D18" s="118" t="s">
        <v>912</v>
      </c>
    </row>
    <row r="19" spans="1:9" ht="20.100000000000001" customHeight="1" x14ac:dyDescent="0.2">
      <c r="A19" s="5" t="str">
        <f>HYPERLINK("#'Input - Solid waste'!A1", "Solid waste")</f>
        <v>Solid waste</v>
      </c>
      <c r="D19" s="119" t="s">
        <v>913</v>
      </c>
    </row>
    <row r="20" spans="1:9" ht="20.100000000000001" customHeight="1" x14ac:dyDescent="0.2">
      <c r="A20" s="5" t="str">
        <f>HYPERLINK("#'Input - Manure sent off-site'!A1", "Manure sent off-site")</f>
        <v>Manure sent off-site</v>
      </c>
      <c r="D20" s="78" t="s">
        <v>914</v>
      </c>
      <c r="E20" s="78" t="s">
        <v>915</v>
      </c>
      <c r="F20" s="78"/>
      <c r="G20" s="78" t="s">
        <v>916</v>
      </c>
      <c r="H20" s="120" t="s">
        <v>917</v>
      </c>
      <c r="I20" s="120" t="s">
        <v>918</v>
      </c>
    </row>
    <row r="21" spans="1:9" ht="20.100000000000001" customHeight="1" x14ac:dyDescent="0.2">
      <c r="A21" s="5" t="str">
        <f>HYPERLINK("#'Input - Data quality'!A1", "Data quality")</f>
        <v>Data quality</v>
      </c>
      <c r="D21" s="113" t="str" cm="1">
        <f t="array" ref="D21:D54">Table_SourceData_WasteSolid_WasteTreatmentEFs[Treatment type t]</f>
        <v>Landfill</v>
      </c>
      <c r="E21" s="122" t="str" cm="1">
        <f t="array" ref="E21:E54">Table_SourceData_WasteSolid_WasteTreatmentEFs[Waste type w]</f>
        <v>Food waste (including animal carcasses, spoiled animal feed or crop)</v>
      </c>
      <c r="F21" s="225"/>
      <c r="G21" s="15"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15" cm="1">
        <f t="array" ref="H21">Common_InputFunctions.Utility_LookupValueInTableNumber(E21,Table_SourceData_WasteSolid_VolumeToMassConversion[Waste type w],Table_SourceData_WasteSolid_VolumeToMassConversion[VTMw])</f>
        <v>0.5</v>
      </c>
      <c r="I21" s="15" cm="1">
        <f t="array" ref="I21">WasteSolid_Equations.VEERG_10_1_1_1__2_MassOfWasteFromVolume(G21,H21)</f>
        <v>25</v>
      </c>
    </row>
    <row r="22" spans="1:9" ht="20.100000000000001" customHeight="1" x14ac:dyDescent="0.2">
      <c r="A22" s="5" t="str">
        <f>HYPERLINK("#'Input - Fert Prod System'!A1", "Fert Prod System")</f>
        <v>Fert Prod System</v>
      </c>
      <c r="D22" s="113" t="str">
        <v>Landfill</v>
      </c>
      <c r="E22" s="122" t="str">
        <v>Paper and cardboard</v>
      </c>
      <c r="F22" s="225"/>
      <c r="G22" s="15"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15" cm="1">
        <f t="array" ref="H22">Common_InputFunctions.Utility_LookupValueInTableNumber(E22,Table_SourceData_WasteSolid_VolumeToMassConversion[Waste type w],Table_SourceData_WasteSolid_VolumeToMassConversion[VTMw])</f>
        <v>0.09</v>
      </c>
      <c r="I22" s="15" cm="1">
        <f t="array" ref="I22">WasteSolid_Equations.VEERG_10_1_1_1__2_MassOfWasteFromVolume(G22,H22)</f>
        <v>4.5</v>
      </c>
    </row>
    <row r="23" spans="1:9" ht="20.100000000000001" customHeight="1" x14ac:dyDescent="0.2">
      <c r="A23" s="5" t="str">
        <f>HYPERLINK("#'Input - Fertiliser'!A1", "Fertiliser")</f>
        <v>Fertiliser</v>
      </c>
      <c r="D23" s="113" t="str">
        <v>Landfill</v>
      </c>
      <c r="E23" s="122" t="str">
        <v>Green waste (including crop residues or prunings)</v>
      </c>
      <c r="F23" s="225"/>
      <c r="G23" s="15"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15" cm="1">
        <f t="array" ref="H23">Common_InputFunctions.Utility_LookupValueInTableNumber(E23,Table_SourceData_WasteSolid_VolumeToMassConversion[Waste type w],Table_SourceData_WasteSolid_VolumeToMassConversion[VTMw])</f>
        <v>0.24</v>
      </c>
      <c r="I23" s="15" cm="1">
        <f t="array" ref="I23">WasteSolid_Equations.VEERG_10_1_1_1__2_MassOfWasteFromVolume(G23,H23)</f>
        <v>12</v>
      </c>
    </row>
    <row r="24" spans="1:9" ht="20.100000000000001" customHeight="1" x14ac:dyDescent="0.2">
      <c r="D24" s="113" t="str">
        <v>Landfill</v>
      </c>
      <c r="E24" s="122" t="str">
        <v>Wood</v>
      </c>
      <c r="F24" s="225"/>
      <c r="G24" s="15"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15" cm="1">
        <f t="array" ref="H24">Common_InputFunctions.Utility_LookupValueInTableNumber(E24,Table_SourceData_WasteSolid_VolumeToMassConversion[Waste type w],Table_SourceData_WasteSolid_VolumeToMassConversion[VTMw])</f>
        <v>0.15</v>
      </c>
      <c r="I24" s="15" cm="1">
        <f t="array" ref="I24">WasteSolid_Equations.VEERG_10_1_1_1__2_MassOfWasteFromVolume(G24,H24)</f>
        <v>0</v>
      </c>
    </row>
    <row r="25" spans="1:9" ht="20.100000000000001" customHeight="1" x14ac:dyDescent="0.2">
      <c r="D25" s="113" t="str">
        <v>Landfill</v>
      </c>
      <c r="E25" s="122" t="str">
        <v>Textiles</v>
      </c>
      <c r="F25" s="225"/>
      <c r="G25" s="15"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15" cm="1">
        <f t="array" ref="H25">Common_InputFunctions.Utility_LookupValueInTableNumber(E25,Table_SourceData_WasteSolid_VolumeToMassConversion[Waste type w],Table_SourceData_WasteSolid_VolumeToMassConversion[VTMw])</f>
        <v>0.14000000000000001</v>
      </c>
      <c r="I25" s="15" cm="1">
        <f t="array" ref="I25">WasteSolid_Equations.VEERG_10_1_1_1__2_MassOfWasteFromVolume(G25,H25)</f>
        <v>0</v>
      </c>
    </row>
    <row r="26" spans="1:9" ht="20.100000000000001" customHeight="1" x14ac:dyDescent="0.2">
      <c r="A26" s="6" t="s">
        <v>2</v>
      </c>
      <c r="D26" s="113" t="str">
        <v>Landfill</v>
      </c>
      <c r="E26" s="122" t="str">
        <v>Sludge</v>
      </c>
      <c r="F26" s="225"/>
      <c r="G26" s="15"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15" cm="1">
        <f t="array" ref="H26">Common_InputFunctions.Utility_LookupValueInTableNumber(E26,Table_SourceData_WasteSolid_VolumeToMassConversion[Waste type w],Table_SourceData_WasteSolid_VolumeToMassConversion[VTMw])</f>
        <v>0.72</v>
      </c>
      <c r="I26" s="15" cm="1">
        <f t="array" ref="I26">WasteSolid_Equations.VEERG_10_1_1_1__2_MassOfWasteFromVolume(G26,H26)</f>
        <v>0</v>
      </c>
    </row>
    <row r="27" spans="1:9" ht="20.100000000000001" customHeight="1" x14ac:dyDescent="0.2">
      <c r="A27" s="5" t="str">
        <f>HYPERLINK("#'4.6.1.1-2 Methane'!A1", "4.6.1.1-2 Manure Methane")</f>
        <v>4.6.1.1-2 Manure Methane</v>
      </c>
      <c r="D27" s="113" t="str">
        <v>Landfill</v>
      </c>
      <c r="E27" s="122" t="str">
        <v>Rubber and leather</v>
      </c>
      <c r="F27" s="225"/>
      <c r="G27" s="15"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15" cm="1">
        <f t="array" ref="H27">Common_InputFunctions.Utility_LookupValueInTableNumber(E27,Table_SourceData_WasteSolid_VolumeToMassConversion[Waste type w],Table_SourceData_WasteSolid_VolumeToMassConversion[VTMw])</f>
        <v>0.14000000000000001</v>
      </c>
      <c r="I27" s="15" cm="1">
        <f t="array" ref="I27">WasteSolid_Equations.VEERG_10_1_1_1__2_MassOfWasteFromVolume(G27,H27)</f>
        <v>0</v>
      </c>
    </row>
    <row r="28" spans="1:9" ht="20.100000000000001" customHeight="1" x14ac:dyDescent="0.2">
      <c r="A28" s="5" t="str">
        <f>HYPERLINK("#'4.6.1.3-4 Direct N20'!A1", "4.6.1.3-4 Manure Direct N2O")</f>
        <v>4.6.1.3-4 Manure Direct N2O</v>
      </c>
      <c r="D28" s="113" t="str">
        <v>Landfill</v>
      </c>
      <c r="E28" s="122" t="str">
        <v>Inert waste (including concrete, metal, plastic or glass)</v>
      </c>
      <c r="F28" s="225"/>
      <c r="G28" s="15"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15" cm="1">
        <f t="array" ref="H28">Common_InputFunctions.Utility_LookupValueInTableNumber(E28,Table_SourceData_WasteSolid_VolumeToMassConversion[Waste type w],Table_SourceData_WasteSolid_VolumeToMassConversion[VTMw])</f>
        <v>0.42</v>
      </c>
      <c r="I28" s="15" cm="1">
        <f t="array" ref="I28">WasteSolid_Equations.VEERG_10_1_1_1__2_MassOfWasteFromVolume(G28,H28)</f>
        <v>0</v>
      </c>
    </row>
    <row r="29" spans="1:9" ht="20.100000000000001" customHeight="1" x14ac:dyDescent="0.2">
      <c r="A29" s="5" t="str">
        <f>HYPERLINK("#'4.6.1.5-6 Atmos Dep'!A1", "4.6.1.5-6 Manure Atmos Dep")</f>
        <v>4.6.1.5-6 Manure Atmos Dep</v>
      </c>
      <c r="D29" s="113" t="str">
        <v>Landfill</v>
      </c>
      <c r="E29" s="122" t="str">
        <v>Municipal solid waste</v>
      </c>
      <c r="F29" s="225"/>
      <c r="G29" s="15"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15" cm="1">
        <f t="array" ref="H29">Common_InputFunctions.Utility_LookupValueInTableNumber(E29,Table_SourceData_WasteSolid_VolumeToMassConversion[Waste type w],Table_SourceData_WasteSolid_VolumeToMassConversion[VTMw])</f>
        <v>0.36</v>
      </c>
      <c r="I29" s="15" cm="1">
        <f t="array" ref="I29">WasteSolid_Equations.VEERG_10_1_1_1__2_MassOfWasteFromVolume(G29,H29)</f>
        <v>0</v>
      </c>
    </row>
    <row r="30" spans="1:9" ht="20.100000000000001" customHeight="1" x14ac:dyDescent="0.2">
      <c r="A30" s="5" t="str">
        <f>HYPERLINK("#'4.6.1.7-8 Leaching and runoff'!A1", "4.6.1.7-8 Manure Leaching and runoff")</f>
        <v>4.6.1.7-8 Manure Leaching and runoff</v>
      </c>
      <c r="D30" s="113" t="str">
        <v>Landfill</v>
      </c>
      <c r="E30" s="122" t="str">
        <v>Commercial and industrial waste</v>
      </c>
      <c r="F30" s="225"/>
      <c r="G30" s="15"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15" cm="1">
        <f t="array" ref="H30">Common_InputFunctions.Utility_LookupValueInTableNumber(E30,Table_SourceData_WasteSolid_VolumeToMassConversion[Waste type w],Table_SourceData_WasteSolid_VolumeToMassConversion[VTMw])</f>
        <v>0.33</v>
      </c>
      <c r="I30" s="15" cm="1">
        <f t="array" ref="I30">WasteSolid_Equations.VEERG_10_1_1_1__2_MassOfWasteFromVolume(G30,H30)</f>
        <v>0</v>
      </c>
    </row>
    <row r="31" spans="1:9" ht="20.100000000000001" customHeight="1" x14ac:dyDescent="0.2">
      <c r="A31" s="5" t="str">
        <f>HYPERLINK("#'4.6.1.9 Manure applied to soils'!A1", "4.6.1.9 Manure applied to soils")</f>
        <v>4.6.1.9 Manure applied to soils</v>
      </c>
      <c r="D31" s="113" t="str">
        <v>Landfill</v>
      </c>
      <c r="E31" s="122" t="str">
        <v>Construction and demolition waste</v>
      </c>
      <c r="F31" s="225"/>
      <c r="G31" s="15"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15" cm="1">
        <f t="array" ref="H31">Common_InputFunctions.Utility_LookupValueInTableNumber(E31,Table_SourceData_WasteSolid_VolumeToMassConversion[Waste type w],Table_SourceData_WasteSolid_VolumeToMassConversion[VTMw])</f>
        <v>0.39</v>
      </c>
      <c r="I31" s="15" cm="1">
        <f t="array" ref="I31">WasteSolid_Equations.VEERG_10_1_1_1__2_MassOfWasteFromVolume(G31,H31)</f>
        <v>0</v>
      </c>
    </row>
    <row r="32" spans="1:9" ht="20.100000000000001" customHeight="1" x14ac:dyDescent="0.2">
      <c r="A32" s="5" t="str">
        <f>HYPERLINK("#'4.6.1.10-11 Soil direct N2O'!A1", "4.6.1.10-11 Soil direct N2O")</f>
        <v>4.6.1.10-11 Soil direct N2O</v>
      </c>
      <c r="D32" s="113" t="str">
        <v>Incineration</v>
      </c>
      <c r="E32" s="122" t="str">
        <v>Food waste, green waste, wood, sludge</v>
      </c>
      <c r="F32" s="225"/>
      <c r="G32" s="15" t="s">
        <v>782</v>
      </c>
      <c r="H32" s="15" t="s">
        <v>782</v>
      </c>
      <c r="I32" s="15" t="s">
        <v>782</v>
      </c>
    </row>
    <row r="33" spans="1:9" ht="20.100000000000001" customHeight="1" x14ac:dyDescent="0.2">
      <c r="A33" s="5" t="str">
        <f>HYPERLINK("#'4.6.1.12-13 Soil atmos dep'!A1", "4.6.1.12-13 Soil atmos dep")</f>
        <v>4.6.1.12-13 Soil atmos dep</v>
      </c>
      <c r="D33" s="113" t="str">
        <v>Incineration</v>
      </c>
      <c r="E33" s="122" t="str">
        <v>Food waste (including animal carcasses, spoiled animal feed or crop)</v>
      </c>
      <c r="F33" s="225"/>
      <c r="G33" s="15"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15" cm="1">
        <f t="array" ref="H33">Common_InputFunctions.Utility_LookupValueInTableNumber(E33,Table_SourceData_WasteSolid_VolumeToMassConversion[Waste type w],Table_SourceData_WasteSolid_VolumeToMassConversion[VTMw])</f>
        <v>0.5</v>
      </c>
      <c r="I33" s="15" cm="1">
        <f t="array" ref="I33">WasteSolid_Equations.VEERG_10_1_1_1__2_MassOfWasteFromVolume(G33,H33)</f>
        <v>0</v>
      </c>
    </row>
    <row r="34" spans="1:9" ht="20.100000000000001" customHeight="1" x14ac:dyDescent="0.2">
      <c r="A34" s="5" t="str">
        <f>HYPERLINK("#'4.6.1.14-15 Soil leach runoff'!A1", "4.6.1.14-15 Soil leach runoff")</f>
        <v>4.6.1.14-15 Soil leach runoff</v>
      </c>
      <c r="D34" s="113" t="str">
        <v>Incineration</v>
      </c>
      <c r="E34" s="122" t="str">
        <v>Green waste (including crop residues or prunings)</v>
      </c>
      <c r="F34" s="225"/>
      <c r="G34" s="15"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15" cm="1">
        <f t="array" ref="H34">Common_InputFunctions.Utility_LookupValueInTableNumber(E34,Table_SourceData_WasteSolid_VolumeToMassConversion[Waste type w],Table_SourceData_WasteSolid_VolumeToMassConversion[VTMw])</f>
        <v>0.24</v>
      </c>
      <c r="I34" s="15" cm="1">
        <f t="array" ref="I34">WasteSolid_Equations.VEERG_10_1_1_1__2_MassOfWasteFromVolume(G34,H34)</f>
        <v>24</v>
      </c>
    </row>
    <row r="35" spans="1:9" ht="20.100000000000001" customHeight="1" x14ac:dyDescent="0.2">
      <c r="A35" s="5" t="str">
        <f>HYPERLINK("#'8.1.1.1-2 Transport fuel'!A1", "8.1.1.1-2 Transport fuel")</f>
        <v>8.1.1.1-2 Transport fuel</v>
      </c>
      <c r="D35" s="113" t="str">
        <v>Incineration</v>
      </c>
      <c r="E35" s="122" t="str">
        <v>Wood</v>
      </c>
      <c r="F35" s="225"/>
      <c r="G35" s="15"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15" cm="1">
        <f t="array" ref="H35">Common_InputFunctions.Utility_LookupValueInTableNumber(E35,Table_SourceData_WasteSolid_VolumeToMassConversion[Waste type w],Table_SourceData_WasteSolid_VolumeToMassConversion[VTMw])</f>
        <v>0.15</v>
      </c>
      <c r="I35" s="15" cm="1">
        <f t="array" ref="I35">WasteSolid_Equations.VEERG_10_1_1_1__2_MassOfWasteFromVolume(G35,H35)</f>
        <v>0</v>
      </c>
    </row>
    <row r="36" spans="1:9" ht="20.100000000000001" customHeight="1" x14ac:dyDescent="0.2">
      <c r="A36" s="5" t="str">
        <f>HYPERLINK("#'8.2.1.1-2 Stationary fuel'!A1", "8.2.1.1-2 Stationary fuel")</f>
        <v>8.2.1.1-2 Stationary fuel</v>
      </c>
      <c r="D36" s="113" t="str">
        <v>Incineration</v>
      </c>
      <c r="E36" s="122" t="str">
        <v>Sludge</v>
      </c>
      <c r="F36" s="225"/>
      <c r="G36" s="15"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15" cm="1">
        <f t="array" ref="H36">Common_InputFunctions.Utility_LookupValueInTableNumber(E36,Table_SourceData_WasteSolid_VolumeToMassConversion[Waste type w],Table_SourceData_WasteSolid_VolumeToMassConversion[VTMw])</f>
        <v>0.72</v>
      </c>
      <c r="I36" s="15" cm="1">
        <f t="array" ref="I36">WasteSolid_Equations.VEERG_10_1_1_1__2_MassOfWasteFromVolume(G36,H36)</f>
        <v>0</v>
      </c>
    </row>
    <row r="37" spans="1:9" ht="20.100000000000001" customHeight="1" x14ac:dyDescent="0.2">
      <c r="A37" s="117" t="str">
        <f>HYPERLINK("#'10.1.1-2 Solid waste treatment'!A1", "10.1.1.1-2 Solid waste")</f>
        <v>10.1.1.1-2 Solid waste</v>
      </c>
      <c r="D37" s="113" t="str">
        <v>Incineration</v>
      </c>
      <c r="E37" s="122" t="str">
        <v>Paper and cardboard</v>
      </c>
      <c r="F37" s="225"/>
      <c r="G37" s="15"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15" cm="1">
        <f t="array" ref="H37">Common_InputFunctions.Utility_LookupValueInTableNumber(E37,Table_SourceData_WasteSolid_VolumeToMassConversion[Waste type w],Table_SourceData_WasteSolid_VolumeToMassConversion[VTMw])</f>
        <v>0.09</v>
      </c>
      <c r="I37" s="15" cm="1">
        <f t="array" ref="I37">WasteSolid_Equations.VEERG_10_1_1_1__2_MassOfWasteFromVolume(G37,H37)</f>
        <v>4.5</v>
      </c>
    </row>
    <row r="38" spans="1:9" ht="20.100000000000001" customHeight="1" x14ac:dyDescent="0.2">
      <c r="A38" s="5" t="str">
        <f>HYPERLINK("#'14.1.1-2 Purchased electricity'!A1", "14.1.1-2 Purchased electricity")</f>
        <v>14.1.1-2 Purchased electricity</v>
      </c>
      <c r="D38" s="113" t="str">
        <v>Incineration</v>
      </c>
      <c r="E38" s="122" t="str">
        <v>Textiles</v>
      </c>
      <c r="F38" s="225"/>
      <c r="G38" s="15"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15" cm="1">
        <f t="array" ref="H38">Common_InputFunctions.Utility_LookupValueInTableNumber(E38,Table_SourceData_WasteSolid_VolumeToMassConversion[Waste type w],Table_SourceData_WasteSolid_VolumeToMassConversion[VTMw])</f>
        <v>0.14000000000000001</v>
      </c>
      <c r="I38" s="15" cm="1">
        <f t="array" ref="I38">WasteSolid_Equations.VEERG_10_1_1_1__2_MassOfWasteFromVolume(G38,H38)</f>
        <v>0</v>
      </c>
    </row>
    <row r="39" spans="1:9" ht="20.100000000000001" customHeight="1" x14ac:dyDescent="0.2">
      <c r="A39" s="5" t="str">
        <f>HYPERLINK("#'15 Scope 3'!A1", "15 Scope 3")</f>
        <v>15 Scope 3</v>
      </c>
      <c r="D39" s="113" t="str">
        <v>Incineration</v>
      </c>
      <c r="E39" s="122" t="str">
        <v>Rubber and leather</v>
      </c>
      <c r="F39" s="225"/>
      <c r="G39" s="15"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15" cm="1">
        <f t="array" ref="H39">Common_InputFunctions.Utility_LookupValueInTableNumber(E39,Table_SourceData_WasteSolid_VolumeToMassConversion[Waste type w],Table_SourceData_WasteSolid_VolumeToMassConversion[VTMw])</f>
        <v>0.14000000000000001</v>
      </c>
      <c r="I39" s="15" cm="1">
        <f t="array" ref="I39">WasteSolid_Equations.VEERG_10_1_1_1__2_MassOfWasteFromVolume(G39,H39)</f>
        <v>0</v>
      </c>
    </row>
    <row r="40" spans="1:9" ht="20.100000000000001" customHeight="1" x14ac:dyDescent="0.2">
      <c r="A40" s="5" t="str">
        <f>HYPERLINK("#'Calcs - Manure sent off-site'!A1", "Calcs - Manure sent off-site")</f>
        <v>Calcs - Manure sent off-site</v>
      </c>
      <c r="D40" s="113" t="str">
        <v>Incineration</v>
      </c>
      <c r="E40" s="113" t="str">
        <v>Inert waste (including concrete, metal, plastic or glass)</v>
      </c>
      <c r="F40" s="113"/>
      <c r="G40" s="15"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15" cm="1">
        <f t="array" ref="H40">Common_InputFunctions.Utility_LookupValueInTableNumber(E40,Table_SourceData_WasteSolid_VolumeToMassConversion[Waste type w],Table_SourceData_WasteSolid_VolumeToMassConversion[VTMw])</f>
        <v>0.42</v>
      </c>
      <c r="I40" s="15" cm="1">
        <f t="array" ref="I40">WasteSolid_Equations.VEERG_10_1_1_1__2_MassOfWasteFromVolume(G40,H40)</f>
        <v>0</v>
      </c>
    </row>
    <row r="41" spans="1:9" ht="20.100000000000001" customHeight="1" x14ac:dyDescent="0.2">
      <c r="A41" s="5" t="str">
        <f>HYPERLINK("#'5.1.1.1-2 Inorganic fert N2O'!A1", "5.1.1.1-2 Inorganic fert N2O")</f>
        <v>5.1.1.1-2 Inorganic fert N2O</v>
      </c>
      <c r="D41" s="113" t="str">
        <v>Incineration</v>
      </c>
      <c r="E41" s="122" t="str">
        <v>Municipal solid waste</v>
      </c>
      <c r="F41" s="123"/>
      <c r="G41" s="15"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15" cm="1">
        <f t="array" ref="H41">Common_InputFunctions.Utility_LookupValueInTableNumber(E41,Table_SourceData_WasteSolid_VolumeToMassConversion[Waste type w],Table_SourceData_WasteSolid_VolumeToMassConversion[VTMw])</f>
        <v>0.36</v>
      </c>
      <c r="I41" s="15" cm="1">
        <f t="array" ref="I41">WasteSolid_Equations.VEERG_10_1_1_1__2_MassOfWasteFromVolume(G41,H41)</f>
        <v>0</v>
      </c>
    </row>
    <row r="42" spans="1:9" ht="20.100000000000001" customHeight="1" x14ac:dyDescent="0.2">
      <c r="A42" s="5" t="str">
        <f>HYPERLINK("#'5.1.1.3-4 Inorganic fert CO2'!A1", "5.1.1.3-4 Inorganic fert CO2")</f>
        <v>5.1.1.3-4 Inorganic fert CO2</v>
      </c>
      <c r="D42" s="113" t="str">
        <v>Incineration</v>
      </c>
      <c r="E42" s="122" t="str">
        <v>Commercial and industrial waste</v>
      </c>
      <c r="F42" s="123"/>
      <c r="G42" s="15"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15" cm="1">
        <f t="array" ref="H42">Common_InputFunctions.Utility_LookupValueInTableNumber(E42,Table_SourceData_WasteSolid_VolumeToMassConversion[Waste type w],Table_SourceData_WasteSolid_VolumeToMassConversion[VTMw])</f>
        <v>0.33</v>
      </c>
      <c r="I42" s="15" cm="1">
        <f t="array" ref="I42">WasteSolid_Equations.VEERG_10_1_1_1__2_MassOfWasteFromVolume(G42,H42)</f>
        <v>0</v>
      </c>
    </row>
    <row r="43" spans="1:9" ht="20.100000000000001" customHeight="1" x14ac:dyDescent="0.2">
      <c r="A43" s="5" t="str">
        <f>HYPERLINK("#'5.2.1.1-2 Organic Fert N2O'!A1", "5.2.1.1-2 Organic Fert N2O")</f>
        <v>5.2.1.1-2 Organic Fert N2O</v>
      </c>
      <c r="D43" s="113" t="str">
        <v>Composting</v>
      </c>
      <c r="E43" s="122" t="str">
        <v>All organic waste</v>
      </c>
      <c r="F43" s="123"/>
      <c r="G43" s="15" t="s">
        <v>782</v>
      </c>
      <c r="H43" s="15" t="s">
        <v>782</v>
      </c>
      <c r="I43" s="15" t="s">
        <v>782</v>
      </c>
    </row>
    <row r="44" spans="1:9" ht="20.100000000000001" customHeight="1" x14ac:dyDescent="0.2">
      <c r="A44" s="5" t="str">
        <f>HYPERLINK("#'5.3.1.1-2 Lime CO2'!A1", "5.3.1.1-2 Lime CO2")</f>
        <v>5.3.1.1-2 Lime CO2</v>
      </c>
      <c r="D44" s="113" t="str">
        <v>Composting</v>
      </c>
      <c r="E44" s="122" t="str">
        <v>Food waste (including animal carcasses, spoiled animal feed or crop)</v>
      </c>
      <c r="F44" s="123"/>
      <c r="G44" s="15"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15" cm="1">
        <f t="array" ref="H44">Common_InputFunctions.Utility_LookupValueInTableNumber(E44,Table_SourceData_WasteSolid_VolumeToMassConversion[Waste type w],Table_SourceData_WasteSolid_VolumeToMassConversion[VTMw])</f>
        <v>0.5</v>
      </c>
      <c r="I44" s="15" cm="1">
        <f t="array" ref="I44">WasteSolid_Equations.VEERG_10_1_1_1__2_MassOfWasteFromVolume(G44,H44)</f>
        <v>25</v>
      </c>
    </row>
    <row r="45" spans="1:9" ht="20.100000000000001" customHeight="1" x14ac:dyDescent="0.2">
      <c r="A45" s="5" t="str">
        <f>HYPERLINK("#'5.4.1.1-4 Atmos deposition'!A1", "5.4.1.1-4 Atmos deposition")</f>
        <v>5.4.1.1-4 Atmos deposition</v>
      </c>
      <c r="D45" s="113" t="str">
        <v>Composting</v>
      </c>
      <c r="E45" s="122" t="str">
        <v>Green waste (including crop residues or prunings)</v>
      </c>
      <c r="F45" s="123"/>
      <c r="G45" s="15"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15" cm="1">
        <f t="array" ref="H45">Common_InputFunctions.Utility_LookupValueInTableNumber(E45,Table_SourceData_WasteSolid_VolumeToMassConversion[Waste type w],Table_SourceData_WasteSolid_VolumeToMassConversion[VTMw])</f>
        <v>0.24</v>
      </c>
      <c r="I45" s="15" cm="1">
        <f t="array" ref="I45">WasteSolid_Equations.VEERG_10_1_1_1__2_MassOfWasteFromVolume(G45,H45)</f>
        <v>0</v>
      </c>
    </row>
    <row r="46" spans="1:9" ht="20.100000000000001" customHeight="1" x14ac:dyDescent="0.2">
      <c r="A46" s="5" t="str">
        <f>HYPERLINK("#'5.5.1.1-2 Leaching and runoff'!A1", "5.5.1.1-2 Leaching and runoff")</f>
        <v>5.5.1.1-2 Leaching and runoff</v>
      </c>
      <c r="D46" s="113" t="str">
        <v>Composting</v>
      </c>
      <c r="E46" s="122" t="str">
        <v>Wood</v>
      </c>
      <c r="F46" s="123"/>
      <c r="G46" s="15"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15" cm="1">
        <f t="array" ref="H46">Common_InputFunctions.Utility_LookupValueInTableNumber(E46,Table_SourceData_WasteSolid_VolumeToMassConversion[Waste type w],Table_SourceData_WasteSolid_VolumeToMassConversion[VTMw])</f>
        <v>0.15</v>
      </c>
      <c r="I46" s="15" cm="1">
        <f t="array" ref="I46">WasteSolid_Equations.VEERG_10_1_1_1__2_MassOfWasteFromVolume(G46,H46)</f>
        <v>0</v>
      </c>
    </row>
    <row r="47" spans="1:9" ht="20.100000000000001" customHeight="1" x14ac:dyDescent="0.2">
      <c r="D47" s="113" t="str">
        <v>Composting</v>
      </c>
      <c r="E47" s="122" t="str">
        <v>Sludge</v>
      </c>
      <c r="F47" s="123"/>
      <c r="G47" s="15"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15" cm="1">
        <f t="array" ref="H47">Common_InputFunctions.Utility_LookupValueInTableNumber(E47,Table_SourceData_WasteSolid_VolumeToMassConversion[Waste type w],Table_SourceData_WasteSolid_VolumeToMassConversion[VTMw])</f>
        <v>0.72</v>
      </c>
      <c r="I47" s="15" cm="1">
        <f t="array" ref="I47">WasteSolid_Equations.VEERG_10_1_1_1__2_MassOfWasteFromVolume(G47,H47)</f>
        <v>0</v>
      </c>
    </row>
    <row r="48" spans="1:9" ht="20.100000000000001" customHeight="1" x14ac:dyDescent="0.2">
      <c r="D48" s="113" t="str">
        <v>Composting</v>
      </c>
      <c r="E48" s="122" t="str">
        <v>Paper and cardboard</v>
      </c>
      <c r="F48" s="123"/>
      <c r="G48" s="15"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15" cm="1">
        <f t="array" ref="H48">Common_InputFunctions.Utility_LookupValueInTableNumber(E48,Table_SourceData_WasteSolid_VolumeToMassConversion[Waste type w],Table_SourceData_WasteSolid_VolumeToMassConversion[VTMw])</f>
        <v>0.09</v>
      </c>
      <c r="I48" s="15" cm="1">
        <f t="array" ref="I48">WasteSolid_Equations.VEERG_10_1_1_1__2_MassOfWasteFromVolume(G48,H48)</f>
        <v>4.5</v>
      </c>
    </row>
    <row r="49" spans="1:9" ht="20.100000000000001" customHeight="1" x14ac:dyDescent="0.2">
      <c r="A49" s="80" t="s">
        <v>1</v>
      </c>
      <c r="D49" s="113" t="str">
        <v>Anaerobic digestion</v>
      </c>
      <c r="E49" s="122" t="str">
        <v>All organic waste</v>
      </c>
      <c r="F49" s="123"/>
      <c r="G49" s="15" t="s">
        <v>782</v>
      </c>
      <c r="H49" s="15" t="s">
        <v>782</v>
      </c>
      <c r="I49" s="15" t="s">
        <v>782</v>
      </c>
    </row>
    <row r="50" spans="1:9" ht="20.100000000000001" customHeight="1" x14ac:dyDescent="0.2">
      <c r="A50" s="5" t="str">
        <f>HYPERLINK("#'Constants - Poultry'!A1", "Constants - Poultry")</f>
        <v>Constants - Poultry</v>
      </c>
      <c r="D50" s="113" t="str">
        <v>Anaerobic digestion</v>
      </c>
      <c r="E50" s="122" t="str">
        <v>Food waste (including animal carcasses, spoiled animal feed or crop)</v>
      </c>
      <c r="F50" s="123"/>
      <c r="G50" s="15"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15" cm="1">
        <f t="array" ref="H50">Common_InputFunctions.Utility_LookupValueInTableNumber(E50,Table_SourceData_WasteSolid_VolumeToMassConversion[Waste type w],Table_SourceData_WasteSolid_VolumeToMassConversion[VTMw])</f>
        <v>0.5</v>
      </c>
      <c r="I50" s="15" cm="1">
        <f t="array" ref="I50">WasteSolid_Equations.VEERG_10_1_1_1__2_MassOfWasteFromVolume(G50,H50)</f>
        <v>0</v>
      </c>
    </row>
    <row r="51" spans="1:9" ht="20.100000000000001" customHeight="1" x14ac:dyDescent="0.2">
      <c r="A51" s="5" t="str">
        <f>HYPERLINK("#'Constants - Common livestock'!A1", "Constants - Common Livestock")</f>
        <v>Constants - Common Livestock</v>
      </c>
      <c r="D51" s="113" t="str">
        <v>Anaerobic digestion</v>
      </c>
      <c r="E51" s="122" t="str">
        <v>Green waste (including crop residues or prunings)</v>
      </c>
      <c r="F51" s="123"/>
      <c r="G51" s="15"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15" cm="1">
        <f t="array" ref="H51">Common_InputFunctions.Utility_LookupValueInTableNumber(E51,Table_SourceData_WasteSolid_VolumeToMassConversion[Waste type w],Table_SourceData_WasteSolid_VolumeToMassConversion[VTMw])</f>
        <v>0.24</v>
      </c>
      <c r="I51" s="15" cm="1">
        <f t="array" ref="I51">WasteSolid_Equations.VEERG_10_1_1_1__2_MassOfWasteFromVolume(G51,H51)</f>
        <v>0</v>
      </c>
    </row>
    <row r="52" spans="1:9" ht="20.100000000000001" customHeight="1" x14ac:dyDescent="0.2">
      <c r="A52" s="5" t="str">
        <f>HYPERLINK("#'Constants - Electricity'!A1", "Constants - Electricity")</f>
        <v>Constants - Electricity</v>
      </c>
      <c r="D52" s="113" t="str">
        <v>Anaerobic digestion</v>
      </c>
      <c r="E52" s="122" t="str">
        <v>Wood</v>
      </c>
      <c r="F52" s="123"/>
      <c r="G52" s="15"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15" cm="1">
        <f t="array" ref="H52">Common_InputFunctions.Utility_LookupValueInTableNumber(E52,Table_SourceData_WasteSolid_VolumeToMassConversion[Waste type w],Table_SourceData_WasteSolid_VolumeToMassConversion[VTMw])</f>
        <v>0.15</v>
      </c>
      <c r="I52" s="15" cm="1">
        <f t="array" ref="I52">WasteSolid_Equations.VEERG_10_1_1_1__2_MassOfWasteFromVolume(G52,H52)</f>
        <v>0</v>
      </c>
    </row>
    <row r="53" spans="1:9" ht="20.100000000000001" customHeight="1" x14ac:dyDescent="0.2">
      <c r="A53" s="5" t="str">
        <f>HYPERLINK("#'Constants - Fertiliser'!A1", "Constants - Fertiliser")</f>
        <v>Constants - Fertiliser</v>
      </c>
      <c r="D53" s="113" t="str">
        <v>Anaerobic digestion</v>
      </c>
      <c r="E53" s="122" t="str">
        <v>Sludge</v>
      </c>
      <c r="F53" s="123"/>
      <c r="G53" s="15"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15" cm="1">
        <f t="array" ref="H53">Common_InputFunctions.Utility_LookupValueInTableNumber(E53,Table_SourceData_WasteSolid_VolumeToMassConversion[Waste type w],Table_SourceData_WasteSolid_VolumeToMassConversion[VTMw])</f>
        <v>0.72</v>
      </c>
      <c r="I53" s="15" cm="1">
        <f t="array" ref="I53">WasteSolid_Equations.VEERG_10_1_1_1__2_MassOfWasteFromVolume(G53,H53)</f>
        <v>0</v>
      </c>
    </row>
    <row r="54" spans="1:9" ht="20.100000000000001" customHeight="1" x14ac:dyDescent="0.2">
      <c r="A54" s="5" t="str">
        <f>HYPERLINK("#'Constants - Fuel'!A1", "Constants - Fuel")</f>
        <v>Constants - Fuel</v>
      </c>
      <c r="D54" s="113" t="str">
        <v>Anaerobic digestion</v>
      </c>
      <c r="E54" s="122" t="str">
        <v>Paper and cardboard</v>
      </c>
      <c r="F54" s="123"/>
      <c r="G54" s="15"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15" cm="1">
        <f t="array" ref="H54">Common_InputFunctions.Utility_LookupValueInTableNumber(E54,Table_SourceData_WasteSolid_VolumeToMassConversion[Waste type w],Table_SourceData_WasteSolid_VolumeToMassConversion[VTMw])</f>
        <v>0.09</v>
      </c>
      <c r="I54" s="15" cm="1">
        <f t="array" ref="I54">WasteSolid_Equations.VEERG_10_1_1_1__2_MassOfWasteFromVolume(G54,H54)</f>
        <v>0</v>
      </c>
    </row>
    <row r="55" spans="1:9" ht="20.100000000000001" customHeight="1" x14ac:dyDescent="0.2">
      <c r="A55" s="5" t="str">
        <f>HYPERLINK("#'Constants - Scope 3'!A1", "Constants - Scope 3")</f>
        <v>Constants - Scope 3</v>
      </c>
    </row>
    <row r="56" spans="1:9" ht="20.100000000000001" customHeight="1" x14ac:dyDescent="0.2">
      <c r="A56" s="5" t="str">
        <f>HYPERLINK("#'Constants - Solid Waste'!A1", "Constants - Solid Waste")</f>
        <v>Constants - Solid Waste</v>
      </c>
      <c r="D56" s="118" t="s">
        <v>919</v>
      </c>
    </row>
    <row r="57" spans="1:9" ht="20.100000000000001" customHeight="1" x14ac:dyDescent="0.2">
      <c r="A57" s="5" t="str">
        <f>HYPERLINK("#'Constants - Common'!A1", "Constants - Common")</f>
        <v>Constants - Common</v>
      </c>
      <c r="D57" s="119" t="s">
        <v>920</v>
      </c>
    </row>
    <row r="58" spans="1:9" ht="20.100000000000001" customHeight="1" x14ac:dyDescent="0.2">
      <c r="D58" s="78" t="s">
        <v>914</v>
      </c>
      <c r="E58" s="78" t="s">
        <v>915</v>
      </c>
      <c r="F58" s="78"/>
      <c r="G58" s="78" t="s">
        <v>916</v>
      </c>
      <c r="H58" s="120" t="s">
        <v>917</v>
      </c>
      <c r="I58" s="120" t="s">
        <v>918</v>
      </c>
    </row>
    <row r="59" spans="1:9" ht="20.100000000000001" customHeight="1" x14ac:dyDescent="0.2">
      <c r="D59" s="113" t="str" cm="1">
        <f t="array" ref="D59:D92">Table_SourceData_WasteSolid_WasteTreatmentEFs[Treatment type t]</f>
        <v>Landfill</v>
      </c>
      <c r="E59" s="122" t="str" cm="1">
        <f t="array" ref="E59:E92">Table_SourceData_WasteSolid_WasteTreatmentEFs[Waste type w]</f>
        <v>Food waste (including animal carcasses, spoiled animal feed or crop)</v>
      </c>
      <c r="F59" s="225"/>
      <c r="G59" s="15"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15" cm="1">
        <f t="array" ref="H59">Common_InputFunctions.Utility_LookupValueInTableNumber(E59,Table_SourceData_WasteSolid_VolumeToMassConversion[Waste type w],Table_SourceData_WasteSolid_VolumeToMassConversion[VTMw])</f>
        <v>0.5</v>
      </c>
      <c r="I59" s="15" cm="1">
        <f t="array" ref="I59">WasteSolid_Equations.VEERG_10_1_1_1__2_MassOfWasteFromVolume(G59,H59)</f>
        <v>25</v>
      </c>
    </row>
    <row r="60" spans="1:9" ht="20.100000000000001" customHeight="1" x14ac:dyDescent="0.2">
      <c r="D60" s="113" t="str">
        <v>Landfill</v>
      </c>
      <c r="E60" s="122" t="str">
        <v>Paper and cardboard</v>
      </c>
      <c r="F60" s="225"/>
      <c r="G60" s="15"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15" cm="1">
        <f t="array" ref="H60">Common_InputFunctions.Utility_LookupValueInTableNumber(E60,Table_SourceData_WasteSolid_VolumeToMassConversion[Waste type w],Table_SourceData_WasteSolid_VolumeToMassConversion[VTMw])</f>
        <v>0.09</v>
      </c>
      <c r="I60" s="15" cm="1">
        <f t="array" ref="I60">WasteSolid_Equations.VEERG_10_1_1_1__2_MassOfWasteFromVolume(G60,H60)</f>
        <v>4.5</v>
      </c>
    </row>
    <row r="61" spans="1:9" ht="20.100000000000001" customHeight="1" x14ac:dyDescent="0.2">
      <c r="D61" s="113" t="str">
        <v>Landfill</v>
      </c>
      <c r="E61" s="122" t="str">
        <v>Green waste (including crop residues or prunings)</v>
      </c>
      <c r="F61" s="225"/>
      <c r="G61" s="15"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15" cm="1">
        <f t="array" ref="H61">Common_InputFunctions.Utility_LookupValueInTableNumber(E61,Table_SourceData_WasteSolid_VolumeToMassConversion[Waste type w],Table_SourceData_WasteSolid_VolumeToMassConversion[VTMw])</f>
        <v>0.24</v>
      </c>
      <c r="I61" s="15" cm="1">
        <f t="array" ref="I61">WasteSolid_Equations.VEERG_10_1_1_1__2_MassOfWasteFromVolume(G61,H61)</f>
        <v>12</v>
      </c>
    </row>
    <row r="62" spans="1:9" ht="20.100000000000001" customHeight="1" x14ac:dyDescent="0.2">
      <c r="D62" s="113" t="str">
        <v>Landfill</v>
      </c>
      <c r="E62" s="122" t="str">
        <v>Wood</v>
      </c>
      <c r="F62" s="225"/>
      <c r="G62" s="15"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15" cm="1">
        <f t="array" ref="H62">Common_InputFunctions.Utility_LookupValueInTableNumber(E62,Table_SourceData_WasteSolid_VolumeToMassConversion[Waste type w],Table_SourceData_WasteSolid_VolumeToMassConversion[VTMw])</f>
        <v>0.15</v>
      </c>
      <c r="I62" s="15" cm="1">
        <f t="array" ref="I62">WasteSolid_Equations.VEERG_10_1_1_1__2_MassOfWasteFromVolume(G62,H62)</f>
        <v>0</v>
      </c>
    </row>
    <row r="63" spans="1:9" ht="20.100000000000001" customHeight="1" x14ac:dyDescent="0.2">
      <c r="D63" s="113" t="str">
        <v>Landfill</v>
      </c>
      <c r="E63" s="122" t="str">
        <v>Textiles</v>
      </c>
      <c r="F63" s="225"/>
      <c r="G63" s="15"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15" cm="1">
        <f t="array" ref="H63">Common_InputFunctions.Utility_LookupValueInTableNumber(E63,Table_SourceData_WasteSolid_VolumeToMassConversion[Waste type w],Table_SourceData_WasteSolid_VolumeToMassConversion[VTMw])</f>
        <v>0.14000000000000001</v>
      </c>
      <c r="I63" s="15" cm="1">
        <f t="array" ref="I63">WasteSolid_Equations.VEERG_10_1_1_1__2_MassOfWasteFromVolume(G63,H63)</f>
        <v>0</v>
      </c>
    </row>
    <row r="64" spans="1:9" ht="20.100000000000001" customHeight="1" x14ac:dyDescent="0.2">
      <c r="D64" s="113" t="str">
        <v>Landfill</v>
      </c>
      <c r="E64" s="122" t="str">
        <v>Sludge</v>
      </c>
      <c r="F64" s="225"/>
      <c r="G64" s="15"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15" cm="1">
        <f t="array" ref="H64">Common_InputFunctions.Utility_LookupValueInTableNumber(E64,Table_SourceData_WasteSolid_VolumeToMassConversion[Waste type w],Table_SourceData_WasteSolid_VolumeToMassConversion[VTMw])</f>
        <v>0.72</v>
      </c>
      <c r="I64" s="15" cm="1">
        <f t="array" ref="I64">WasteSolid_Equations.VEERG_10_1_1_1__2_MassOfWasteFromVolume(G64,H64)</f>
        <v>0</v>
      </c>
    </row>
    <row r="65" spans="1:9" ht="20.100000000000001" customHeight="1" x14ac:dyDescent="0.2">
      <c r="D65" s="113" t="str">
        <v>Landfill</v>
      </c>
      <c r="E65" s="122" t="str">
        <v>Rubber and leather</v>
      </c>
      <c r="F65" s="225"/>
      <c r="G65" s="15"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15" cm="1">
        <f t="array" ref="H65">Common_InputFunctions.Utility_LookupValueInTableNumber(E65,Table_SourceData_WasteSolid_VolumeToMassConversion[Waste type w],Table_SourceData_WasteSolid_VolumeToMassConversion[VTMw])</f>
        <v>0.14000000000000001</v>
      </c>
      <c r="I65" s="15" cm="1">
        <f t="array" ref="I65">WasteSolid_Equations.VEERG_10_1_1_1__2_MassOfWasteFromVolume(G65,H65)</f>
        <v>0</v>
      </c>
    </row>
    <row r="66" spans="1:9" ht="20.100000000000001" customHeight="1" x14ac:dyDescent="0.2">
      <c r="D66" s="113" t="str">
        <v>Landfill</v>
      </c>
      <c r="E66" s="122" t="str">
        <v>Inert waste (including concrete, metal, plastic or glass)</v>
      </c>
      <c r="F66" s="225"/>
      <c r="G66" s="15"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15" cm="1">
        <f t="array" ref="H66">Common_InputFunctions.Utility_LookupValueInTableNumber(E66,Table_SourceData_WasteSolid_VolumeToMassConversion[Waste type w],Table_SourceData_WasteSolid_VolumeToMassConversion[VTMw])</f>
        <v>0.42</v>
      </c>
      <c r="I66" s="15" cm="1">
        <f t="array" ref="I66">WasteSolid_Equations.VEERG_10_1_1_1__2_MassOfWasteFromVolume(G66,H66)</f>
        <v>0</v>
      </c>
    </row>
    <row r="67" spans="1:9" ht="20.100000000000001" customHeight="1" x14ac:dyDescent="0.2">
      <c r="D67" s="113" t="str">
        <v>Landfill</v>
      </c>
      <c r="E67" s="122" t="str">
        <v>Municipal solid waste</v>
      </c>
      <c r="F67" s="225"/>
      <c r="G67" s="15"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15" cm="1">
        <f t="array" ref="H67">Common_InputFunctions.Utility_LookupValueInTableNumber(E67,Table_SourceData_WasteSolid_VolumeToMassConversion[Waste type w],Table_SourceData_WasteSolid_VolumeToMassConversion[VTMw])</f>
        <v>0.36</v>
      </c>
      <c r="I67" s="15" cm="1">
        <f t="array" ref="I67">WasteSolid_Equations.VEERG_10_1_1_1__2_MassOfWasteFromVolume(G67,H67)</f>
        <v>0</v>
      </c>
    </row>
    <row r="68" spans="1:9" ht="20.100000000000001" customHeight="1" x14ac:dyDescent="0.2">
      <c r="A68" s="79" t="str">
        <f>HYPERLINK("#A1", "▲ Back to top")</f>
        <v>▲ Back to top</v>
      </c>
      <c r="D68" s="113" t="str">
        <v>Landfill</v>
      </c>
      <c r="E68" s="122" t="str">
        <v>Commercial and industrial waste</v>
      </c>
      <c r="F68" s="225"/>
      <c r="G68" s="15"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15" cm="1">
        <f t="array" ref="H68">Common_InputFunctions.Utility_LookupValueInTableNumber(E68,Table_SourceData_WasteSolid_VolumeToMassConversion[Waste type w],Table_SourceData_WasteSolid_VolumeToMassConversion[VTMw])</f>
        <v>0.33</v>
      </c>
      <c r="I68" s="15" cm="1">
        <f t="array" ref="I68">WasteSolid_Equations.VEERG_10_1_1_1__2_MassOfWasteFromVolume(G68,H68)</f>
        <v>0</v>
      </c>
    </row>
    <row r="69" spans="1:9" ht="20.100000000000001" customHeight="1" x14ac:dyDescent="0.2">
      <c r="D69" s="113" t="str">
        <v>Landfill</v>
      </c>
      <c r="E69" s="122" t="str">
        <v>Construction and demolition waste</v>
      </c>
      <c r="F69" s="225"/>
      <c r="G69" s="15"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15" cm="1">
        <f t="array" ref="H69">Common_InputFunctions.Utility_LookupValueInTableNumber(E69,Table_SourceData_WasteSolid_VolumeToMassConversion[Waste type w],Table_SourceData_WasteSolid_VolumeToMassConversion[VTMw])</f>
        <v>0.39</v>
      </c>
      <c r="I69" s="15" cm="1">
        <f t="array" ref="I69">WasteSolid_Equations.VEERG_10_1_1_1__2_MassOfWasteFromVolume(G69,H69)</f>
        <v>0</v>
      </c>
    </row>
    <row r="70" spans="1:9" ht="20.100000000000001" customHeight="1" x14ac:dyDescent="0.2">
      <c r="D70" s="113" t="str">
        <v>Incineration</v>
      </c>
      <c r="E70" s="122" t="str">
        <v>Food waste, green waste, wood, sludge</v>
      </c>
      <c r="F70" s="225"/>
      <c r="G70" s="15" t="s">
        <v>782</v>
      </c>
      <c r="H70" s="15" t="s">
        <v>782</v>
      </c>
      <c r="I70" s="15" t="s">
        <v>782</v>
      </c>
    </row>
    <row r="71" spans="1:9" ht="20.100000000000001" customHeight="1" x14ac:dyDescent="0.2">
      <c r="D71" s="113" t="str">
        <v>Incineration</v>
      </c>
      <c r="E71" s="122" t="str">
        <v>Food waste (including animal carcasses, spoiled animal feed or crop)</v>
      </c>
      <c r="F71" s="225"/>
      <c r="G71" s="15"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15" cm="1">
        <f t="array" ref="H71">Common_InputFunctions.Utility_LookupValueInTableNumber(E71,Table_SourceData_WasteSolid_VolumeToMassConversion[Waste type w],Table_SourceData_WasteSolid_VolumeToMassConversion[VTMw])</f>
        <v>0.5</v>
      </c>
      <c r="I71" s="15" cm="1">
        <f t="array" ref="I71">WasteSolid_Equations.VEERG_10_1_1_1__2_MassOfWasteFromVolume(G71,H71)</f>
        <v>0</v>
      </c>
    </row>
    <row r="72" spans="1:9" ht="20.100000000000001" customHeight="1" x14ac:dyDescent="0.2">
      <c r="D72" s="113" t="str">
        <v>Incineration</v>
      </c>
      <c r="E72" s="122" t="str">
        <v>Green waste (including crop residues or prunings)</v>
      </c>
      <c r="F72" s="225"/>
      <c r="G72" s="15"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15" cm="1">
        <f t="array" ref="H72">Common_InputFunctions.Utility_LookupValueInTableNumber(E72,Table_SourceData_WasteSolid_VolumeToMassConversion[Waste type w],Table_SourceData_WasteSolid_VolumeToMassConversion[VTMw])</f>
        <v>0.24</v>
      </c>
      <c r="I72" s="15" cm="1">
        <f t="array" ref="I72">WasteSolid_Equations.VEERG_10_1_1_1__2_MassOfWasteFromVolume(G72,H72)</f>
        <v>12</v>
      </c>
    </row>
    <row r="73" spans="1:9" ht="20.100000000000001" customHeight="1" x14ac:dyDescent="0.2">
      <c r="D73" s="113" t="str">
        <v>Incineration</v>
      </c>
      <c r="E73" s="122" t="str">
        <v>Wood</v>
      </c>
      <c r="F73" s="225"/>
      <c r="G73" s="15"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15" cm="1">
        <f t="array" ref="H73">Common_InputFunctions.Utility_LookupValueInTableNumber(E73,Table_SourceData_WasteSolid_VolumeToMassConversion[Waste type w],Table_SourceData_WasteSolid_VolumeToMassConversion[VTMw])</f>
        <v>0.15</v>
      </c>
      <c r="I73" s="15" cm="1">
        <f t="array" ref="I73">WasteSolid_Equations.VEERG_10_1_1_1__2_MassOfWasteFromVolume(G73,H73)</f>
        <v>0</v>
      </c>
    </row>
    <row r="74" spans="1:9" ht="20.100000000000001" customHeight="1" x14ac:dyDescent="0.2">
      <c r="D74" s="113" t="str">
        <v>Incineration</v>
      </c>
      <c r="E74" s="122" t="str">
        <v>Sludge</v>
      </c>
      <c r="F74" s="225"/>
      <c r="G74" s="15"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15" cm="1">
        <f t="array" ref="H74">Common_InputFunctions.Utility_LookupValueInTableNumber(E74,Table_SourceData_WasteSolid_VolumeToMassConversion[Waste type w],Table_SourceData_WasteSolid_VolumeToMassConversion[VTMw])</f>
        <v>0.72</v>
      </c>
      <c r="I74" s="15" cm="1">
        <f t="array" ref="I74">WasteSolid_Equations.VEERG_10_1_1_1__2_MassOfWasteFromVolume(G74,H74)</f>
        <v>0</v>
      </c>
    </row>
    <row r="75" spans="1:9" ht="20.100000000000001" customHeight="1" x14ac:dyDescent="0.2">
      <c r="D75" s="113" t="str">
        <v>Incineration</v>
      </c>
      <c r="E75" s="122" t="str">
        <v>Paper and cardboard</v>
      </c>
      <c r="F75" s="225"/>
      <c r="G75" s="15"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15" cm="1">
        <f t="array" ref="H75">Common_InputFunctions.Utility_LookupValueInTableNumber(E75,Table_SourceData_WasteSolid_VolumeToMassConversion[Waste type w],Table_SourceData_WasteSolid_VolumeToMassConversion[VTMw])</f>
        <v>0.09</v>
      </c>
      <c r="I75" s="15" cm="1">
        <f t="array" ref="I75">WasteSolid_Equations.VEERG_10_1_1_1__2_MassOfWasteFromVolume(G75,H75)</f>
        <v>0</v>
      </c>
    </row>
    <row r="76" spans="1:9" ht="20.100000000000001" customHeight="1" x14ac:dyDescent="0.2">
      <c r="D76" s="113" t="str">
        <v>Incineration</v>
      </c>
      <c r="E76" s="122" t="str">
        <v>Textiles</v>
      </c>
      <c r="F76" s="225"/>
      <c r="G76" s="15"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15" cm="1">
        <f t="array" ref="H76">Common_InputFunctions.Utility_LookupValueInTableNumber(E76,Table_SourceData_WasteSolid_VolumeToMassConversion[Waste type w],Table_SourceData_WasteSolid_VolumeToMassConversion[VTMw])</f>
        <v>0.14000000000000001</v>
      </c>
      <c r="I76" s="15" cm="1">
        <f t="array" ref="I76">WasteSolid_Equations.VEERG_10_1_1_1__2_MassOfWasteFromVolume(G76,H76)</f>
        <v>0</v>
      </c>
    </row>
    <row r="77" spans="1:9" ht="20.100000000000001" customHeight="1" x14ac:dyDescent="0.2">
      <c r="D77" s="113" t="str">
        <v>Incineration</v>
      </c>
      <c r="E77" s="122" t="str">
        <v>Rubber and leather</v>
      </c>
      <c r="F77" s="225"/>
      <c r="G77" s="15"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15" cm="1">
        <f t="array" ref="H77">Common_InputFunctions.Utility_LookupValueInTableNumber(E77,Table_SourceData_WasteSolid_VolumeToMassConversion[Waste type w],Table_SourceData_WasteSolid_VolumeToMassConversion[VTMw])</f>
        <v>0.14000000000000001</v>
      </c>
      <c r="I77" s="15" cm="1">
        <f t="array" ref="I77">WasteSolid_Equations.VEERG_10_1_1_1__2_MassOfWasteFromVolume(G77,H77)</f>
        <v>0</v>
      </c>
    </row>
    <row r="78" spans="1:9" ht="20.100000000000001" customHeight="1" x14ac:dyDescent="0.2">
      <c r="D78" s="113" t="str">
        <v>Incineration</v>
      </c>
      <c r="E78" s="122" t="str">
        <v>Inert waste (including concrete, metal, plastic or glass)</v>
      </c>
      <c r="F78" s="225"/>
      <c r="G78" s="15"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15" cm="1">
        <f t="array" ref="H78">Common_InputFunctions.Utility_LookupValueInTableNumber(E78,Table_SourceData_WasteSolid_VolumeToMassConversion[Waste type w],Table_SourceData_WasteSolid_VolumeToMassConversion[VTMw])</f>
        <v>0.42</v>
      </c>
      <c r="I78" s="15" cm="1">
        <f t="array" ref="I78">WasteSolid_Equations.VEERG_10_1_1_1__2_MassOfWasteFromVolume(G78,H78)</f>
        <v>0</v>
      </c>
    </row>
    <row r="79" spans="1:9" ht="20.100000000000001" customHeight="1" x14ac:dyDescent="0.2">
      <c r="D79" s="113" t="str">
        <v>Incineration</v>
      </c>
      <c r="E79" s="122" t="str">
        <v>Municipal solid waste</v>
      </c>
      <c r="F79" s="123"/>
      <c r="G79" s="15"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15" cm="1">
        <f t="array" ref="H79">Common_InputFunctions.Utility_LookupValueInTableNumber(E79,Table_SourceData_WasteSolid_VolumeToMassConversion[Waste type w],Table_SourceData_WasteSolid_VolumeToMassConversion[VTMw])</f>
        <v>0.36</v>
      </c>
      <c r="I79" s="15" cm="1">
        <f t="array" ref="I79">WasteSolid_Equations.VEERG_10_1_1_1__2_MassOfWasteFromVolume(G79,H79)</f>
        <v>0</v>
      </c>
    </row>
    <row r="80" spans="1:9" ht="20.100000000000001" customHeight="1" x14ac:dyDescent="0.2">
      <c r="D80" s="113" t="str">
        <v>Incineration</v>
      </c>
      <c r="E80" s="122" t="str">
        <v>Commercial and industrial waste</v>
      </c>
      <c r="F80" s="123"/>
      <c r="G80" s="15"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15" cm="1">
        <f t="array" ref="H80">Common_InputFunctions.Utility_LookupValueInTableNumber(E80,Table_SourceData_WasteSolid_VolumeToMassConversion[Waste type w],Table_SourceData_WasteSolid_VolumeToMassConversion[VTMw])</f>
        <v>0.33</v>
      </c>
      <c r="I80" s="15" cm="1">
        <f t="array" ref="I80">WasteSolid_Equations.VEERG_10_1_1_1__2_MassOfWasteFromVolume(G80,H80)</f>
        <v>0</v>
      </c>
    </row>
    <row r="81" spans="3:12" ht="20.100000000000001" customHeight="1" x14ac:dyDescent="0.2">
      <c r="D81" s="113" t="str">
        <v>Composting</v>
      </c>
      <c r="E81" s="122" t="str">
        <v>All organic waste</v>
      </c>
      <c r="F81" s="123"/>
      <c r="G81" s="15" t="s">
        <v>782</v>
      </c>
      <c r="H81" s="15" t="s">
        <v>782</v>
      </c>
      <c r="I81" s="15" t="s">
        <v>782</v>
      </c>
    </row>
    <row r="82" spans="3:12" ht="20.100000000000001" customHeight="1" x14ac:dyDescent="0.2">
      <c r="D82" s="113" t="str">
        <v>Composting</v>
      </c>
      <c r="E82" s="122" t="str">
        <v>Food waste (including animal carcasses, spoiled animal feed or crop)</v>
      </c>
      <c r="F82" s="123"/>
      <c r="G82" s="15"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15" cm="1">
        <f t="array" ref="H82">Common_InputFunctions.Utility_LookupValueInTableNumber(E82,Table_SourceData_WasteSolid_VolumeToMassConversion[Waste type w],Table_SourceData_WasteSolid_VolumeToMassConversion[VTMw])</f>
        <v>0.5</v>
      </c>
      <c r="I82" s="15" cm="1">
        <f t="array" ref="I82">WasteSolid_Equations.VEERG_10_1_1_1__2_MassOfWasteFromVolume(G82,H82)</f>
        <v>0</v>
      </c>
    </row>
    <row r="83" spans="3:12" ht="20.100000000000001" customHeight="1" x14ac:dyDescent="0.2">
      <c r="D83" s="113" t="str">
        <v>Composting</v>
      </c>
      <c r="E83" s="122" t="str">
        <v>Green waste (including crop residues or prunings)</v>
      </c>
      <c r="F83" s="123"/>
      <c r="G83" s="15"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15" cm="1">
        <f t="array" ref="H83">Common_InputFunctions.Utility_LookupValueInTableNumber(E83,Table_SourceData_WasteSolid_VolumeToMassConversion[Waste type w],Table_SourceData_WasteSolid_VolumeToMassConversion[VTMw])</f>
        <v>0.24</v>
      </c>
      <c r="I83" s="15" cm="1">
        <f t="array" ref="I83">WasteSolid_Equations.VEERG_10_1_1_1__2_MassOfWasteFromVolume(G83,H83)</f>
        <v>0</v>
      </c>
    </row>
    <row r="84" spans="3:12" ht="20.100000000000001" customHeight="1" x14ac:dyDescent="0.2">
      <c r="D84" s="113" t="str">
        <v>Composting</v>
      </c>
      <c r="E84" s="122" t="str">
        <v>Wood</v>
      </c>
      <c r="F84" s="123"/>
      <c r="G84" s="15"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15" cm="1">
        <f t="array" ref="H84">Common_InputFunctions.Utility_LookupValueInTableNumber(E84,Table_SourceData_WasteSolid_VolumeToMassConversion[Waste type w],Table_SourceData_WasteSolid_VolumeToMassConversion[VTMw])</f>
        <v>0.15</v>
      </c>
      <c r="I84" s="15" cm="1">
        <f t="array" ref="I84">WasteSolid_Equations.VEERG_10_1_1_1__2_MassOfWasteFromVolume(G84,H84)</f>
        <v>0</v>
      </c>
    </row>
    <row r="85" spans="3:12" ht="20.100000000000001" customHeight="1" x14ac:dyDescent="0.2">
      <c r="D85" s="113" t="str">
        <v>Composting</v>
      </c>
      <c r="E85" s="122" t="str">
        <v>Sludge</v>
      </c>
      <c r="F85" s="123"/>
      <c r="G85" s="15"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15" cm="1">
        <f t="array" ref="H85">Common_InputFunctions.Utility_LookupValueInTableNumber(E85,Table_SourceData_WasteSolid_VolumeToMassConversion[Waste type w],Table_SourceData_WasteSolid_VolumeToMassConversion[VTMw])</f>
        <v>0.72</v>
      </c>
      <c r="I85" s="15" cm="1">
        <f t="array" ref="I85">WasteSolid_Equations.VEERG_10_1_1_1__2_MassOfWasteFromVolume(G85,H85)</f>
        <v>0</v>
      </c>
    </row>
    <row r="86" spans="3:12" ht="20.100000000000001" customHeight="1" x14ac:dyDescent="0.2">
      <c r="D86" s="113" t="str">
        <v>Composting</v>
      </c>
      <c r="E86" s="122" t="str">
        <v>Paper and cardboard</v>
      </c>
      <c r="F86" s="123"/>
      <c r="G86" s="15"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15" cm="1">
        <f t="array" ref="H86">Common_InputFunctions.Utility_LookupValueInTableNumber(E86,Table_SourceData_WasteSolid_VolumeToMassConversion[Waste type w],Table_SourceData_WasteSolid_VolumeToMassConversion[VTMw])</f>
        <v>0.09</v>
      </c>
      <c r="I86" s="15" cm="1">
        <f t="array" ref="I86">WasteSolid_Equations.VEERG_10_1_1_1__2_MassOfWasteFromVolume(G86,H86)</f>
        <v>0</v>
      </c>
    </row>
    <row r="87" spans="3:12" ht="20.100000000000001" customHeight="1" x14ac:dyDescent="0.2">
      <c r="D87" s="113" t="str">
        <v>Anaerobic digestion</v>
      </c>
      <c r="E87" s="122" t="str">
        <v>All organic waste</v>
      </c>
      <c r="F87" s="123"/>
      <c r="G87" s="15" t="s">
        <v>782</v>
      </c>
      <c r="H87" s="15" t="s">
        <v>782</v>
      </c>
      <c r="I87" s="15" t="s">
        <v>782</v>
      </c>
    </row>
    <row r="88" spans="3:12" ht="20.100000000000001" customHeight="1" x14ac:dyDescent="0.2">
      <c r="D88" s="113" t="str">
        <v>Anaerobic digestion</v>
      </c>
      <c r="E88" s="122" t="str">
        <v>Food waste (including animal carcasses, spoiled animal feed or crop)</v>
      </c>
      <c r="F88" s="123"/>
      <c r="G88" s="15"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15" cm="1">
        <f t="array" ref="H88">Common_InputFunctions.Utility_LookupValueInTableNumber(E88,Table_SourceData_WasteSolid_VolumeToMassConversion[Waste type w],Table_SourceData_WasteSolid_VolumeToMassConversion[VTMw])</f>
        <v>0.5</v>
      </c>
      <c r="I88" s="15" cm="1">
        <f t="array" ref="I88">WasteSolid_Equations.VEERG_10_1_1_1__2_MassOfWasteFromVolume(G88,H88)</f>
        <v>0</v>
      </c>
    </row>
    <row r="89" spans="3:12" ht="20.100000000000001" customHeight="1" x14ac:dyDescent="0.2">
      <c r="D89" s="113" t="str">
        <v>Anaerobic digestion</v>
      </c>
      <c r="E89" s="122" t="str">
        <v>Green waste (including crop residues or prunings)</v>
      </c>
      <c r="F89" s="123"/>
      <c r="G89" s="15"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15" cm="1">
        <f t="array" ref="H89">Common_InputFunctions.Utility_LookupValueInTableNumber(E89,Table_SourceData_WasteSolid_VolumeToMassConversion[Waste type w],Table_SourceData_WasteSolid_VolumeToMassConversion[VTMw])</f>
        <v>0.24</v>
      </c>
      <c r="I89" s="15" cm="1">
        <f t="array" ref="I89">WasteSolid_Equations.VEERG_10_1_1_1__2_MassOfWasteFromVolume(G89,H89)</f>
        <v>0</v>
      </c>
    </row>
    <row r="90" spans="3:12" ht="20.100000000000001" customHeight="1" x14ac:dyDescent="0.2">
      <c r="D90" s="113" t="str">
        <v>Anaerobic digestion</v>
      </c>
      <c r="E90" s="122" t="str">
        <v>Wood</v>
      </c>
      <c r="F90" s="123"/>
      <c r="G90" s="15"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15" cm="1">
        <f t="array" ref="H90">Common_InputFunctions.Utility_LookupValueInTableNumber(E90,Table_SourceData_WasteSolid_VolumeToMassConversion[Waste type w],Table_SourceData_WasteSolid_VolumeToMassConversion[VTMw])</f>
        <v>0.15</v>
      </c>
      <c r="I90" s="15" cm="1">
        <f t="array" ref="I90">WasteSolid_Equations.VEERG_10_1_1_1__2_MassOfWasteFromVolume(G90,H90)</f>
        <v>0</v>
      </c>
    </row>
    <row r="91" spans="3:12" ht="20.100000000000001" customHeight="1" x14ac:dyDescent="0.2">
      <c r="D91" s="113" t="str">
        <v>Anaerobic digestion</v>
      </c>
      <c r="E91" s="122" t="str">
        <v>Sludge</v>
      </c>
      <c r="F91" s="123"/>
      <c r="G91" s="15"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15" cm="1">
        <f t="array" ref="H91">Common_InputFunctions.Utility_LookupValueInTableNumber(E91,Table_SourceData_WasteSolid_VolumeToMassConversion[Waste type w],Table_SourceData_WasteSolid_VolumeToMassConversion[VTMw])</f>
        <v>0.72</v>
      </c>
      <c r="I91" s="15" cm="1">
        <f t="array" ref="I91">WasteSolid_Equations.VEERG_10_1_1_1__2_MassOfWasteFromVolume(G91,H91)</f>
        <v>0</v>
      </c>
    </row>
    <row r="92" spans="3:12" ht="20.100000000000001" customHeight="1" x14ac:dyDescent="0.2">
      <c r="D92" s="113" t="str">
        <v>Anaerobic digestion</v>
      </c>
      <c r="E92" s="122" t="str">
        <v>Paper and cardboard</v>
      </c>
      <c r="F92" s="123"/>
      <c r="G92" s="15"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15" cm="1">
        <f t="array" ref="H92">Common_InputFunctions.Utility_LookupValueInTableNumber(E92,Table_SourceData_WasteSolid_VolumeToMassConversion[Waste type w],Table_SourceData_WasteSolid_VolumeToMassConversion[VTMw])</f>
        <v>0.09</v>
      </c>
      <c r="I92" s="15" cm="1">
        <f t="array" ref="I92">WasteSolid_Equations.VEERG_10_1_1_1__2_MassOfWasteFromVolume(G92,H92)</f>
        <v>0</v>
      </c>
    </row>
    <row r="95" spans="3:12" ht="20.100000000000001" customHeight="1" x14ac:dyDescent="0.2">
      <c r="C95" s="83"/>
      <c r="D95" s="83"/>
      <c r="E95" s="83"/>
      <c r="F95" s="83"/>
      <c r="G95" s="83"/>
      <c r="H95" s="83"/>
      <c r="I95" s="83"/>
      <c r="J95" s="83"/>
      <c r="K95" s="83"/>
      <c r="L95" s="83"/>
    </row>
    <row r="96" spans="3:12" ht="20.100000000000001" customHeight="1" x14ac:dyDescent="0.2">
      <c r="D96" s="2" t="str" cm="1">
        <f t="array" ref="D96">WasteSolid_Equations.VEERG_10_1_1_1__1_EmissionsFromWasteManagement_Title()</f>
        <v>Emissions from waste management by greenhouse gas</v>
      </c>
    </row>
    <row r="97" spans="1:9" ht="20.100000000000001" customHeight="1" x14ac:dyDescent="0.2">
      <c r="D97" s="17" t="str" cm="1">
        <f t="array" ref="D97">WasteSolid_Equations.VEERG_10_1_1_1__1_EmissionsFromWasteManagement_Source()</f>
        <v>VEERG 2026: 10.1.1.1, Equation (1)</v>
      </c>
    </row>
    <row r="98" spans="1:9" ht="20.100000000000001" customHeight="1" x14ac:dyDescent="0.2">
      <c r="A98" s="79" t="str">
        <f>HYPERLINK("#A1", "▲ Back to top")</f>
        <v>▲ Back to top</v>
      </c>
      <c r="D98" s="25" t="str" cm="1">
        <f t="array" ref="D98">WasteSolid_Equations.VEERG_10_1_1_1__1_EmissionsFromWasteManagement_Variation()</f>
        <v>VARIATION ON SOURCE: Added Q_volwt and Q_masswt variables to clearly track input or calculated Q values</v>
      </c>
    </row>
    <row r="99" spans="1:9" ht="20.100000000000001" customHeight="1" x14ac:dyDescent="0.2">
      <c r="D99" s="112" t="s">
        <v>328</v>
      </c>
      <c r="E99" s="112" t="str" cm="1">
        <f t="array" aca="1" ref="E99" ca="1">Common_InputFunctions.Utility_DisplayFunctionName(K116)</f>
        <v>=WasteSolid_Equations.VEERG_10_1_1_1__1_EmissionsFromWasteManagement</v>
      </c>
    </row>
    <row r="102" spans="1:9" ht="20.100000000000001" customHeight="1" x14ac:dyDescent="0.2">
      <c r="D102" s="75" t="s">
        <v>329</v>
      </c>
      <c r="E102" s="1" t="str" cm="1">
        <f t="array" ref="E102">WasteSolid_Equations.VEERG_10_1_1_1__1_EmissionsFromWasteManagement_Variable()</f>
        <v>E_g</v>
      </c>
    </row>
    <row r="103" spans="1:9" ht="20.100000000000001" customHeight="1" x14ac:dyDescent="0.2">
      <c r="D103" s="75" t="s">
        <v>118</v>
      </c>
      <c r="E103" s="9" t="str" cm="1">
        <f t="array" ref="E103">WasteSolid_Equations.VEERG_10_1_1_1__1_EmissionsFromWasteManagement_Unit()</f>
        <v>t CO2e</v>
      </c>
    </row>
    <row r="105" spans="1:9" ht="20.100000000000001" customHeight="1" x14ac:dyDescent="0.2">
      <c r="D105" s="113" t="str" cm="1">
        <f t="array" ref="D105:E111">_xlfn.CHOOSECOLS(WasteSolid_Equations.VEERG_10_1_1_1__1_EmissionsFromWasteManagement_Arguments(),1,2)</f>
        <v>Q_wt</v>
      </c>
      <c r="E105" s="122" t="str">
        <v>quantity of solid waste of type w being sent to treatment facility t, on a wet weight basis</v>
      </c>
      <c r="F105" s="136"/>
      <c r="G105" s="123"/>
      <c r="H105" s="113" t="str" cm="1">
        <f t="array" ref="H105:I111">_xlfn.CHOOSECOLS(WasteSolid_Equations.VEERG_10_1_1_1__1_EmissionsFromWasteManagement_Arguments(),3,4)</f>
        <v>t</v>
      </c>
      <c r="I105" s="115" t="str">
        <v>Sum of Q_volwt and Q_masswt</v>
      </c>
    </row>
    <row r="106" spans="1:9" ht="20.100000000000001" customHeight="1" x14ac:dyDescent="0.2">
      <c r="D106" s="113" t="str">
        <v>EF_wtg</v>
      </c>
      <c r="E106" s="122" t="str">
        <v>emission factor for greenhouse gas g for the management of waste at treatment facility t</v>
      </c>
      <c r="F106" s="136"/>
      <c r="G106" s="123"/>
      <c r="H106" s="113" t="str">
        <v>t CO2e/t</v>
      </c>
      <c r="I106" s="115" t="str">
        <v>Constant</v>
      </c>
    </row>
    <row r="107" spans="1:9" ht="20.100000000000001" customHeight="1" x14ac:dyDescent="0.2">
      <c r="D107" s="113" t="str">
        <v>w</v>
      </c>
      <c r="E107" s="122" t="str">
        <v>waste type</v>
      </c>
      <c r="F107" s="136"/>
      <c r="G107" s="123"/>
      <c r="H107" s="113" t="str">
        <v/>
      </c>
      <c r="I107" s="114" t="str">
        <v>Input</v>
      </c>
    </row>
    <row r="108" spans="1:9" ht="20.100000000000001" customHeight="1" x14ac:dyDescent="0.2">
      <c r="D108" s="113" t="str">
        <v>t</v>
      </c>
      <c r="E108" s="122" t="str">
        <v>treatment facility</v>
      </c>
      <c r="F108" s="136"/>
      <c r="G108" s="123"/>
      <c r="H108" s="113" t="str">
        <v/>
      </c>
      <c r="I108" s="114" t="str">
        <v>Input</v>
      </c>
    </row>
    <row r="109" spans="1:9" ht="20.100000000000001" customHeight="1" x14ac:dyDescent="0.2">
      <c r="D109" s="113" t="str">
        <v>g</v>
      </c>
      <c r="E109" s="122" t="str">
        <v>greenhouse gas</v>
      </c>
      <c r="F109" s="136"/>
      <c r="G109" s="123"/>
      <c r="H109" s="113" t="str">
        <v/>
      </c>
      <c r="I109" s="114" t="str">
        <v>Input</v>
      </c>
    </row>
    <row r="110" spans="1:9" ht="20.100000000000001" customHeight="1" x14ac:dyDescent="0.2">
      <c r="D110" s="113" t="str">
        <v>Q_volwt</v>
      </c>
      <c r="E110" s="122" t="str">
        <v>quantity of sold waste input as volume and converted to tonnes</v>
      </c>
      <c r="F110" s="136"/>
      <c r="G110" s="123"/>
      <c r="H110" s="113" t="str">
        <v>tonnes</v>
      </c>
      <c r="I110" s="115" t="str">
        <v>Calculated from 10.1.1.1 (2)</v>
      </c>
    </row>
    <row r="111" spans="1:9" ht="20.100000000000001" customHeight="1" x14ac:dyDescent="0.2">
      <c r="D111" s="113" t="str">
        <v>Q_masswt</v>
      </c>
      <c r="E111" s="122" t="str">
        <v>quantity of solid waste input as mass</v>
      </c>
      <c r="F111" s="136"/>
      <c r="G111" s="123"/>
      <c r="H111" s="113" t="str">
        <v>tonnes</v>
      </c>
      <c r="I111" s="114" t="str">
        <v>Input</v>
      </c>
    </row>
    <row r="113" spans="1:11" ht="20.100000000000001" customHeight="1" x14ac:dyDescent="0.2">
      <c r="D113" s="118" t="s">
        <v>921</v>
      </c>
    </row>
    <row r="114" spans="1:11" ht="20.100000000000001" customHeight="1" x14ac:dyDescent="0.2">
      <c r="D114" s="119" t="s">
        <v>922</v>
      </c>
    </row>
    <row r="115" spans="1:11" ht="20.100000000000001" customHeight="1" x14ac:dyDescent="0.2">
      <c r="D115" s="78" t="s">
        <v>914</v>
      </c>
      <c r="E115" s="78" t="s">
        <v>915</v>
      </c>
      <c r="F115" s="78"/>
      <c r="G115" s="78" t="s">
        <v>923</v>
      </c>
      <c r="H115" s="120" t="s">
        <v>924</v>
      </c>
      <c r="I115" s="120" t="s">
        <v>918</v>
      </c>
      <c r="J115" s="120" t="s">
        <v>925</v>
      </c>
      <c r="K115" s="120" t="s">
        <v>926</v>
      </c>
    </row>
    <row r="116" spans="1:11" ht="20.100000000000001" customHeight="1" x14ac:dyDescent="0.2">
      <c r="D116" s="113" t="str" cm="1">
        <f t="array" ref="D116:D149">Table_SourceData_WasteSolid_WasteTreatmentEFs[Treatment type t]</f>
        <v>Landfill</v>
      </c>
      <c r="E116" s="122" t="str" cm="1">
        <f t="array" ref="E116:E149">Table_SourceData_WasteSolid_WasteTreatmentEFs[Waste type w]</f>
        <v>Food waste (including animal carcasses, spoiled animal feed or crop)</v>
      </c>
      <c r="F116" s="225"/>
      <c r="G116" s="15"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15">
        <f t="shared" ref="H116:H149" si="0">I21</f>
        <v>25</v>
      </c>
      <c r="I116" s="15">
        <f>G116+H116</f>
        <v>75</v>
      </c>
      <c r="J116" s="15" cm="1">
        <f t="array" ref="J116">Common_InputFunctions.Utility_LookupValueInTableTwoColumns(D116,E116,Table_SourceData_WasteSolid_WasteTreatmentEFs[Treatment type t],Table_SourceData_WasteSolid_WasteTreatmentEFs[Waste type w],Table_SourceData_WasteSolid_WasteTreatmentEFs[EFwt])</f>
        <v>2.1</v>
      </c>
      <c r="K116" s="15" cm="1">
        <f t="array" ref="K116">WasteSolid_Equations.VEERG_10_1_1_1__1_EmissionsFromWasteManagement(I116, J116)</f>
        <v>157.5</v>
      </c>
    </row>
    <row r="117" spans="1:11" ht="20.100000000000001" customHeight="1" x14ac:dyDescent="0.2">
      <c r="D117" s="113" t="str">
        <v>Landfill</v>
      </c>
      <c r="E117" s="122" t="str">
        <v>Paper and cardboard</v>
      </c>
      <c r="F117" s="225"/>
      <c r="G117" s="15"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15">
        <f t="shared" si="0"/>
        <v>4.5</v>
      </c>
      <c r="I117" s="15">
        <f t="shared" ref="I117:I126" si="1">G117+H117</f>
        <v>54.5</v>
      </c>
      <c r="J117" s="15" cm="1">
        <f t="array" ref="J117">Common_InputFunctions.Utility_LookupValueInTableTwoColumns(D117,E117,Table_SourceData_WasteSolid_WasteTreatmentEFs[Treatment type t],Table_SourceData_WasteSolid_WasteTreatmentEFs[Waste type w],Table_SourceData_WasteSolid_WasteTreatmentEFs[EFwt])</f>
        <v>3.3</v>
      </c>
      <c r="K117" s="15" cm="1">
        <f t="array" ref="K117">WasteSolid_Equations.VEERG_10_1_1_1__1_EmissionsFromWasteManagement(I117, J117)</f>
        <v>179.85</v>
      </c>
    </row>
    <row r="118" spans="1:11" ht="20.100000000000001" customHeight="1" x14ac:dyDescent="0.2">
      <c r="D118" s="113" t="str">
        <v>Landfill</v>
      </c>
      <c r="E118" s="122" t="str">
        <v>Green waste (including crop residues or prunings)</v>
      </c>
      <c r="F118" s="225"/>
      <c r="G118" s="15"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15">
        <f t="shared" si="0"/>
        <v>12</v>
      </c>
      <c r="I118" s="15">
        <f t="shared" si="1"/>
        <v>62</v>
      </c>
      <c r="J118" s="15" cm="1">
        <f t="array" ref="J118">Common_InputFunctions.Utility_LookupValueInTableTwoColumns(D118,E118,Table_SourceData_WasteSolid_WasteTreatmentEFs[Treatment type t],Table_SourceData_WasteSolid_WasteTreatmentEFs[Waste type w],Table_SourceData_WasteSolid_WasteTreatmentEFs[EFwt])</f>
        <v>1.6</v>
      </c>
      <c r="K118" s="15" cm="1">
        <f t="array" ref="K118">WasteSolid_Equations.VEERG_10_1_1_1__1_EmissionsFromWasteManagement(I118, J118)</f>
        <v>99.2</v>
      </c>
    </row>
    <row r="119" spans="1:11" ht="20.100000000000001" customHeight="1" x14ac:dyDescent="0.2">
      <c r="D119" s="113" t="str">
        <v>Landfill</v>
      </c>
      <c r="E119" s="122" t="str">
        <v>Wood</v>
      </c>
      <c r="F119" s="225"/>
      <c r="G119" s="15"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15">
        <f t="shared" si="0"/>
        <v>0</v>
      </c>
      <c r="I119" s="15">
        <f t="shared" si="1"/>
        <v>0</v>
      </c>
      <c r="J119" s="15" cm="1">
        <f t="array" ref="J119">Common_InputFunctions.Utility_LookupValueInTableTwoColumns(D119,E119,Table_SourceData_WasteSolid_WasteTreatmentEFs[Treatment type t],Table_SourceData_WasteSolid_WasteTreatmentEFs[Waste type w],Table_SourceData_WasteSolid_WasteTreatmentEFs[EFwt])</f>
        <v>0.7</v>
      </c>
      <c r="K119" s="15" cm="1">
        <f t="array" ref="K119">WasteSolid_Equations.VEERG_10_1_1_1__1_EmissionsFromWasteManagement(I119, J119)</f>
        <v>0</v>
      </c>
    </row>
    <row r="120" spans="1:11" ht="20.100000000000001" customHeight="1" x14ac:dyDescent="0.2">
      <c r="D120" s="113" t="str">
        <v>Landfill</v>
      </c>
      <c r="E120" s="122" t="str">
        <v>Textiles</v>
      </c>
      <c r="F120" s="225"/>
      <c r="G120" s="15"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15">
        <f t="shared" si="0"/>
        <v>0</v>
      </c>
      <c r="I120" s="15">
        <f t="shared" si="1"/>
        <v>0</v>
      </c>
      <c r="J120" s="15" cm="1">
        <f t="array" ref="J120">Common_InputFunctions.Utility_LookupValueInTableTwoColumns(D120,E120,Table_SourceData_WasteSolid_WasteTreatmentEFs[Treatment type t],Table_SourceData_WasteSolid_WasteTreatmentEFs[Waste type w],Table_SourceData_WasteSolid_WasteTreatmentEFs[EFwt])</f>
        <v>2</v>
      </c>
      <c r="K120" s="15" cm="1">
        <f t="array" ref="K120">WasteSolid_Equations.VEERG_10_1_1_1__1_EmissionsFromWasteManagement(I120, J120)</f>
        <v>0</v>
      </c>
    </row>
    <row r="121" spans="1:11" ht="20.100000000000001" customHeight="1" x14ac:dyDescent="0.2">
      <c r="D121" s="113" t="str">
        <v>Landfill</v>
      </c>
      <c r="E121" s="122" t="str">
        <v>Sludge</v>
      </c>
      <c r="F121" s="225"/>
      <c r="G121" s="15"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15">
        <f t="shared" si="0"/>
        <v>0</v>
      </c>
      <c r="I121" s="15">
        <f t="shared" si="1"/>
        <v>0</v>
      </c>
      <c r="J121" s="15" cm="1">
        <f t="array" ref="J121">Common_InputFunctions.Utility_LookupValueInTableTwoColumns(D121,E121,Table_SourceData_WasteSolid_WasteTreatmentEFs[Treatment type t],Table_SourceData_WasteSolid_WasteTreatmentEFs[Waste type w],Table_SourceData_WasteSolid_WasteTreatmentEFs[EFwt])</f>
        <v>0.4</v>
      </c>
      <c r="K121" s="15" cm="1">
        <f t="array" ref="K121">WasteSolid_Equations.VEERG_10_1_1_1__1_EmissionsFromWasteManagement(I121, J121)</f>
        <v>0</v>
      </c>
    </row>
    <row r="122" spans="1:11" ht="20.100000000000001" customHeight="1" x14ac:dyDescent="0.2">
      <c r="D122" s="113" t="str">
        <v>Landfill</v>
      </c>
      <c r="E122" s="122" t="str">
        <v>Rubber and leather</v>
      </c>
      <c r="F122" s="225"/>
      <c r="G122" s="15"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15">
        <f t="shared" si="0"/>
        <v>0</v>
      </c>
      <c r="I122" s="15">
        <f t="shared" si="1"/>
        <v>0</v>
      </c>
      <c r="J122" s="15" cm="1">
        <f t="array" ref="J122">Common_InputFunctions.Utility_LookupValueInTableTwoColumns(D122,E122,Table_SourceData_WasteSolid_WasteTreatmentEFs[Treatment type t],Table_SourceData_WasteSolid_WasteTreatmentEFs[Waste type w],Table_SourceData_WasteSolid_WasteTreatmentEFs[EFwt])</f>
        <v>3.3</v>
      </c>
      <c r="K122" s="15" cm="1">
        <f t="array" ref="K122">WasteSolid_Equations.VEERG_10_1_1_1__1_EmissionsFromWasteManagement(I122, J122)</f>
        <v>0</v>
      </c>
    </row>
    <row r="123" spans="1:11" ht="20.100000000000001" customHeight="1" x14ac:dyDescent="0.2">
      <c r="D123" s="113" t="str">
        <v>Landfill</v>
      </c>
      <c r="E123" s="122" t="str">
        <v>Inert waste (including concrete, metal, plastic or glass)</v>
      </c>
      <c r="F123" s="225"/>
      <c r="G123" s="15"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15">
        <f t="shared" si="0"/>
        <v>0</v>
      </c>
      <c r="I123" s="15">
        <f t="shared" si="1"/>
        <v>0</v>
      </c>
      <c r="J123" s="15" cm="1">
        <f t="array" ref="J123">Common_InputFunctions.Utility_LookupValueInTableTwoColumns(D123,E123,Table_SourceData_WasteSolid_WasteTreatmentEFs[Treatment type t],Table_SourceData_WasteSolid_WasteTreatmentEFs[Waste type w],Table_SourceData_WasteSolid_WasteTreatmentEFs[EFwt])</f>
        <v>0</v>
      </c>
      <c r="K123" s="15" cm="1">
        <f t="array" ref="K123">WasteSolid_Equations.VEERG_10_1_1_1__1_EmissionsFromWasteManagement(I123, J123)</f>
        <v>0</v>
      </c>
    </row>
    <row r="124" spans="1:11" ht="20.100000000000001" customHeight="1" x14ac:dyDescent="0.2">
      <c r="D124" s="113" t="str">
        <v>Landfill</v>
      </c>
      <c r="E124" s="122" t="str">
        <v>Municipal solid waste</v>
      </c>
      <c r="F124" s="225"/>
      <c r="G124" s="15"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15">
        <f t="shared" si="0"/>
        <v>0</v>
      </c>
      <c r="I124" s="15">
        <f t="shared" si="1"/>
        <v>0</v>
      </c>
      <c r="J124" s="15" cm="1">
        <f t="array" ref="J124">Common_InputFunctions.Utility_LookupValueInTableTwoColumns(D124,E124,Table_SourceData_WasteSolid_WasteTreatmentEFs[Treatment type t],Table_SourceData_WasteSolid_WasteTreatmentEFs[Waste type w],Table_SourceData_WasteSolid_WasteTreatmentEFs[EFwt])</f>
        <v>1.6</v>
      </c>
      <c r="K124" s="15" cm="1">
        <f t="array" ref="K124">WasteSolid_Equations.VEERG_10_1_1_1__1_EmissionsFromWasteManagement(I124, J124)</f>
        <v>0</v>
      </c>
    </row>
    <row r="125" spans="1:11" ht="20.100000000000001" customHeight="1" x14ac:dyDescent="0.2">
      <c r="D125" s="113" t="str">
        <v>Landfill</v>
      </c>
      <c r="E125" s="122" t="str">
        <v>Commercial and industrial waste</v>
      </c>
      <c r="F125" s="225"/>
      <c r="G125" s="15"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15">
        <f t="shared" si="0"/>
        <v>0</v>
      </c>
      <c r="I125" s="15">
        <f t="shared" si="1"/>
        <v>0</v>
      </c>
      <c r="J125" s="15" cm="1">
        <f t="array" ref="J125">Common_InputFunctions.Utility_LookupValueInTableTwoColumns(D125,E125,Table_SourceData_WasteSolid_WasteTreatmentEFs[Treatment type t],Table_SourceData_WasteSolid_WasteTreatmentEFs[Waste type w],Table_SourceData_WasteSolid_WasteTreatmentEFs[EFwt])</f>
        <v>1.3</v>
      </c>
      <c r="K125" s="15" cm="1">
        <f t="array" ref="K125">WasteSolid_Equations.VEERG_10_1_1_1__1_EmissionsFromWasteManagement(I125, J125)</f>
        <v>0</v>
      </c>
    </row>
    <row r="126" spans="1:11" ht="20.100000000000001" customHeight="1" x14ac:dyDescent="0.2">
      <c r="D126" s="113" t="str">
        <v>Landfill</v>
      </c>
      <c r="E126" s="122" t="str">
        <v>Construction and demolition waste</v>
      </c>
      <c r="F126" s="225"/>
      <c r="G126" s="15"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15">
        <f t="shared" si="0"/>
        <v>0</v>
      </c>
      <c r="I126" s="15">
        <f t="shared" si="1"/>
        <v>0</v>
      </c>
      <c r="J126" s="15" cm="1">
        <f t="array" ref="J126">Common_InputFunctions.Utility_LookupValueInTableTwoColumns(D126,E126,Table_SourceData_WasteSolid_WasteTreatmentEFs[Treatment type t],Table_SourceData_WasteSolid_WasteTreatmentEFs[Waste type w],Table_SourceData_WasteSolid_WasteTreatmentEFs[EFwt])</f>
        <v>0.2</v>
      </c>
      <c r="K126" s="15" cm="1">
        <f t="array" ref="K126">WasteSolid_Equations.VEERG_10_1_1_1__1_EmissionsFromWasteManagement(I126, J126)</f>
        <v>0</v>
      </c>
    </row>
    <row r="127" spans="1:11" ht="20.100000000000001" customHeight="1" x14ac:dyDescent="0.2">
      <c r="D127" s="113" t="str">
        <v>Incineration</v>
      </c>
      <c r="E127" s="122" t="str">
        <v>Food waste, green waste, wood, sludge</v>
      </c>
      <c r="F127" s="225"/>
      <c r="G127" s="15" t="s">
        <v>782</v>
      </c>
      <c r="H127" s="15" t="str">
        <f t="shared" si="0"/>
        <v>Not used</v>
      </c>
      <c r="I127" s="15">
        <f>SUM(G128:G131)+SUM(H128:H131)+N("Partial sum")</f>
        <v>74</v>
      </c>
      <c r="J127" s="15" cm="1">
        <f t="array" ref="J127">Common_InputFunctions.Utility_LookupValueInTableTwoColumns(D127,E127,Table_SourceData_WasteSolid_WasteTreatmentEFs[Treatment type t],Table_SourceData_WasteSolid_WasteTreatmentEFs[Waste type w],Table_SourceData_WasteSolid_WasteTreatmentEFs[EFwt])</f>
        <v>0</v>
      </c>
      <c r="K127" s="15" cm="1">
        <f t="array" ref="K127">WasteSolid_Equations.VEERG_10_1_1_1__1_EmissionsFromWasteManagement(I127, J127)</f>
        <v>0</v>
      </c>
    </row>
    <row r="128" spans="1:11" ht="20.100000000000001" customHeight="1" x14ac:dyDescent="0.2">
      <c r="A128" s="79" t="str">
        <f>HYPERLINK("#A1", "▲ Back to top")</f>
        <v>▲ Back to top</v>
      </c>
      <c r="D128" s="113" t="str">
        <v>Incineration</v>
      </c>
      <c r="E128" s="122" t="str">
        <v>Food waste (including animal carcasses, spoiled animal feed or crop)</v>
      </c>
      <c r="F128" s="225"/>
      <c r="G128" s="15"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15">
        <f t="shared" si="0"/>
        <v>0</v>
      </c>
      <c r="I128" s="15" t="s">
        <v>927</v>
      </c>
      <c r="J128" s="15" t="s">
        <v>782</v>
      </c>
      <c r="K128" s="15" t="s">
        <v>782</v>
      </c>
    </row>
    <row r="129" spans="4:11" ht="20.100000000000001" customHeight="1" x14ac:dyDescent="0.2">
      <c r="D129" s="113" t="str">
        <v>Incineration</v>
      </c>
      <c r="E129" s="122" t="str">
        <v>Green waste (including crop residues or prunings)</v>
      </c>
      <c r="F129" s="225"/>
      <c r="G129" s="15"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15">
        <f t="shared" si="0"/>
        <v>24</v>
      </c>
      <c r="I129" s="15" t="s">
        <v>927</v>
      </c>
      <c r="J129" s="15" t="s">
        <v>782</v>
      </c>
      <c r="K129" s="15" t="s">
        <v>782</v>
      </c>
    </row>
    <row r="130" spans="4:11" ht="20.100000000000001" customHeight="1" x14ac:dyDescent="0.2">
      <c r="D130" s="113" t="str">
        <v>Incineration</v>
      </c>
      <c r="E130" s="122" t="str">
        <v>Wood</v>
      </c>
      <c r="F130" s="225"/>
      <c r="G130" s="15"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15">
        <f t="shared" si="0"/>
        <v>0</v>
      </c>
      <c r="I130" s="15" t="s">
        <v>927</v>
      </c>
      <c r="J130" s="15" t="s">
        <v>782</v>
      </c>
      <c r="K130" s="15" t="s">
        <v>782</v>
      </c>
    </row>
    <row r="131" spans="4:11" ht="20.100000000000001" customHeight="1" x14ac:dyDescent="0.2">
      <c r="D131" s="113" t="str">
        <v>Incineration</v>
      </c>
      <c r="E131" s="122" t="str">
        <v>Sludge</v>
      </c>
      <c r="F131" s="225"/>
      <c r="G131" s="15"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15">
        <f t="shared" si="0"/>
        <v>0</v>
      </c>
      <c r="I131" s="15" t="s">
        <v>927</v>
      </c>
      <c r="J131" s="15" t="s">
        <v>782</v>
      </c>
      <c r="K131" s="15" t="s">
        <v>782</v>
      </c>
    </row>
    <row r="132" spans="4:11" ht="20.100000000000001" customHeight="1" x14ac:dyDescent="0.2">
      <c r="D132" s="113" t="str">
        <v>Incineration</v>
      </c>
      <c r="E132" s="122" t="str">
        <v>Paper and cardboard</v>
      </c>
      <c r="F132" s="225"/>
      <c r="G132" s="15"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15">
        <f t="shared" si="0"/>
        <v>4.5</v>
      </c>
      <c r="I132" s="15">
        <f>G132+H132+N("Partial sum")</f>
        <v>54.5</v>
      </c>
      <c r="J132" s="15"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15" cm="1">
        <f t="array" ref="K132">WasteSolid_Equations.VEERG_10_1_1_1__1_EmissionsFromWasteManagement(I132, J132)</f>
        <v>0.92104999999999992</v>
      </c>
    </row>
    <row r="133" spans="4:11" ht="20.100000000000001" customHeight="1" x14ac:dyDescent="0.2">
      <c r="D133" s="113" t="str">
        <v>Incineration</v>
      </c>
      <c r="E133" s="122" t="str">
        <v>Textiles</v>
      </c>
      <c r="F133" s="225"/>
      <c r="G133" s="15"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15">
        <f t="shared" si="0"/>
        <v>0</v>
      </c>
      <c r="I133" s="15">
        <f t="shared" ref="I133:I137" si="2">G133+H133</f>
        <v>0</v>
      </c>
      <c r="J133" s="15"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15" cm="1">
        <f t="array" ref="K133">WasteSolid_Equations.VEERG_10_1_1_1__1_EmissionsFromWasteManagement(I133, J133)</f>
        <v>0</v>
      </c>
    </row>
    <row r="134" spans="4:11" ht="20.100000000000001" customHeight="1" x14ac:dyDescent="0.2">
      <c r="D134" s="113" t="str">
        <v>Incineration</v>
      </c>
      <c r="E134" s="122" t="str">
        <v>Rubber and leather</v>
      </c>
      <c r="F134" s="225"/>
      <c r="G134" s="15"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15">
        <f t="shared" si="0"/>
        <v>0</v>
      </c>
      <c r="I134" s="15">
        <f t="shared" si="2"/>
        <v>0</v>
      </c>
      <c r="J134" s="15" cm="1">
        <f t="array" ref="J134">Common_InputFunctions.Utility_LookupValueInTableTwoColumns(D134,E134,Table_SourceData_WasteSolid_WasteTreatmentEFs[Treatment type t],Table_SourceData_WasteSolid_WasteTreatmentEFs[Waste type w],Table_SourceData_WasteSolid_WasteTreatmentEFs[EFwt])</f>
        <v>0.4919</v>
      </c>
      <c r="K134" s="15" cm="1">
        <f t="array" ref="K134">WasteSolid_Equations.VEERG_10_1_1_1__1_EmissionsFromWasteManagement(I134, J134)</f>
        <v>0</v>
      </c>
    </row>
    <row r="135" spans="4:11" ht="20.100000000000001" customHeight="1" x14ac:dyDescent="0.2">
      <c r="D135" s="113" t="str">
        <v>Incineration</v>
      </c>
      <c r="E135" s="122" t="str">
        <v>Inert waste (including concrete, metal, plastic or glass)</v>
      </c>
      <c r="F135" s="225"/>
      <c r="G135" s="15"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15">
        <f t="shared" si="0"/>
        <v>0</v>
      </c>
      <c r="I135" s="15">
        <f t="shared" si="2"/>
        <v>0</v>
      </c>
      <c r="J135" s="15" cm="1">
        <f t="array" ref="J135">Common_InputFunctions.Utility_LookupValueInTableTwoColumns(D135,E135,Table_SourceData_WasteSolid_WasteTreatmentEFs[Treatment type t],Table_SourceData_WasteSolid_WasteTreatmentEFs[Waste type w],Table_SourceData_WasteSolid_WasteTreatmentEFs[EFwt])</f>
        <v>0.11</v>
      </c>
      <c r="K135" s="15" cm="1">
        <f t="array" ref="K135">WasteSolid_Equations.VEERG_10_1_1_1__1_EmissionsFromWasteManagement(I135, J135)</f>
        <v>0</v>
      </c>
    </row>
    <row r="136" spans="4:11" ht="20.100000000000001" customHeight="1" x14ac:dyDescent="0.2">
      <c r="D136" s="113" t="str">
        <v>Incineration</v>
      </c>
      <c r="E136" s="122" t="str">
        <v>Municipal solid waste</v>
      </c>
      <c r="F136" s="123"/>
      <c r="G136" s="15"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15">
        <f t="shared" si="0"/>
        <v>0</v>
      </c>
      <c r="I136" s="15">
        <f t="shared" si="2"/>
        <v>0</v>
      </c>
      <c r="J136" s="15"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15" cm="1">
        <f t="array" ref="K136">WasteSolid_Equations.VEERG_10_1_1_1__1_EmissionsFromWasteManagement(I136, J136)</f>
        <v>0</v>
      </c>
    </row>
    <row r="137" spans="4:11" ht="20.100000000000001" customHeight="1" x14ac:dyDescent="0.2">
      <c r="D137" s="113" t="str">
        <v>Incineration</v>
      </c>
      <c r="E137" s="122" t="str">
        <v>Commercial and industrial waste</v>
      </c>
      <c r="F137" s="123"/>
      <c r="G137" s="15"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15">
        <f t="shared" si="0"/>
        <v>0</v>
      </c>
      <c r="I137" s="15">
        <f t="shared" si="2"/>
        <v>0</v>
      </c>
      <c r="J137" s="15" cm="1">
        <f t="array" ref="J137">Common_InputFunctions.Utility_LookupValueInTableTwoColumns(D137,E137,Table_SourceData_WasteSolid_WasteTreatmentEFs[Treatment type t],Table_SourceData_WasteSolid_WasteTreatmentEFs[Waste type w],Table_SourceData_WasteSolid_WasteTreatmentEFs[EFwt])</f>
        <v>1.649</v>
      </c>
      <c r="K137" s="15" cm="1">
        <f t="array" ref="K137">WasteSolid_Equations.VEERG_10_1_1_1__1_EmissionsFromWasteManagement(I137, J137)</f>
        <v>0</v>
      </c>
    </row>
    <row r="138" spans="4:11" ht="20.100000000000001" customHeight="1" x14ac:dyDescent="0.2">
      <c r="D138" s="113" t="str">
        <v>Composting</v>
      </c>
      <c r="E138" s="122" t="str">
        <v>All organic waste</v>
      </c>
      <c r="F138" s="123"/>
      <c r="G138" s="15" t="s">
        <v>782</v>
      </c>
      <c r="H138" s="15" t="str">
        <f t="shared" si="0"/>
        <v>Not used</v>
      </c>
      <c r="I138" s="15">
        <f>SUM(G139:G143)+SUM(H139:H143)+N("Partial sum")</f>
        <v>29.5</v>
      </c>
      <c r="J138" s="15"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15" cm="1">
        <f t="array" ref="K138">WasteSolid_Equations.VEERG_10_1_1_1__1_EmissionsFromWasteManagement(I138, J138)</f>
        <v>1.357</v>
      </c>
    </row>
    <row r="139" spans="4:11" ht="20.100000000000001" customHeight="1" x14ac:dyDescent="0.2">
      <c r="D139" s="113" t="str">
        <v>Composting</v>
      </c>
      <c r="E139" s="122" t="str">
        <v>Food waste (including animal carcasses, spoiled animal feed or crop)</v>
      </c>
      <c r="F139" s="123"/>
      <c r="G139" s="15"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15">
        <f t="shared" si="0"/>
        <v>25</v>
      </c>
      <c r="I139" s="15" t="s">
        <v>927</v>
      </c>
      <c r="J139" s="15" t="s">
        <v>782</v>
      </c>
      <c r="K139" s="15" t="s">
        <v>782</v>
      </c>
    </row>
    <row r="140" spans="4:11" ht="20.100000000000001" customHeight="1" x14ac:dyDescent="0.2">
      <c r="D140" s="113" t="str">
        <v>Composting</v>
      </c>
      <c r="E140" s="122" t="str">
        <v>Green waste (including crop residues or prunings)</v>
      </c>
      <c r="F140" s="123"/>
      <c r="G140" s="15"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15">
        <f t="shared" si="0"/>
        <v>0</v>
      </c>
      <c r="I140" s="15" t="s">
        <v>927</v>
      </c>
      <c r="J140" s="15" t="s">
        <v>782</v>
      </c>
      <c r="K140" s="15" t="s">
        <v>782</v>
      </c>
    </row>
    <row r="141" spans="4:11" ht="20.100000000000001" customHeight="1" x14ac:dyDescent="0.2">
      <c r="D141" s="113" t="str">
        <v>Composting</v>
      </c>
      <c r="E141" s="122" t="str">
        <v>Wood</v>
      </c>
      <c r="F141" s="123"/>
      <c r="G141" s="15"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15">
        <f t="shared" si="0"/>
        <v>0</v>
      </c>
      <c r="I141" s="15" t="s">
        <v>927</v>
      </c>
      <c r="J141" s="15" t="s">
        <v>782</v>
      </c>
      <c r="K141" s="15" t="s">
        <v>782</v>
      </c>
    </row>
    <row r="142" spans="4:11" ht="20.100000000000001" customHeight="1" x14ac:dyDescent="0.2">
      <c r="D142" s="113" t="str">
        <v>Composting</v>
      </c>
      <c r="E142" s="122" t="str">
        <v>Sludge</v>
      </c>
      <c r="F142" s="123"/>
      <c r="G142" s="15"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15">
        <f t="shared" si="0"/>
        <v>0</v>
      </c>
      <c r="I142" s="15" t="s">
        <v>927</v>
      </c>
      <c r="J142" s="15" t="s">
        <v>782</v>
      </c>
      <c r="K142" s="15" t="s">
        <v>782</v>
      </c>
    </row>
    <row r="143" spans="4:11" ht="20.100000000000001" customHeight="1" x14ac:dyDescent="0.2">
      <c r="D143" s="113" t="str">
        <v>Composting</v>
      </c>
      <c r="E143" s="122" t="str">
        <v>Paper and cardboard</v>
      </c>
      <c r="F143" s="123"/>
      <c r="G143" s="15"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15">
        <f t="shared" si="0"/>
        <v>4.5</v>
      </c>
      <c r="I143" s="15" t="s">
        <v>927</v>
      </c>
      <c r="J143" s="15" t="s">
        <v>782</v>
      </c>
      <c r="K143" s="15" t="s">
        <v>782</v>
      </c>
    </row>
    <row r="144" spans="4:11" ht="20.100000000000001" customHeight="1" x14ac:dyDescent="0.2">
      <c r="D144" s="113" t="str">
        <v>Anaerobic digestion</v>
      </c>
      <c r="E144" s="122" t="str">
        <v>All organic waste</v>
      </c>
      <c r="F144" s="123"/>
      <c r="G144" s="15" t="s">
        <v>782</v>
      </c>
      <c r="H144" s="15" t="str">
        <f t="shared" si="0"/>
        <v>Not used</v>
      </c>
      <c r="I144" s="15">
        <f>SUM(G145:G149)+SUM(H145:H149)+N("Partial sum")</f>
        <v>0</v>
      </c>
      <c r="J144" s="15"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15" cm="1">
        <f t="array" ref="K144">WasteSolid_Equations.VEERG_10_1_1_1__1_EmissionsFromWasteManagement(I144, J144)</f>
        <v>0</v>
      </c>
    </row>
    <row r="145" spans="1:11" ht="20.100000000000001" customHeight="1" x14ac:dyDescent="0.2">
      <c r="D145" s="113" t="str">
        <v>Anaerobic digestion</v>
      </c>
      <c r="E145" s="122" t="str">
        <v>Food waste (including animal carcasses, spoiled animal feed or crop)</v>
      </c>
      <c r="F145" s="123"/>
      <c r="G145" s="15"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15">
        <f t="shared" si="0"/>
        <v>0</v>
      </c>
      <c r="I145" s="15" t="s">
        <v>927</v>
      </c>
      <c r="J145" s="15" t="s">
        <v>782</v>
      </c>
      <c r="K145" s="15" t="s">
        <v>782</v>
      </c>
    </row>
    <row r="146" spans="1:11" ht="20.100000000000001" customHeight="1" x14ac:dyDescent="0.2">
      <c r="D146" s="113" t="str">
        <v>Anaerobic digestion</v>
      </c>
      <c r="E146" s="122" t="str">
        <v>Green waste (including crop residues or prunings)</v>
      </c>
      <c r="F146" s="123"/>
      <c r="G146" s="15"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15">
        <f t="shared" si="0"/>
        <v>0</v>
      </c>
      <c r="I146" s="15" t="s">
        <v>927</v>
      </c>
      <c r="J146" s="15" t="s">
        <v>782</v>
      </c>
      <c r="K146" s="15" t="s">
        <v>782</v>
      </c>
    </row>
    <row r="147" spans="1:11" ht="20.100000000000001" customHeight="1" x14ac:dyDescent="0.2">
      <c r="D147" s="113" t="str">
        <v>Anaerobic digestion</v>
      </c>
      <c r="E147" s="122" t="str">
        <v>Wood</v>
      </c>
      <c r="F147" s="123"/>
      <c r="G147" s="15"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15">
        <f t="shared" si="0"/>
        <v>0</v>
      </c>
      <c r="I147" s="15" t="s">
        <v>927</v>
      </c>
      <c r="J147" s="15" t="s">
        <v>782</v>
      </c>
      <c r="K147" s="15" t="s">
        <v>782</v>
      </c>
    </row>
    <row r="148" spans="1:11" ht="20.100000000000001" customHeight="1" x14ac:dyDescent="0.2">
      <c r="D148" s="113" t="str">
        <v>Anaerobic digestion</v>
      </c>
      <c r="E148" s="122" t="str">
        <v>Sludge</v>
      </c>
      <c r="F148" s="123"/>
      <c r="G148" s="15"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15">
        <f t="shared" si="0"/>
        <v>0</v>
      </c>
      <c r="I148" s="15" t="s">
        <v>927</v>
      </c>
      <c r="J148" s="15" t="s">
        <v>782</v>
      </c>
      <c r="K148" s="15" t="s">
        <v>782</v>
      </c>
    </row>
    <row r="149" spans="1:11" ht="20.100000000000001" customHeight="1" x14ac:dyDescent="0.2">
      <c r="D149" s="113" t="str">
        <v>Anaerobic digestion</v>
      </c>
      <c r="E149" s="122" t="str">
        <v>Paper and cardboard</v>
      </c>
      <c r="F149" s="123"/>
      <c r="G149" s="15"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15">
        <f t="shared" si="0"/>
        <v>0</v>
      </c>
      <c r="I149" s="15" t="s">
        <v>927</v>
      </c>
      <c r="J149" s="15" t="s">
        <v>782</v>
      </c>
      <c r="K149" s="15" t="s">
        <v>782</v>
      </c>
    </row>
    <row r="151" spans="1:11" ht="20.100000000000001" customHeight="1" x14ac:dyDescent="0.2">
      <c r="D151" s="85" t="s">
        <v>928</v>
      </c>
      <c r="E151" s="86">
        <f>SUM(K116:K149)</f>
        <v>438.82805000000002</v>
      </c>
      <c r="F151" s="95" t="str">
        <f>$E$103</f>
        <v>t CO2e</v>
      </c>
    </row>
    <row r="154" spans="1:11" ht="20.100000000000001" customHeight="1" x14ac:dyDescent="0.2">
      <c r="D154" s="118" t="s">
        <v>929</v>
      </c>
    </row>
    <row r="155" spans="1:11" ht="20.100000000000001" customHeight="1" x14ac:dyDescent="0.2">
      <c r="D155" s="119" t="s">
        <v>930</v>
      </c>
    </row>
    <row r="156" spans="1:11" ht="20.100000000000001" customHeight="1" x14ac:dyDescent="0.2">
      <c r="D156" s="78" t="s">
        <v>914</v>
      </c>
      <c r="E156" s="78" t="s">
        <v>915</v>
      </c>
      <c r="F156" s="78"/>
      <c r="G156" s="78" t="s">
        <v>923</v>
      </c>
      <c r="H156" s="120" t="s">
        <v>924</v>
      </c>
      <c r="I156" s="120" t="s">
        <v>918</v>
      </c>
      <c r="J156" s="120" t="s">
        <v>925</v>
      </c>
      <c r="K156" s="120" t="s">
        <v>926</v>
      </c>
    </row>
    <row r="157" spans="1:11" ht="20.100000000000001" customHeight="1" x14ac:dyDescent="0.2">
      <c r="D157" s="113" t="str" cm="1">
        <f t="array" ref="D157:D190">Table_SourceData_WasteSolid_WasteTreatmentEFs[Treatment type t]</f>
        <v>Landfill</v>
      </c>
      <c r="E157" s="122" t="str" cm="1">
        <f t="array" ref="E157:E190">Table_SourceData_WasteSolid_WasteTreatmentEFs[Waste type w]</f>
        <v>Food waste (including animal carcasses, spoiled animal feed or crop)</v>
      </c>
      <c r="F157" s="225"/>
      <c r="G157" s="15"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15">
        <f t="shared" ref="H157:H190" si="3">I59</f>
        <v>25</v>
      </c>
      <c r="I157" s="15">
        <f>G157+H157</f>
        <v>75</v>
      </c>
      <c r="J157" s="15" cm="1">
        <f t="array" ref="J157">Common_InputFunctions.Utility_LookupValueInTableTwoColumns(D157,E157,Table_SourceData_WasteSolid_WasteTreatmentEFs[Treatment type t],Table_SourceData_WasteSolid_WasteTreatmentEFs[Waste type w],Table_SourceData_WasteSolid_WasteTreatmentEFs[EFwt])</f>
        <v>2.1</v>
      </c>
      <c r="K157" s="15" cm="1">
        <f t="array" ref="K157">WasteSolid_Equations.VEERG_10_1_1_1__1_EmissionsFromWasteManagement(I157, J157)</f>
        <v>157.5</v>
      </c>
    </row>
    <row r="158" spans="1:11" ht="20.100000000000001" customHeight="1" x14ac:dyDescent="0.2">
      <c r="A158" s="79" t="str">
        <f>HYPERLINK("#A1", "▲ Back to top")</f>
        <v>▲ Back to top</v>
      </c>
      <c r="D158" s="113" t="str">
        <v>Landfill</v>
      </c>
      <c r="E158" s="122" t="str">
        <v>Paper and cardboard</v>
      </c>
      <c r="F158" s="225"/>
      <c r="G158" s="15"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15">
        <f t="shared" si="3"/>
        <v>4.5</v>
      </c>
      <c r="I158" s="15">
        <f t="shared" ref="I158:I167" si="4">G158+H158</f>
        <v>54.5</v>
      </c>
      <c r="J158" s="15" cm="1">
        <f t="array" ref="J158">Common_InputFunctions.Utility_LookupValueInTableTwoColumns(D158,E158,Table_SourceData_WasteSolid_WasteTreatmentEFs[Treatment type t],Table_SourceData_WasteSolid_WasteTreatmentEFs[Waste type w],Table_SourceData_WasteSolid_WasteTreatmentEFs[EFwt])</f>
        <v>3.3</v>
      </c>
      <c r="K158" s="15" cm="1">
        <f t="array" ref="K158">WasteSolid_Equations.VEERG_10_1_1_1__1_EmissionsFromWasteManagement(I158, J158)</f>
        <v>179.85</v>
      </c>
    </row>
    <row r="159" spans="1:11" ht="20.100000000000001" customHeight="1" x14ac:dyDescent="0.2">
      <c r="D159" s="113" t="str">
        <v>Landfill</v>
      </c>
      <c r="E159" s="122" t="str">
        <v>Green waste (including crop residues or prunings)</v>
      </c>
      <c r="F159" s="225"/>
      <c r="G159" s="15"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15">
        <f t="shared" si="3"/>
        <v>12</v>
      </c>
      <c r="I159" s="15">
        <f t="shared" si="4"/>
        <v>62</v>
      </c>
      <c r="J159" s="15" cm="1">
        <f t="array" ref="J159">Common_InputFunctions.Utility_LookupValueInTableTwoColumns(D159,E159,Table_SourceData_WasteSolid_WasteTreatmentEFs[Treatment type t],Table_SourceData_WasteSolid_WasteTreatmentEFs[Waste type w],Table_SourceData_WasteSolid_WasteTreatmentEFs[EFwt])</f>
        <v>1.6</v>
      </c>
      <c r="K159" s="15" cm="1">
        <f t="array" ref="K159">WasteSolid_Equations.VEERG_10_1_1_1__1_EmissionsFromWasteManagement(I159, J159)</f>
        <v>99.2</v>
      </c>
    </row>
    <row r="160" spans="1:11" ht="20.100000000000001" customHeight="1" x14ac:dyDescent="0.2">
      <c r="D160" s="113" t="str">
        <v>Landfill</v>
      </c>
      <c r="E160" s="122" t="str">
        <v>Wood</v>
      </c>
      <c r="F160" s="225"/>
      <c r="G160" s="15"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15">
        <f t="shared" si="3"/>
        <v>0</v>
      </c>
      <c r="I160" s="15">
        <f t="shared" si="4"/>
        <v>0</v>
      </c>
      <c r="J160" s="15" cm="1">
        <f t="array" ref="J160">Common_InputFunctions.Utility_LookupValueInTableTwoColumns(D160,E160,Table_SourceData_WasteSolid_WasteTreatmentEFs[Treatment type t],Table_SourceData_WasteSolid_WasteTreatmentEFs[Waste type w],Table_SourceData_WasteSolid_WasteTreatmentEFs[EFwt])</f>
        <v>0.7</v>
      </c>
      <c r="K160" s="15" cm="1">
        <f t="array" ref="K160">WasteSolid_Equations.VEERG_10_1_1_1__1_EmissionsFromWasteManagement(I160, J160)</f>
        <v>0</v>
      </c>
    </row>
    <row r="161" spans="4:11" ht="20.100000000000001" customHeight="1" x14ac:dyDescent="0.2">
      <c r="D161" s="113" t="str">
        <v>Landfill</v>
      </c>
      <c r="E161" s="122" t="str">
        <v>Textiles</v>
      </c>
      <c r="F161" s="225"/>
      <c r="G161" s="15"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15">
        <f t="shared" si="3"/>
        <v>0</v>
      </c>
      <c r="I161" s="15">
        <f t="shared" si="4"/>
        <v>0</v>
      </c>
      <c r="J161" s="15" cm="1">
        <f t="array" ref="J161">Common_InputFunctions.Utility_LookupValueInTableTwoColumns(D161,E161,Table_SourceData_WasteSolid_WasteTreatmentEFs[Treatment type t],Table_SourceData_WasteSolid_WasteTreatmentEFs[Waste type w],Table_SourceData_WasteSolid_WasteTreatmentEFs[EFwt])</f>
        <v>2</v>
      </c>
      <c r="K161" s="15" cm="1">
        <f t="array" ref="K161">WasteSolid_Equations.VEERG_10_1_1_1__1_EmissionsFromWasteManagement(I161, J161)</f>
        <v>0</v>
      </c>
    </row>
    <row r="162" spans="4:11" ht="20.100000000000001" customHeight="1" x14ac:dyDescent="0.2">
      <c r="D162" s="113" t="str">
        <v>Landfill</v>
      </c>
      <c r="E162" s="122" t="str">
        <v>Sludge</v>
      </c>
      <c r="F162" s="225"/>
      <c r="G162" s="15"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15">
        <f t="shared" si="3"/>
        <v>0</v>
      </c>
      <c r="I162" s="15">
        <f t="shared" si="4"/>
        <v>0</v>
      </c>
      <c r="J162" s="15" cm="1">
        <f t="array" ref="J162">Common_InputFunctions.Utility_LookupValueInTableTwoColumns(D162,E162,Table_SourceData_WasteSolid_WasteTreatmentEFs[Treatment type t],Table_SourceData_WasteSolid_WasteTreatmentEFs[Waste type w],Table_SourceData_WasteSolid_WasteTreatmentEFs[EFwt])</f>
        <v>0.4</v>
      </c>
      <c r="K162" s="15" cm="1">
        <f t="array" ref="K162">WasteSolid_Equations.VEERG_10_1_1_1__1_EmissionsFromWasteManagement(I162, J162)</f>
        <v>0</v>
      </c>
    </row>
    <row r="163" spans="4:11" ht="20.100000000000001" customHeight="1" x14ac:dyDescent="0.2">
      <c r="D163" s="113" t="str">
        <v>Landfill</v>
      </c>
      <c r="E163" s="122" t="str">
        <v>Rubber and leather</v>
      </c>
      <c r="F163" s="225"/>
      <c r="G163" s="15"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15">
        <f t="shared" si="3"/>
        <v>0</v>
      </c>
      <c r="I163" s="15">
        <f t="shared" si="4"/>
        <v>0</v>
      </c>
      <c r="J163" s="15" cm="1">
        <f t="array" ref="J163">Common_InputFunctions.Utility_LookupValueInTableTwoColumns(D163,E163,Table_SourceData_WasteSolid_WasteTreatmentEFs[Treatment type t],Table_SourceData_WasteSolid_WasteTreatmentEFs[Waste type w],Table_SourceData_WasteSolid_WasteTreatmentEFs[EFwt])</f>
        <v>3.3</v>
      </c>
      <c r="K163" s="15" cm="1">
        <f t="array" ref="K163">WasteSolid_Equations.VEERG_10_1_1_1__1_EmissionsFromWasteManagement(I163, J163)</f>
        <v>0</v>
      </c>
    </row>
    <row r="164" spans="4:11" ht="20.100000000000001" customHeight="1" x14ac:dyDescent="0.2">
      <c r="D164" s="113" t="str">
        <v>Landfill</v>
      </c>
      <c r="E164" s="122" t="str">
        <v>Inert waste (including concrete, metal, plastic or glass)</v>
      </c>
      <c r="F164" s="225"/>
      <c r="G164" s="15"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15">
        <f t="shared" si="3"/>
        <v>0</v>
      </c>
      <c r="I164" s="15">
        <f t="shared" si="4"/>
        <v>0</v>
      </c>
      <c r="J164" s="15" cm="1">
        <f t="array" ref="J164">Common_InputFunctions.Utility_LookupValueInTableTwoColumns(D164,E164,Table_SourceData_WasteSolid_WasteTreatmentEFs[Treatment type t],Table_SourceData_WasteSolid_WasteTreatmentEFs[Waste type w],Table_SourceData_WasteSolid_WasteTreatmentEFs[EFwt])</f>
        <v>0</v>
      </c>
      <c r="K164" s="15" cm="1">
        <f t="array" ref="K164">WasteSolid_Equations.VEERG_10_1_1_1__1_EmissionsFromWasteManagement(I164, J164)</f>
        <v>0</v>
      </c>
    </row>
    <row r="165" spans="4:11" ht="20.100000000000001" customHeight="1" x14ac:dyDescent="0.2">
      <c r="D165" s="113" t="str">
        <v>Landfill</v>
      </c>
      <c r="E165" s="122" t="str">
        <v>Municipal solid waste</v>
      </c>
      <c r="F165" s="225"/>
      <c r="G165" s="15"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15">
        <f t="shared" si="3"/>
        <v>0</v>
      </c>
      <c r="I165" s="15">
        <f t="shared" si="4"/>
        <v>0</v>
      </c>
      <c r="J165" s="15" cm="1">
        <f t="array" ref="J165">Common_InputFunctions.Utility_LookupValueInTableTwoColumns(D165,E165,Table_SourceData_WasteSolid_WasteTreatmentEFs[Treatment type t],Table_SourceData_WasteSolid_WasteTreatmentEFs[Waste type w],Table_SourceData_WasteSolid_WasteTreatmentEFs[EFwt])</f>
        <v>1.6</v>
      </c>
      <c r="K165" s="15" cm="1">
        <f t="array" ref="K165">WasteSolid_Equations.VEERG_10_1_1_1__1_EmissionsFromWasteManagement(I165, J165)</f>
        <v>0</v>
      </c>
    </row>
    <row r="166" spans="4:11" ht="20.100000000000001" customHeight="1" x14ac:dyDescent="0.2">
      <c r="D166" s="113" t="str">
        <v>Landfill</v>
      </c>
      <c r="E166" s="122" t="str">
        <v>Commercial and industrial waste</v>
      </c>
      <c r="F166" s="225"/>
      <c r="G166" s="15"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15">
        <f t="shared" si="3"/>
        <v>0</v>
      </c>
      <c r="I166" s="15">
        <f t="shared" si="4"/>
        <v>0</v>
      </c>
      <c r="J166" s="15" cm="1">
        <f t="array" ref="J166">Common_InputFunctions.Utility_LookupValueInTableTwoColumns(D166,E166,Table_SourceData_WasteSolid_WasteTreatmentEFs[Treatment type t],Table_SourceData_WasteSolid_WasteTreatmentEFs[Waste type w],Table_SourceData_WasteSolid_WasteTreatmentEFs[EFwt])</f>
        <v>1.3</v>
      </c>
      <c r="K166" s="15" cm="1">
        <f t="array" ref="K166">WasteSolid_Equations.VEERG_10_1_1_1__1_EmissionsFromWasteManagement(I166, J166)</f>
        <v>0</v>
      </c>
    </row>
    <row r="167" spans="4:11" ht="20.100000000000001" customHeight="1" x14ac:dyDescent="0.2">
      <c r="D167" s="113" t="str">
        <v>Landfill</v>
      </c>
      <c r="E167" s="122" t="str">
        <v>Construction and demolition waste</v>
      </c>
      <c r="F167" s="225"/>
      <c r="G167" s="15"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15">
        <f t="shared" si="3"/>
        <v>0</v>
      </c>
      <c r="I167" s="15">
        <f t="shared" si="4"/>
        <v>0</v>
      </c>
      <c r="J167" s="15" cm="1">
        <f t="array" ref="J167">Common_InputFunctions.Utility_LookupValueInTableTwoColumns(D167,E167,Table_SourceData_WasteSolid_WasteTreatmentEFs[Treatment type t],Table_SourceData_WasteSolid_WasteTreatmentEFs[Waste type w],Table_SourceData_WasteSolid_WasteTreatmentEFs[EFwt])</f>
        <v>0.2</v>
      </c>
      <c r="K167" s="15" cm="1">
        <f t="array" ref="K167">WasteSolid_Equations.VEERG_10_1_1_1__1_EmissionsFromWasteManagement(I167, J167)</f>
        <v>0</v>
      </c>
    </row>
    <row r="168" spans="4:11" ht="20.100000000000001" customHeight="1" x14ac:dyDescent="0.2">
      <c r="D168" s="113" t="str">
        <v>Incineration</v>
      </c>
      <c r="E168" s="122" t="str">
        <v>Food waste, green waste, wood, sludge</v>
      </c>
      <c r="F168" s="225"/>
      <c r="G168" s="15" t="s">
        <v>782</v>
      </c>
      <c r="H168" s="15" t="str">
        <f t="shared" si="3"/>
        <v>Not used</v>
      </c>
      <c r="I168" s="15">
        <f>SUM(G169:G172)+SUM(H169:H172)+N("Partial sum")</f>
        <v>62</v>
      </c>
      <c r="J168" s="15" cm="1">
        <f t="array" ref="J168">Common_InputFunctions.Utility_LookupValueInTableTwoColumns(D168,E168,Table_SourceData_WasteSolid_WasteTreatmentEFs[Treatment type t],Table_SourceData_WasteSolid_WasteTreatmentEFs[Waste type w],Table_SourceData_WasteSolid_WasteTreatmentEFs[EFwt])</f>
        <v>0</v>
      </c>
      <c r="K168" s="15" cm="1">
        <f t="array" ref="K168">WasteSolid_Equations.VEERG_10_1_1_1__1_EmissionsFromWasteManagement(I168, J168)</f>
        <v>0</v>
      </c>
    </row>
    <row r="169" spans="4:11" ht="20.100000000000001" customHeight="1" x14ac:dyDescent="0.2">
      <c r="D169" s="113" t="str">
        <v>Incineration</v>
      </c>
      <c r="E169" s="122" t="str">
        <v>Food waste (including animal carcasses, spoiled animal feed or crop)</v>
      </c>
      <c r="F169" s="225"/>
      <c r="G169" s="15"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15">
        <f t="shared" si="3"/>
        <v>0</v>
      </c>
      <c r="I169" s="15" t="s">
        <v>927</v>
      </c>
      <c r="J169" s="15" t="s">
        <v>782</v>
      </c>
      <c r="K169" s="15" t="s">
        <v>782</v>
      </c>
    </row>
    <row r="170" spans="4:11" ht="20.100000000000001" customHeight="1" x14ac:dyDescent="0.2">
      <c r="D170" s="113" t="str">
        <v>Incineration</v>
      </c>
      <c r="E170" s="122" t="str">
        <v>Green waste (including crop residues or prunings)</v>
      </c>
      <c r="F170" s="225"/>
      <c r="G170" s="15"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15">
        <f t="shared" si="3"/>
        <v>12</v>
      </c>
      <c r="I170" s="15" t="s">
        <v>927</v>
      </c>
      <c r="J170" s="15" t="s">
        <v>782</v>
      </c>
      <c r="K170" s="15" t="s">
        <v>782</v>
      </c>
    </row>
    <row r="171" spans="4:11" ht="20.100000000000001" customHeight="1" x14ac:dyDescent="0.2">
      <c r="D171" s="113" t="str">
        <v>Incineration</v>
      </c>
      <c r="E171" s="122" t="str">
        <v>Wood</v>
      </c>
      <c r="F171" s="225"/>
      <c r="G171" s="15"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15">
        <f t="shared" si="3"/>
        <v>0</v>
      </c>
      <c r="I171" s="15" t="s">
        <v>927</v>
      </c>
      <c r="J171" s="15" t="s">
        <v>782</v>
      </c>
      <c r="K171" s="15" t="s">
        <v>782</v>
      </c>
    </row>
    <row r="172" spans="4:11" ht="20.100000000000001" customHeight="1" x14ac:dyDescent="0.2">
      <c r="D172" s="113" t="str">
        <v>Incineration</v>
      </c>
      <c r="E172" s="122" t="str">
        <v>Sludge</v>
      </c>
      <c r="F172" s="225"/>
      <c r="G172" s="15"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15">
        <f t="shared" si="3"/>
        <v>0</v>
      </c>
      <c r="I172" s="15" t="s">
        <v>927</v>
      </c>
      <c r="J172" s="15" t="s">
        <v>782</v>
      </c>
      <c r="K172" s="15" t="s">
        <v>782</v>
      </c>
    </row>
    <row r="173" spans="4:11" ht="20.100000000000001" customHeight="1" x14ac:dyDescent="0.2">
      <c r="D173" s="113" t="str">
        <v>Incineration</v>
      </c>
      <c r="E173" s="122" t="str">
        <v>Paper and cardboard</v>
      </c>
      <c r="F173" s="225"/>
      <c r="G173" s="15"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15">
        <f t="shared" si="3"/>
        <v>0</v>
      </c>
      <c r="I173" s="15">
        <f t="shared" ref="I173:I178" si="5">G173+H173</f>
        <v>0</v>
      </c>
      <c r="J173" s="15"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15" cm="1">
        <f t="array" ref="K173">WasteSolid_Equations.VEERG_10_1_1_1__1_EmissionsFromWasteManagement(I173, J173)</f>
        <v>0</v>
      </c>
    </row>
    <row r="174" spans="4:11" ht="20.100000000000001" customHeight="1" x14ac:dyDescent="0.2">
      <c r="D174" s="113" t="str">
        <v>Incineration</v>
      </c>
      <c r="E174" s="122" t="str">
        <v>Textiles</v>
      </c>
      <c r="F174" s="225"/>
      <c r="G174" s="15"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15">
        <f t="shared" si="3"/>
        <v>0</v>
      </c>
      <c r="I174" s="15">
        <f t="shared" si="5"/>
        <v>0</v>
      </c>
      <c r="J174" s="15"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15" cm="1">
        <f t="array" ref="K174">WasteSolid_Equations.VEERG_10_1_1_1__1_EmissionsFromWasteManagement(I174, J174)</f>
        <v>0</v>
      </c>
    </row>
    <row r="175" spans="4:11" ht="20.100000000000001" customHeight="1" x14ac:dyDescent="0.2">
      <c r="D175" s="113" t="str">
        <v>Incineration</v>
      </c>
      <c r="E175" s="122" t="str">
        <v>Rubber and leather</v>
      </c>
      <c r="F175" s="225"/>
      <c r="G175" s="15"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15">
        <f t="shared" si="3"/>
        <v>0</v>
      </c>
      <c r="I175" s="15">
        <f t="shared" si="5"/>
        <v>0</v>
      </c>
      <c r="J175" s="15" cm="1">
        <f t="array" ref="J175">Common_InputFunctions.Utility_LookupValueInTableTwoColumns(D175,E175,Table_SourceData_WasteSolid_WasteTreatmentEFs[Treatment type t],Table_SourceData_WasteSolid_WasteTreatmentEFs[Waste type w],Table_SourceData_WasteSolid_WasteTreatmentEFs[EFwt])</f>
        <v>0.4919</v>
      </c>
      <c r="K175" s="15" cm="1">
        <f t="array" ref="K175">WasteSolid_Equations.VEERG_10_1_1_1__1_EmissionsFromWasteManagement(I175, J175)</f>
        <v>0</v>
      </c>
    </row>
    <row r="176" spans="4:11" ht="20.100000000000001" customHeight="1" x14ac:dyDescent="0.2">
      <c r="D176" s="113" t="str">
        <v>Incineration</v>
      </c>
      <c r="E176" s="122" t="str">
        <v>Inert waste (including concrete, metal, plastic or glass)</v>
      </c>
      <c r="F176" s="225"/>
      <c r="G176" s="15"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15">
        <f t="shared" si="3"/>
        <v>0</v>
      </c>
      <c r="I176" s="15">
        <f t="shared" si="5"/>
        <v>0</v>
      </c>
      <c r="J176" s="15" cm="1">
        <f t="array" ref="J176">Common_InputFunctions.Utility_LookupValueInTableTwoColumns(D176,E176,Table_SourceData_WasteSolid_WasteTreatmentEFs[Treatment type t],Table_SourceData_WasteSolid_WasteTreatmentEFs[Waste type w],Table_SourceData_WasteSolid_WasteTreatmentEFs[EFwt])</f>
        <v>0.11</v>
      </c>
      <c r="K176" s="15" cm="1">
        <f t="array" ref="K176">WasteSolid_Equations.VEERG_10_1_1_1__1_EmissionsFromWasteManagement(I176, J176)</f>
        <v>0</v>
      </c>
    </row>
    <row r="177" spans="1:11" ht="20.100000000000001" customHeight="1" x14ac:dyDescent="0.2">
      <c r="D177" s="113" t="str">
        <v>Incineration</v>
      </c>
      <c r="E177" s="122" t="str">
        <v>Municipal solid waste</v>
      </c>
      <c r="F177" s="123"/>
      <c r="G177" s="15"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15">
        <f t="shared" si="3"/>
        <v>0</v>
      </c>
      <c r="I177" s="15">
        <f t="shared" si="5"/>
        <v>0</v>
      </c>
      <c r="J177" s="15"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15" cm="1">
        <f t="array" ref="K177">WasteSolid_Equations.VEERG_10_1_1_1__1_EmissionsFromWasteManagement(I177, J177)</f>
        <v>0</v>
      </c>
    </row>
    <row r="178" spans="1:11" ht="20.100000000000001" customHeight="1" x14ac:dyDescent="0.2">
      <c r="D178" s="113" t="str">
        <v>Incineration</v>
      </c>
      <c r="E178" s="122" t="str">
        <v>Commercial and industrial waste</v>
      </c>
      <c r="F178" s="123"/>
      <c r="G178" s="15"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15">
        <f t="shared" si="3"/>
        <v>0</v>
      </c>
      <c r="I178" s="15">
        <f t="shared" si="5"/>
        <v>0</v>
      </c>
      <c r="J178" s="15" cm="1">
        <f t="array" ref="J178">Common_InputFunctions.Utility_LookupValueInTableTwoColumns(D178,E178,Table_SourceData_WasteSolid_WasteTreatmentEFs[Treatment type t],Table_SourceData_WasteSolid_WasteTreatmentEFs[Waste type w],Table_SourceData_WasteSolid_WasteTreatmentEFs[EFwt])</f>
        <v>1.649</v>
      </c>
      <c r="K178" s="15" cm="1">
        <f t="array" ref="K178">WasteSolid_Equations.VEERG_10_1_1_1__1_EmissionsFromWasteManagement(I178, J178)</f>
        <v>0</v>
      </c>
    </row>
    <row r="179" spans="1:11" ht="20.100000000000001" customHeight="1" x14ac:dyDescent="0.2">
      <c r="D179" s="113" t="str">
        <v>Composting</v>
      </c>
      <c r="E179" s="122" t="str">
        <v>All organic waste</v>
      </c>
      <c r="F179" s="123"/>
      <c r="G179" s="15" t="s">
        <v>782</v>
      </c>
      <c r="H179" s="15" t="str">
        <f t="shared" si="3"/>
        <v>Not used</v>
      </c>
      <c r="I179" s="15">
        <f>SUM(G180:G184)+SUM(H180:H184)+N("Partial sum")</f>
        <v>100</v>
      </c>
      <c r="J179" s="15"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15" cm="1">
        <f t="array" ref="K179">WasteSolid_Equations.VEERG_10_1_1_1__1_EmissionsFromWasteManagement(I179, J179)</f>
        <v>4.5999999999999996</v>
      </c>
    </row>
    <row r="180" spans="1:11" ht="20.100000000000001" customHeight="1" x14ac:dyDescent="0.2">
      <c r="D180" s="113" t="str">
        <v>Composting</v>
      </c>
      <c r="E180" s="122" t="str">
        <v>Food waste (including animal carcasses, spoiled animal feed or crop)</v>
      </c>
      <c r="F180" s="123"/>
      <c r="G180" s="15"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15">
        <f t="shared" si="3"/>
        <v>0</v>
      </c>
      <c r="I180" s="15" t="s">
        <v>927</v>
      </c>
      <c r="J180" s="15" t="s">
        <v>782</v>
      </c>
      <c r="K180" s="15" t="s">
        <v>782</v>
      </c>
    </row>
    <row r="181" spans="1:11" ht="20.100000000000001" customHeight="1" x14ac:dyDescent="0.2">
      <c r="D181" s="113" t="str">
        <v>Composting</v>
      </c>
      <c r="E181" s="122" t="str">
        <v>Green waste (including crop residues or prunings)</v>
      </c>
      <c r="F181" s="123"/>
      <c r="G181" s="15"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15">
        <f t="shared" si="3"/>
        <v>0</v>
      </c>
      <c r="I181" s="15" t="s">
        <v>927</v>
      </c>
      <c r="J181" s="15" t="s">
        <v>782</v>
      </c>
      <c r="K181" s="15" t="s">
        <v>782</v>
      </c>
    </row>
    <row r="182" spans="1:11" ht="20.100000000000001" customHeight="1" x14ac:dyDescent="0.2">
      <c r="D182" s="113" t="str">
        <v>Composting</v>
      </c>
      <c r="E182" s="122" t="str">
        <v>Wood</v>
      </c>
      <c r="F182" s="123"/>
      <c r="G182" s="15"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15">
        <f t="shared" si="3"/>
        <v>0</v>
      </c>
      <c r="I182" s="15" t="s">
        <v>927</v>
      </c>
      <c r="J182" s="15" t="s">
        <v>782</v>
      </c>
      <c r="K182" s="15" t="s">
        <v>782</v>
      </c>
    </row>
    <row r="183" spans="1:11" ht="20.100000000000001" customHeight="1" x14ac:dyDescent="0.2">
      <c r="D183" s="113" t="str">
        <v>Composting</v>
      </c>
      <c r="E183" s="122" t="str">
        <v>Sludge</v>
      </c>
      <c r="F183" s="123"/>
      <c r="G183" s="15"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15">
        <f t="shared" si="3"/>
        <v>0</v>
      </c>
      <c r="I183" s="15" t="s">
        <v>927</v>
      </c>
      <c r="J183" s="15" t="s">
        <v>782</v>
      </c>
      <c r="K183" s="15" t="s">
        <v>782</v>
      </c>
    </row>
    <row r="184" spans="1:11" ht="20.100000000000001" customHeight="1" x14ac:dyDescent="0.2">
      <c r="D184" s="113" t="str">
        <v>Composting</v>
      </c>
      <c r="E184" s="122" t="str">
        <v>Paper and cardboard</v>
      </c>
      <c r="F184" s="123"/>
      <c r="G184" s="15"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15">
        <f t="shared" si="3"/>
        <v>0</v>
      </c>
      <c r="I184" s="15" t="s">
        <v>927</v>
      </c>
      <c r="J184" s="15" t="s">
        <v>782</v>
      </c>
      <c r="K184" s="15" t="s">
        <v>782</v>
      </c>
    </row>
    <row r="185" spans="1:11" ht="20.100000000000001" customHeight="1" x14ac:dyDescent="0.2">
      <c r="D185" s="113" t="str">
        <v>Anaerobic digestion</v>
      </c>
      <c r="E185" s="122" t="str">
        <v>All organic waste</v>
      </c>
      <c r="F185" s="123"/>
      <c r="G185" s="15" t="s">
        <v>782</v>
      </c>
      <c r="H185" s="15" t="str">
        <f t="shared" si="3"/>
        <v>Not used</v>
      </c>
      <c r="I185" s="15">
        <f>SUM(G186:G190)+SUM(H186:H190)+N("Partial sum")</f>
        <v>0</v>
      </c>
      <c r="J185" s="15"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15" cm="1">
        <f t="array" ref="K185">WasteSolid_Equations.VEERG_10_1_1_1__1_EmissionsFromWasteManagement(I185, J185)</f>
        <v>0</v>
      </c>
    </row>
    <row r="186" spans="1:11" ht="20.100000000000001" customHeight="1" x14ac:dyDescent="0.2">
      <c r="D186" s="113" t="str">
        <v>Anaerobic digestion</v>
      </c>
      <c r="E186" s="122" t="str">
        <v>Food waste (including animal carcasses, spoiled animal feed or crop)</v>
      </c>
      <c r="F186" s="123"/>
      <c r="G186" s="15"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15">
        <f t="shared" si="3"/>
        <v>0</v>
      </c>
      <c r="I186" s="15" t="s">
        <v>927</v>
      </c>
      <c r="J186" s="15" t="s">
        <v>782</v>
      </c>
      <c r="K186" s="15" t="s">
        <v>782</v>
      </c>
    </row>
    <row r="187" spans="1:11" ht="20.100000000000001" customHeight="1" x14ac:dyDescent="0.2">
      <c r="D187" s="113" t="str">
        <v>Anaerobic digestion</v>
      </c>
      <c r="E187" s="122" t="str">
        <v>Green waste (including crop residues or prunings)</v>
      </c>
      <c r="F187" s="123"/>
      <c r="G187" s="15"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15">
        <f t="shared" si="3"/>
        <v>0</v>
      </c>
      <c r="I187" s="15" t="s">
        <v>927</v>
      </c>
      <c r="J187" s="15" t="s">
        <v>782</v>
      </c>
      <c r="K187" s="15" t="s">
        <v>782</v>
      </c>
    </row>
    <row r="188" spans="1:11" ht="20.100000000000001" customHeight="1" x14ac:dyDescent="0.2">
      <c r="A188" s="79" t="str">
        <f>HYPERLINK("#A1", "▲ Back to top")</f>
        <v>▲ Back to top</v>
      </c>
      <c r="D188" s="113" t="str">
        <v>Anaerobic digestion</v>
      </c>
      <c r="E188" s="122" t="str">
        <v>Wood</v>
      </c>
      <c r="F188" s="123"/>
      <c r="G188" s="15"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15">
        <f t="shared" si="3"/>
        <v>0</v>
      </c>
      <c r="I188" s="15" t="s">
        <v>927</v>
      </c>
      <c r="J188" s="15" t="s">
        <v>782</v>
      </c>
      <c r="K188" s="15" t="s">
        <v>782</v>
      </c>
    </row>
    <row r="189" spans="1:11" ht="20.100000000000001" customHeight="1" x14ac:dyDescent="0.2">
      <c r="D189" s="113" t="str">
        <v>Anaerobic digestion</v>
      </c>
      <c r="E189" s="122" t="str">
        <v>Sludge</v>
      </c>
      <c r="F189" s="123"/>
      <c r="G189" s="15"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15">
        <f t="shared" si="3"/>
        <v>0</v>
      </c>
      <c r="I189" s="15" t="s">
        <v>927</v>
      </c>
      <c r="J189" s="15" t="s">
        <v>782</v>
      </c>
      <c r="K189" s="15" t="s">
        <v>782</v>
      </c>
    </row>
    <row r="190" spans="1:11" ht="20.100000000000001" customHeight="1" x14ac:dyDescent="0.2">
      <c r="D190" s="113" t="str">
        <v>Anaerobic digestion</v>
      </c>
      <c r="E190" s="122" t="str">
        <v>Paper and cardboard</v>
      </c>
      <c r="F190" s="123"/>
      <c r="G190" s="15"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15">
        <f t="shared" si="3"/>
        <v>0</v>
      </c>
      <c r="I190" s="15" t="s">
        <v>927</v>
      </c>
      <c r="J190" s="15" t="s">
        <v>782</v>
      </c>
      <c r="K190" s="15" t="s">
        <v>782</v>
      </c>
    </row>
    <row r="192" spans="1:11" ht="20.100000000000001" customHeight="1" x14ac:dyDescent="0.2">
      <c r="D192" s="85" t="s">
        <v>928</v>
      </c>
      <c r="E192" s="86">
        <f>SUM(K157:K190)</f>
        <v>441.15000000000003</v>
      </c>
      <c r="F192" s="95" t="str">
        <f>$E$103</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xr:uid="{C0DBD77D-BFA6-48BA-8205-85AF5CE8C7F8}"/>
  </dataValidations>
  <pageMargins left="0.7" right="0.7" top="0.75" bottom="0.75" header="0.3" footer="0.3"/>
  <pageSetup paperSize="9"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76386-3C76-4AF2-BA60-8EE167D9B8A7}">
  <sheetPr>
    <tabColor rgb="FF008000"/>
  </sheetPr>
  <dimension ref="A1:K34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20" customFormat="1" ht="30" customHeight="1" x14ac:dyDescent="0.35">
      <c r="A1" s="10" t="e" vm="1">
        <v>#VALUE!</v>
      </c>
      <c r="C1" s="20" t="s">
        <v>574</v>
      </c>
    </row>
    <row r="2" spans="1:11" s="3" customFormat="1" ht="20.100000000000001" customHeight="1" x14ac:dyDescent="0.2">
      <c r="A2"/>
    </row>
    <row r="3" spans="1:11" ht="20.100000000000001" customHeight="1" x14ac:dyDescent="0.2">
      <c r="A3" s="5" t="str">
        <f>HYPERLINK("#'Home'!A1", "Home")</f>
        <v>Home</v>
      </c>
      <c r="C3" s="22"/>
      <c r="D3" s="22" t="s">
        <v>130</v>
      </c>
      <c r="E3" s="22"/>
      <c r="F3" s="22"/>
      <c r="G3" s="22"/>
      <c r="H3" s="22"/>
      <c r="I3" s="22"/>
      <c r="J3" s="22"/>
      <c r="K3" s="22"/>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2" t="str" cm="1">
        <f t="array" ref="D5">Electricity_Equations.VEERG_14_1_1__1_LocationBasedScopeElectricityEmissions_Title()</f>
        <v>Location-based Scope 2 emissions from purchased electricity</v>
      </c>
    </row>
    <row r="6" spans="1:11" ht="20.100000000000001" customHeight="1" x14ac:dyDescent="0.2">
      <c r="D6" s="17" t="str" cm="1">
        <f t="array" ref="D6">Electricity_Equations.VEERG_14_1_1__1_LocationBasedScopeElectricityEmissions_Source()</f>
        <v>VEERG 2026: 14.1.1, Equation (1)</v>
      </c>
    </row>
    <row r="7" spans="1:11" ht="20.100000000000001" customHeight="1" x14ac:dyDescent="0.2">
      <c r="D7" s="25" t="str" cm="1">
        <f t="array" ref="D7">Electricity_Equations.VEERG_14_1_1__1_LocationBasedScopeElectricityEmissions_Variation()</f>
        <v>Added g variable to capture which grid electricity was purchased from</v>
      </c>
    </row>
    <row r="8" spans="1:11" ht="20.100000000000001" customHeight="1" x14ac:dyDescent="0.2">
      <c r="A8" s="7" t="s">
        <v>0</v>
      </c>
      <c r="D8" s="112" t="s">
        <v>328</v>
      </c>
      <c r="E8" s="112"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Poultry'!A1", "Poultry")</f>
        <v>Poultry</v>
      </c>
      <c r="D11" s="75" t="s">
        <v>329</v>
      </c>
      <c r="E11" s="1" t="str" cm="1">
        <f t="array" ref="E11">Electricity_Equations.VEERG_14_1_1__1_LocationBasedScopeElectricityEmissions_Variable()</f>
        <v>E_2elec</v>
      </c>
    </row>
    <row r="12" spans="1:11" ht="20.100000000000001" customHeight="1" x14ac:dyDescent="0.2">
      <c r="A12" s="5" t="str">
        <f>HYPERLINK("#'Input - Livestock sales'!A1", "Livestock sales")</f>
        <v>Livestock sales</v>
      </c>
      <c r="D12" s="75" t="s">
        <v>118</v>
      </c>
      <c r="E12" s="9" t="str" cm="1">
        <f t="array" ref="E12">Electricity_Equations.VEERG_14_1_1__1_LocationBasedScopeElectricityEmissions_Unit()</f>
        <v>t CO2e</v>
      </c>
    </row>
    <row r="13" spans="1:11" ht="20.100000000000001" customHeight="1" x14ac:dyDescent="0.2">
      <c r="A13" s="5" t="str">
        <f>HYPERLINK("#'Input - Poultry purchases'!A1", "Poultry purchases")</f>
        <v>Poultry purchases</v>
      </c>
    </row>
    <row r="14" spans="1:11" ht="20.100000000000001" customHeight="1" x14ac:dyDescent="0.2">
      <c r="A14" s="5" t="str">
        <f>HYPERLINK("#'Input - Fuel'!A1", "Fuel")</f>
        <v>Fuel</v>
      </c>
      <c r="D14" s="113" t="str" cm="1">
        <f t="array" ref="D14:E16">_xlfn.CHOOSECOLS(Electricity_Equations.VEERG_14_1_1__1_LocationBasedScopeElectricityEmissions_Arguments(),1,2)</f>
        <v>Q_elec</v>
      </c>
      <c r="E14" s="122" t="str">
        <v>amount of electricity purchased from the grid</v>
      </c>
      <c r="F14" s="123"/>
      <c r="G14" s="113" t="str" cm="1">
        <f t="array" ref="G14:H16">_xlfn.CHOOSECOLS(Electricity_Equations.VEERG_14_1_1__1_LocationBasedScopeElectricityEmissions_Arguments(),3,4)</f>
        <v>kWh</v>
      </c>
      <c r="H14" s="114" t="str">
        <v>Input</v>
      </c>
      <c r="I14" s="122">
        <f>X_Cell_Electricity_Location_AmountPurchasedInkWh</f>
        <v>30000</v>
      </c>
      <c r="J14" s="123"/>
    </row>
    <row r="15" spans="1:11" ht="20.100000000000001" customHeight="1" x14ac:dyDescent="0.2">
      <c r="A15" s="5" t="str">
        <f>HYPERLINK("#'Input - Electricity'!A1", "Electricity")</f>
        <v>Electricity</v>
      </c>
      <c r="D15" s="113" t="str">
        <v>EF_2elec</v>
      </c>
      <c r="E15" s="122" t="str">
        <v>location-based Scope 2 emission factor for electricity</v>
      </c>
      <c r="F15" s="123"/>
      <c r="G15" s="113" t="str">
        <v>kg CO2e/kWh</v>
      </c>
      <c r="H15" s="115" t="str">
        <v>Constant</v>
      </c>
      <c r="I15" s="122" cm="1">
        <f t="array" ref="I15">Common_InputFunctions.Utility_LookupValueInTableNumber(I16,Table_SourceData_ElectricityEFs[State, Territory or grid description],Table_SourceData_ElectricityEFs[Scope 2 Emission Factors (kg CO2-e/kWh)])</f>
        <v>0.56000000000000005</v>
      </c>
      <c r="J15" s="123"/>
    </row>
    <row r="16" spans="1:11" ht="20.100000000000001" customHeight="1" x14ac:dyDescent="0.2">
      <c r="A16" s="5" t="str">
        <f>HYPERLINK("#'Input - Common farm inputs'!A1", "Common farm inputs")</f>
        <v>Common farm inputs</v>
      </c>
      <c r="D16" s="113" t="str">
        <v>g</v>
      </c>
      <c r="E16" s="122" t="str">
        <v>Grid electricity was purchased from</v>
      </c>
      <c r="F16" s="123"/>
      <c r="G16" s="113" t="str">
        <v/>
      </c>
      <c r="H16" s="114" t="str">
        <v>Input</v>
      </c>
      <c r="I16" s="122" t="str">
        <f>X_Cell_Electricity_Location_GridElectricityPurchasedFrom</f>
        <v>Western Australia - North Western Interconnected System (NWIS)</v>
      </c>
      <c r="J16" s="123"/>
    </row>
    <row r="17" spans="1:11" ht="20.100000000000001" customHeight="1" x14ac:dyDescent="0.2">
      <c r="A17" s="5" t="str">
        <f>HYPERLINK("#'Input - Livestock farm Inputs'!A1", "Livestock farm Inputs")</f>
        <v>Livestock farm Inputs</v>
      </c>
    </row>
    <row r="18" spans="1:11" ht="20.100000000000001" customHeight="1" x14ac:dyDescent="0.2">
      <c r="A18" s="5" t="str">
        <f>HYPERLINK("#'Input - Freight'!A1", "Freight")</f>
        <v>Freight</v>
      </c>
      <c r="D18" s="85" t="s">
        <v>575</v>
      </c>
      <c r="E18" s="86" cm="1">
        <f t="array" ref="E18">Electricity_Equations.VEERG_14_1_1__1_LocationBasedScopeElectricityEmissions(I14,I15)</f>
        <v>16.8</v>
      </c>
      <c r="F18" s="95" t="str">
        <f>$E$12</f>
        <v>t CO2e</v>
      </c>
    </row>
    <row r="19" spans="1:11" ht="20.100000000000001" customHeight="1" x14ac:dyDescent="0.2">
      <c r="A19" s="5" t="str">
        <f>HYPERLINK("#'Input - Solid waste'!A1", "Solid waste")</f>
        <v>Solid waste</v>
      </c>
    </row>
    <row r="20" spans="1:11" ht="20.100000000000001" customHeight="1" x14ac:dyDescent="0.2">
      <c r="A20" s="5" t="str">
        <f>HYPERLINK("#'Input - Manure sent off-site'!A1", "Manure sent off-site")</f>
        <v>Manure sent off-site</v>
      </c>
    </row>
    <row r="21" spans="1:11" ht="20.100000000000001" customHeight="1" x14ac:dyDescent="0.2">
      <c r="A21" s="5" t="str">
        <f>HYPERLINK("#'Input - Data quality'!A1", "Data quality")</f>
        <v>Data quality</v>
      </c>
      <c r="C21" s="83"/>
      <c r="D21" s="83"/>
      <c r="E21" s="83"/>
      <c r="F21" s="83"/>
      <c r="G21" s="83"/>
      <c r="H21" s="83"/>
      <c r="I21" s="83"/>
      <c r="J21" s="83"/>
      <c r="K21" s="83"/>
    </row>
    <row r="22" spans="1:11" ht="20.100000000000001" customHeight="1" x14ac:dyDescent="0.2">
      <c r="A22" s="5" t="str">
        <f>HYPERLINK("#'Input - Fert Prod System'!A1", "Fert Prod System")</f>
        <v>Fert Prod System</v>
      </c>
      <c r="D22" s="2" t="str" cm="1">
        <f t="array" ref="D22">Electricity_Equations.VEERG_14_1_2__1_MarketBasedScopeElectricityEmissions_Title()</f>
        <v>Market-based Scope 2 emissions from purchased electricity</v>
      </c>
    </row>
    <row r="23" spans="1:11" ht="20.100000000000001" customHeight="1" x14ac:dyDescent="0.2">
      <c r="A23" s="5" t="str">
        <f>HYPERLINK("#'Input - Fertiliser'!A1", "Fertiliser")</f>
        <v>Fertiliser</v>
      </c>
      <c r="D23" s="17" t="str" cm="1">
        <f t="array" ref="D23">Electricity_Equations.VEERG_14_1_2__1_MarketBasedScopeElectricityEmissions_Source()</f>
        <v>VEERG 2026: 14.1.2, Equation (1)</v>
      </c>
    </row>
    <row r="24" spans="1:11" ht="20.100000000000001" customHeight="1" x14ac:dyDescent="0.2">
      <c r="D24" s="25"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
      <c r="D25" s="112" t="s">
        <v>328</v>
      </c>
      <c r="E25" s="112"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
      <c r="A26" s="6" t="s">
        <v>2</v>
      </c>
    </row>
    <row r="27" spans="1:11" ht="20.100000000000001" customHeight="1" x14ac:dyDescent="0.2">
      <c r="A27" s="5" t="str">
        <f>HYPERLINK("#'4.6.1.1-2 Methane'!A1", "4.6.1.1-2 Manure Methane")</f>
        <v>4.6.1.1-2 Manure Methane</v>
      </c>
    </row>
    <row r="28" spans="1:11" ht="20.100000000000001" customHeight="1" x14ac:dyDescent="0.2">
      <c r="A28" s="5" t="str">
        <f>HYPERLINK("#'4.6.1.3-4 Direct N20'!A1", "4.6.1.3-4 Manure Direct N2O")</f>
        <v>4.6.1.3-4 Manure Direct N2O</v>
      </c>
      <c r="D28" s="75" t="s">
        <v>329</v>
      </c>
      <c r="E28" s="1" t="str" cm="1">
        <f t="array" ref="E28">Electricity_Equations.VEERG_14_1_2__1_MarketBasedScopeElectricityEmissions_Variable()</f>
        <v>E_2elec</v>
      </c>
    </row>
    <row r="29" spans="1:11" ht="20.100000000000001" customHeight="1" x14ac:dyDescent="0.2">
      <c r="A29" s="5" t="str">
        <f>HYPERLINK("#'4.6.1.5-6 Atmos Dep'!A1", "4.6.1.5-6 Manure Atmos Dep")</f>
        <v>4.6.1.5-6 Manure Atmos Dep</v>
      </c>
      <c r="D29" s="75" t="s">
        <v>118</v>
      </c>
      <c r="E29" s="9" t="str" cm="1">
        <f t="array" ref="E29">Electricity_Equations.VEERG_14_1_2__1_MarketBasedScopeElectricityEmissions_Unit()</f>
        <v>t CO2e</v>
      </c>
    </row>
    <row r="30" spans="1:11" ht="20.100000000000001" customHeight="1" x14ac:dyDescent="0.2">
      <c r="A30" s="5" t="str">
        <f>HYPERLINK("#'4.6.1.7-8 Leaching and runoff'!A1", "4.6.1.7-8 Manure Leaching and runoff")</f>
        <v>4.6.1.7-8 Manure Leaching and runoff</v>
      </c>
    </row>
    <row r="31" spans="1:11" ht="20.100000000000001" customHeight="1" x14ac:dyDescent="0.2">
      <c r="A31" s="5" t="str">
        <f>HYPERLINK("#'4.6.1.9 Manure applied to soils'!A1", "4.6.1.9 Manure applied to soils")</f>
        <v>4.6.1.9 Manure applied to soils</v>
      </c>
      <c r="D31" s="113" t="str" cm="1">
        <f t="array" ref="D31:E37">_xlfn.CHOOSECOLS(Electricity_Equations.VEERG_14_1_2__1_MarketBasedScopeElectricityEmissions_Arguments(),1,2)</f>
        <v>Q_elec</v>
      </c>
      <c r="E31" s="122" t="str">
        <v>amount of electricity purchased from the grid</v>
      </c>
      <c r="F31" s="136"/>
      <c r="G31" s="136"/>
      <c r="H31" s="113" t="str" cm="1">
        <f t="array" ref="H31:I37">_xlfn.CHOOSECOLS(Electricity_Equations.VEERG_14_1_2__1_MarketBasedScopeElectricityEmissions_Arguments(),3,4)</f>
        <v>kWh</v>
      </c>
      <c r="I31" s="114" t="str">
        <v>Input</v>
      </c>
      <c r="J31" s="113">
        <f>X_Cell_Electricity_Market_AmountPurchasedExcludingGreenPower</f>
        <v>30000</v>
      </c>
    </row>
    <row r="32" spans="1:11" ht="20.100000000000001" customHeight="1" x14ac:dyDescent="0.2">
      <c r="A32" s="5" t="str">
        <f>HYPERLINK("#'4.6.1.10-11 Soil direct N2O'!A1", "4.6.1.10-11 Soil direct N2O")</f>
        <v>4.6.1.10-11 Soil direct N2O</v>
      </c>
      <c r="D32" s="113" t="str">
        <v>RPP</v>
      </c>
      <c r="E32" s="122" t="str">
        <v>Renewable Power Percentage under the Large-scale Renewable Energy Target (LRET)</v>
      </c>
      <c r="F32" s="136"/>
      <c r="G32" s="136"/>
      <c r="H32" s="113" t="str">
        <v>per cent</v>
      </c>
      <c r="I32" s="114" t="str">
        <v>Input</v>
      </c>
      <c r="J32" s="146">
        <f>X_Cell_Electricity_Market_RenewablePowerPercentage</f>
        <v>0.1</v>
      </c>
    </row>
    <row r="33" spans="1:10" ht="20.100000000000001" customHeight="1" x14ac:dyDescent="0.2">
      <c r="A33" s="5" t="str">
        <f>HYPERLINK("#'4.6.1.12-13 Soil atmos dep'!A1", "4.6.1.12-13 Soil atmos dep")</f>
        <v>4.6.1.12-13 Soil atmos dep</v>
      </c>
      <c r="D33" s="113" t="str">
        <v>JRPP</v>
      </c>
      <c r="E33" s="122" t="str">
        <v>jurisdictional renewable power percentage for the applicable period (ACT only)</v>
      </c>
      <c r="F33" s="136"/>
      <c r="G33" s="136"/>
      <c r="H33" s="113" t="str">
        <v>per cent</v>
      </c>
      <c r="I33" s="114" t="str">
        <v>Input</v>
      </c>
      <c r="J33" s="146" t="str">
        <f>IF(J37="ACT", X_Cell_Electricity_Market_JurisdictionalRenewablePowerPercentage, "N/A")</f>
        <v>N/A</v>
      </c>
    </row>
    <row r="34" spans="1:10" ht="20.100000000000001" customHeight="1" x14ac:dyDescent="0.2">
      <c r="A34" s="5" t="str">
        <f>HYPERLINK("#'4.6.1.14-15 Soil leach runoff'!A1", "4.6.1.14-15 Soil leach runoff")</f>
        <v>4.6.1.14-15 Soil leach runoff</v>
      </c>
      <c r="D34" s="113" t="str">
        <v>REC_surrendered</v>
      </c>
      <c r="E34" s="122" t="str">
        <v>Renewable Energy Certificates voluntarily surrendered in the reporting year</v>
      </c>
      <c r="F34" s="136"/>
      <c r="G34" s="136"/>
      <c r="H34" s="113" t="str">
        <v>MWh</v>
      </c>
      <c r="I34" s="114" t="str">
        <v>Input</v>
      </c>
      <c r="J34" s="113">
        <f>(X_Cell_Electricity_Market_AmountPurchasedGreenPower*10^-3)+X_Cell_TotalElegibleVoluntarilySurrenderedRECs</f>
        <v>10</v>
      </c>
    </row>
    <row r="35" spans="1:10" ht="20.100000000000001" customHeight="1" x14ac:dyDescent="0.2">
      <c r="A35" s="5" t="str">
        <f>HYPERLINK("#'8.1.1.1-2 Transport fuel'!A1", "8.1.1.1-2 Transport fuel")</f>
        <v>8.1.1.1-2 Transport fuel</v>
      </c>
      <c r="D35" s="113" t="str">
        <v>REC_onsite</v>
      </c>
      <c r="E35" s="122" t="str">
        <v>Renewable Energy Certificates issued for electricity produced on-site during the year and consumed by the entity</v>
      </c>
      <c r="F35" s="136"/>
      <c r="G35" s="136"/>
      <c r="H35" s="113" t="str">
        <v>MWh</v>
      </c>
      <c r="I35" s="114" t="str">
        <v>Input</v>
      </c>
      <c r="J35" s="113">
        <f>X_Cell_TotalElegibleRECsForElectricityProducedOnSite</f>
        <v>0</v>
      </c>
    </row>
    <row r="36" spans="1:10" ht="20.100000000000001" customHeight="1" x14ac:dyDescent="0.2">
      <c r="A36" s="5" t="str">
        <f>HYPERLINK("#'8.2.1.1-2 Stationary fuel'!A1", "8.2.1.1-2 Stationary fuel")</f>
        <v>8.2.1.1-2 Stationary fuel</v>
      </c>
      <c r="D36" s="113" t="str">
        <v>EF_RMF2elec</v>
      </c>
      <c r="E36" s="122" t="str">
        <v>Scope 2 residual mix emission factor for electricity</v>
      </c>
      <c r="F36" s="136"/>
      <c r="G36" s="136"/>
      <c r="H36" s="113" t="str">
        <v>kg CO2e/kWh</v>
      </c>
      <c r="I36" s="115" t="str">
        <v>Constant</v>
      </c>
      <c r="J36" s="113" cm="1">
        <f t="array" ref="J36">Table_SourceData_ElectricityEFsMarketBased[Scope 2 EF (kg CO2-e/kWh)]</f>
        <v>0.81</v>
      </c>
    </row>
    <row r="37" spans="1:10" ht="20.100000000000001" customHeight="1" x14ac:dyDescent="0.2">
      <c r="A37" s="5" t="str">
        <f>HYPERLINK("#'10.1.1-2 Solid waste treatment'!A1", "10.1.1.1-2 Solid waste")</f>
        <v>10.1.1.1-2 Solid waste</v>
      </c>
      <c r="D37" s="113" t="str">
        <v>i</v>
      </c>
      <c r="E37" s="122" t="str">
        <v>state</v>
      </c>
      <c r="F37" s="136"/>
      <c r="G37" s="123"/>
      <c r="H37" s="113" t="str">
        <v/>
      </c>
      <c r="I37" s="114" t="str">
        <v>Input</v>
      </c>
      <c r="J37" s="113" t="str">
        <f>X_Cell_Site_State</f>
        <v>Dry climate zone</v>
      </c>
    </row>
    <row r="38" spans="1:10" ht="20.100000000000001" customHeight="1" x14ac:dyDescent="0.2">
      <c r="A38" s="117" t="str">
        <f>HYPERLINK("#'14.1.1-2 Purchased electricity'!A1", "14.1.1-2 Purchased electricity")</f>
        <v>14.1.1-2 Purchased electricity</v>
      </c>
    </row>
    <row r="39" spans="1:10" ht="20.100000000000001" customHeight="1" x14ac:dyDescent="0.2">
      <c r="A39" s="5" t="str">
        <f>HYPERLINK("#'15 Scope 3'!A1", "15 Scope 3")</f>
        <v>15 Scope 3</v>
      </c>
      <c r="D39" s="85" t="s">
        <v>575</v>
      </c>
      <c r="E39" s="86" cm="1">
        <f t="array" ref="E39">Electricity_Equations.VEERG_14_1_2__1_MarketBasedScopeElectricityEmissionsVariation(J31,J32,IF(ISNUMBER(J33), J33, 0),J34,J35,J36)</f>
        <v>13.77</v>
      </c>
      <c r="F39" s="95" t="str">
        <f>E29</f>
        <v>t CO2e</v>
      </c>
    </row>
    <row r="40" spans="1:10" ht="20.100000000000001" customHeight="1" x14ac:dyDescent="0.2">
      <c r="A40" s="5" t="str">
        <f>HYPERLINK("#'Calcs - Manure sent off-site'!A1", "Calcs - Manure sent off-site")</f>
        <v>Calcs - Manure sent off-site</v>
      </c>
      <c r="H40" s="1" t="s">
        <v>313</v>
      </c>
    </row>
    <row r="41" spans="1:10" ht="20.100000000000001" customHeight="1" x14ac:dyDescent="0.2">
      <c r="A41" s="5" t="str">
        <f>HYPERLINK("#'5.1.1.1-2 Inorganic fert N2O'!A1", "5.1.1.1-2 Inorganic fert N2O")</f>
        <v>5.1.1.1-2 Inorganic fert N2O</v>
      </c>
    </row>
    <row r="42" spans="1:10" ht="20.100000000000001" customHeight="1" x14ac:dyDescent="0.2">
      <c r="A42" s="5" t="str">
        <f>HYPERLINK("#'5.1.1.3-4 Inorganic fert CO2'!A1", "5.1.1.3-4 Inorganic fert CO2")</f>
        <v>5.1.1.3-4 Inorganic fert CO2</v>
      </c>
    </row>
    <row r="43" spans="1:10" ht="20.100000000000001" customHeight="1" x14ac:dyDescent="0.2">
      <c r="A43" s="5" t="str">
        <f>HYPERLINK("#'5.2.1.1-2 Organic Fert N2O'!A1", "5.2.1.1-2 Organic Fert N2O")</f>
        <v>5.2.1.1-2 Organic Fert N2O</v>
      </c>
    </row>
    <row r="44" spans="1:10" ht="20.100000000000001" customHeight="1" x14ac:dyDescent="0.2">
      <c r="A44" s="5" t="str">
        <f>HYPERLINK("#'5.3.1.1-2 Lime CO2'!A1", "5.3.1.1-2 Lime CO2")</f>
        <v>5.3.1.1-2 Lime CO2</v>
      </c>
      <c r="E44" s="142"/>
    </row>
    <row r="45" spans="1:10" ht="20.100000000000001" customHeight="1" x14ac:dyDescent="0.2">
      <c r="A45" s="5" t="str">
        <f>HYPERLINK("#'5.4.1.1-4 Atmos deposition'!A1", "5.4.1.1-4 Atmos deposition")</f>
        <v>5.4.1.1-4 Atmos deposition</v>
      </c>
    </row>
    <row r="46" spans="1:10"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E269 E228 G132 I129:I133 F134:I134 F129:F132 H128:H132 G129 F148:I148 I149 F150:I150" xr:uid="{1843485F-D603-4657-ABD1-6A9099C50F12}"/>
  </dataValidations>
  <pageMargins left="0.7" right="0.7" top="0.75" bottom="0.75" header="0.3" footer="0.3"/>
  <pageSetup paperSize="9" orientation="portrait"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F80FB9-FAA3-4725-9A1B-7A9B023D67D6}">
  <sheetPr>
    <tabColor theme="9" tint="-0.249977111117893"/>
  </sheetPr>
  <dimension ref="A1:AO6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40" width="30.5703125" style="1" customWidth="1"/>
    <col min="41" max="41" width="4.5703125" style="1" customWidth="1"/>
  </cols>
  <sheetData>
    <row r="1" spans="1:41" s="20" customFormat="1" ht="30" customHeight="1" x14ac:dyDescent="0.35">
      <c r="A1" s="10" t="e" vm="1">
        <v>#VALUE!</v>
      </c>
      <c r="C1" s="20" t="s">
        <v>1032</v>
      </c>
    </row>
    <row r="2" spans="1:41" s="3" customFormat="1" ht="20.100000000000001" customHeight="1" x14ac:dyDescent="0.2">
      <c r="A2"/>
    </row>
    <row r="3" spans="1:4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row>
    <row r="4" spans="1:41" ht="20.100000000000001" customHeight="1" x14ac:dyDescent="0.2">
      <c r="A4" s="5" t="str">
        <f>HYPERLINK("#'Results - Activity period'!A1", "Results - Activity period")</f>
        <v>Results - Activity period</v>
      </c>
    </row>
    <row r="5" spans="1:41" ht="20.100000000000001" customHeight="1" x14ac:dyDescent="0.2">
      <c r="A5" s="5" t="str">
        <f>HYPERLINK("#'Results - Product EI'!A1", "Results - Product Emissions Intensity")</f>
        <v>Results - Product Emissions Intensity</v>
      </c>
      <c r="D5" s="2" t="str" cm="1">
        <f t="array" ref="D5">Scope3_Equations.VEERG_15_1_1_1__1_EmissionsFromPurchasedLivestock_Title()</f>
        <v>Total emissions from purchased livestock</v>
      </c>
    </row>
    <row r="6" spans="1:41" ht="20.100000000000001" customHeight="1" x14ac:dyDescent="0.2">
      <c r="D6" s="17" t="str" cm="1">
        <f t="array" ref="D6">Scope3_Equations.VEERG_15_1_1_1__1_EmissionsFromPurchasedLivestock_Source()</f>
        <v>VEERG 2026: 15.1.1.1, Equation (1)</v>
      </c>
    </row>
    <row r="7" spans="1:41" ht="20.100000000000001" customHeight="1" x14ac:dyDescent="0.2">
      <c r="D7" s="112" t="s">
        <v>328</v>
      </c>
      <c r="E7" s="112" t="str" cm="1">
        <f t="array" aca="1" ref="E7" ca="1">Common_InputFunctions.Utility_DisplayFunctionName(J23)</f>
        <v>=Scope3_Equations.VEERG_15_1_1_1__1_EmissionsFromPurchasedLivestock</v>
      </c>
    </row>
    <row r="8" spans="1:41" ht="20.100000000000001" customHeight="1" x14ac:dyDescent="0.2">
      <c r="A8" s="7" t="s">
        <v>0</v>
      </c>
    </row>
    <row r="9" spans="1:41" ht="20.100000000000001" customHeight="1" x14ac:dyDescent="0.2">
      <c r="A9" s="5" t="str">
        <f>HYPERLINK("#'Input - Enterprise'!A1", "Enterprise")</f>
        <v>Enterprise</v>
      </c>
      <c r="H9" s="112"/>
    </row>
    <row r="10" spans="1:41" ht="20.100000000000001" customHeight="1" x14ac:dyDescent="0.2">
      <c r="A10" s="5" t="str">
        <f>HYPERLINK("#'Input - Site'!A1", "Site")</f>
        <v>Site</v>
      </c>
      <c r="D10" s="75" t="s">
        <v>329</v>
      </c>
      <c r="E10" s="1" t="str" cm="1">
        <f t="array" ref="E10">Scope3_Equations.VEERG_15_1_1_1__1_EmissionsFromPurchasedLivestock_Variable()</f>
        <v>E</v>
      </c>
    </row>
    <row r="11" spans="1:41" ht="20.100000000000001" customHeight="1" x14ac:dyDescent="0.2">
      <c r="A11" s="5" t="str">
        <f>HYPERLINK("#'Input - Poultry'!A1", "Poultry")</f>
        <v>Poultry</v>
      </c>
      <c r="D11" s="75" t="s">
        <v>118</v>
      </c>
      <c r="E11" s="9" t="str" cm="1">
        <f t="array" ref="E11">Scope3_Equations.VEERG_15_1_1_1__1_EmissionsFromPurchasedLivestock_Unit()</f>
        <v>t CO2e</v>
      </c>
    </row>
    <row r="12" spans="1:41" ht="20.100000000000001" customHeight="1" x14ac:dyDescent="0.2">
      <c r="A12" s="5" t="str">
        <f>HYPERLINK("#'Input - Livestock sales'!A1", "Livestock sales")</f>
        <v>Livestock sales</v>
      </c>
    </row>
    <row r="13" spans="1:41" ht="20.100000000000001" customHeight="1" x14ac:dyDescent="0.2">
      <c r="A13" s="5" t="str">
        <f>HYPERLINK("#'Input - Poultry purchases'!A1", "Poultry purchases")</f>
        <v>Poultry purchases</v>
      </c>
      <c r="D13" s="113" t="str" cm="1">
        <f t="array" ref="D13:E17">_xlfn.CHOOSECOLS(Scope3_Equations.VEERG_15_1_1_1__1_EmissionsFromPurchasedLivestock_Arguments(),1,2)</f>
        <v>N_co</v>
      </c>
      <c r="E13" s="122" t="str">
        <v>number of animals purchased in livestock type c from origin o</v>
      </c>
      <c r="F13" s="123"/>
      <c r="G13" s="113" t="str" cm="1">
        <f t="array" ref="G13:H17">_xlfn.CHOOSECOLS(Scope3_Equations.VEERG_15_1_1_1__1_EmissionsFromPurchasedLivestock_Arguments(),3,4)</f>
        <v>head</v>
      </c>
      <c r="H13" s="249" t="str">
        <v>Input</v>
      </c>
    </row>
    <row r="14" spans="1:41" ht="20.100000000000001" customHeight="1" x14ac:dyDescent="0.2">
      <c r="A14" s="5" t="str">
        <f>HYPERLINK("#'Input - Fuel'!A1", "Fuel")</f>
        <v>Fuel</v>
      </c>
      <c r="D14" s="113" t="str">
        <v>W_co</v>
      </c>
      <c r="E14" s="122" t="str">
        <v>average liveweight of purchased livestock at point of purchase</v>
      </c>
      <c r="F14" s="123"/>
      <c r="G14" s="113" t="str">
        <v>kg/head</v>
      </c>
      <c r="H14" s="249" t="str">
        <v>Input</v>
      </c>
    </row>
    <row r="15" spans="1:41" ht="20.100000000000001" customHeight="1" x14ac:dyDescent="0.2">
      <c r="A15" s="5" t="str">
        <f>HYPERLINK("#'Input - Electricity'!A1", "Electricity")</f>
        <v>Electricity</v>
      </c>
      <c r="D15" s="113" t="str">
        <v>EF_co</v>
      </c>
      <c r="E15" s="122" t="str">
        <v>emission factor per livestock type and origin</v>
      </c>
      <c r="F15" s="123"/>
      <c r="G15" s="113" t="str">
        <v>kg CO2e/kg</v>
      </c>
      <c r="H15" s="115" t="str">
        <v>Constant</v>
      </c>
    </row>
    <row r="16" spans="1:41" ht="20.100000000000001" customHeight="1" x14ac:dyDescent="0.2">
      <c r="A16" s="5" t="str">
        <f>HYPERLINK("#'Input - Common farm inputs'!A1", "Common farm inputs")</f>
        <v>Common farm inputs</v>
      </c>
      <c r="D16" s="113" t="str">
        <v>c</v>
      </c>
      <c r="E16" s="122" t="str">
        <v>livestock type</v>
      </c>
      <c r="F16" s="123"/>
      <c r="G16" s="113" t="str">
        <v/>
      </c>
      <c r="H16" s="249" t="str">
        <v>Input</v>
      </c>
    </row>
    <row r="17" spans="1:16" ht="20.100000000000001" customHeight="1" x14ac:dyDescent="0.2">
      <c r="A17" s="5" t="str">
        <f>HYPERLINK("#'Input - Livestock farm Inputs'!A1", "Livestock farm Inputs")</f>
        <v>Livestock farm Inputs</v>
      </c>
      <c r="D17" s="113" t="str">
        <v>o</v>
      </c>
      <c r="E17" s="122" t="str">
        <v>origin</v>
      </c>
      <c r="F17" s="123"/>
      <c r="G17" s="113" t="str">
        <v/>
      </c>
      <c r="H17" s="249" t="str">
        <v>Input</v>
      </c>
    </row>
    <row r="18" spans="1:16" ht="20.100000000000001" customHeight="1" x14ac:dyDescent="0.2">
      <c r="A18" s="5" t="str">
        <f>HYPERLINK("#'Input - Freight'!A1", "Freight")</f>
        <v>Freight</v>
      </c>
    </row>
    <row r="19" spans="1:16" ht="20.100000000000001" customHeight="1" x14ac:dyDescent="0.2">
      <c r="A19" s="5" t="str">
        <f>HYPERLINK("#'Input - Solid waste'!A1", "Solid waste")</f>
        <v>Solid waste</v>
      </c>
      <c r="D19" s="35" t="s">
        <v>1033</v>
      </c>
      <c r="E19" s="37"/>
      <c r="F19" s="38"/>
    </row>
    <row r="20" spans="1:16" ht="20.100000000000001" customHeight="1" x14ac:dyDescent="0.2">
      <c r="A20" s="5" t="str">
        <f>HYPERLINK("#'Input - Manure sent off-site'!A1", "Manure sent off-site")</f>
        <v>Manure sent off-site</v>
      </c>
    </row>
    <row r="21" spans="1:16" ht="20.100000000000001" customHeight="1" x14ac:dyDescent="0.2">
      <c r="A21" s="5" t="str">
        <f>HYPERLINK("#'Input - Data quality'!A1", "Data quality")</f>
        <v>Data quality</v>
      </c>
      <c r="D21" s="244" t="s">
        <v>1034</v>
      </c>
    </row>
    <row r="22" spans="1:16" ht="20.100000000000001" customHeight="1" x14ac:dyDescent="0.2">
      <c r="A22" s="5" t="str">
        <f>HYPERLINK("#'Input - Fert Prod System'!A1", "Fert Prod System")</f>
        <v>Fert Prod System</v>
      </c>
      <c r="D22" s="78" t="s">
        <v>1035</v>
      </c>
      <c r="E22" s="250" t="s">
        <v>1036</v>
      </c>
      <c r="F22" s="250" t="s">
        <v>1037</v>
      </c>
      <c r="G22" s="250" t="s">
        <v>1038</v>
      </c>
      <c r="H22" s="250" t="s">
        <v>1039</v>
      </c>
      <c r="I22" s="120" t="s">
        <v>1040</v>
      </c>
      <c r="J22" s="120" t="s">
        <v>1041</v>
      </c>
      <c r="K22" s="250" t="s">
        <v>1042</v>
      </c>
      <c r="L22" s="78" t="s">
        <v>1043</v>
      </c>
      <c r="M22" s="120" t="s">
        <v>1044</v>
      </c>
      <c r="N22" s="78" t="s">
        <v>1045</v>
      </c>
      <c r="O22" s="78" t="s">
        <v>1046</v>
      </c>
      <c r="P22" s="78" t="s">
        <v>1047</v>
      </c>
    </row>
    <row r="23" spans="1:16" ht="20.100000000000001" customHeight="1" x14ac:dyDescent="0.2">
      <c r="A23" s="5" t="str">
        <f>HYPERLINK("#'Input - Fertiliser'!A1", "Fertiliser")</f>
        <v>Fertiliser</v>
      </c>
      <c r="D23" s="15"/>
      <c r="E23" s="15"/>
      <c r="F23" s="15"/>
      <c r="G23" s="15"/>
      <c r="H23" s="15"/>
      <c r="I23" s="15" cm="1">
        <f t="array" ref="I23">Common_InputFunctions.Utility_LookupValueInTableTwoColumns(E23,F23,Table_SourceData_Scope3_Animals[Product],Table_SourceData_Scope3_Animals[Region of origin],Table_SourceData_Scope3_Animals[Emissions intensity], 0)</f>
        <v>0</v>
      </c>
      <c r="J23" s="251" cm="1">
        <f t="array" ref="J23">Scope3_Equations.VEERG_15_1_1_1__1_EmissionsFromPurchasedLivestock(G23,H23,I23)</f>
        <v>0</v>
      </c>
      <c r="K23" s="15"/>
      <c r="L23" s="74">
        <v>20</v>
      </c>
      <c r="M23" s="251" cm="1">
        <f t="array" ref="M23">Scope3_Equations.VEERG_15_1_1_1__1_EmissionsFromPurchasedLivestock(G23,K23,IF(L23, L23, I23))</f>
        <v>0</v>
      </c>
      <c r="N23" s="33" t="s">
        <v>1048</v>
      </c>
      <c r="O23" s="13" t="s">
        <v>1049</v>
      </c>
      <c r="P23" t="s">
        <v>1050</v>
      </c>
    </row>
    <row r="24" spans="1:16" ht="20.100000000000001" customHeight="1" x14ac:dyDescent="0.2">
      <c r="D24" s="15"/>
      <c r="E24" s="15"/>
      <c r="F24" s="15"/>
      <c r="G24" s="15"/>
      <c r="H24" s="15"/>
      <c r="I24" s="15" cm="1">
        <f t="array" ref="I24">Common_InputFunctions.Utility_LookupValueInTableTwoColumns(E24,F24,Table_SourceData_Scope3_Animals[Product],Table_SourceData_Scope3_Animals[Region of origin],Table_SourceData_Scope3_Animals[Emissions intensity], 0)</f>
        <v>0</v>
      </c>
      <c r="J24" s="251" cm="1">
        <f t="array" ref="J24">Scope3_Equations.VEERG_15_1_1_1__1_EmissionsFromPurchasedLivestock(G24,H24,I24)</f>
        <v>0</v>
      </c>
      <c r="K24" s="15"/>
      <c r="L24" s="74">
        <v>13</v>
      </c>
      <c r="M24" s="251" cm="1">
        <f t="array" ref="M24">Scope3_Equations.VEERG_15_1_1_1__1_EmissionsFromPurchasedLivestock(G24,K24,IF(L24, L24, I24))</f>
        <v>0</v>
      </c>
      <c r="N24" s="33"/>
      <c r="O24" s="13"/>
      <c r="P24" s="33"/>
    </row>
    <row r="25" spans="1:16" ht="20.100000000000001" customHeight="1" x14ac:dyDescent="0.2">
      <c r="D25" s="15"/>
      <c r="E25" s="15"/>
      <c r="F25" s="15"/>
      <c r="G25" s="15"/>
      <c r="H25" s="15"/>
      <c r="I25" s="15" cm="1">
        <f t="array" ref="I25">Common_InputFunctions.Utility_LookupValueInTableTwoColumns(E25,F25,Table_SourceData_Scope3_Animals[Product],Table_SourceData_Scope3_Animals[Region of origin],Table_SourceData_Scope3_Animals[Emissions intensity], 0)</f>
        <v>0</v>
      </c>
      <c r="J25" s="251" cm="1">
        <f t="array" ref="J25">Scope3_Equations.VEERG_15_1_1_1__1_EmissionsFromPurchasedLivestock(G25,H25,I25)</f>
        <v>0</v>
      </c>
      <c r="K25" s="15"/>
      <c r="L25" s="74"/>
      <c r="M25" s="251" cm="1">
        <f t="array" ref="M25">Scope3_Equations.VEERG_15_1_1_1__1_EmissionsFromPurchasedLivestock(G25,K25,IF(L25, L25, I25))</f>
        <v>0</v>
      </c>
      <c r="N25" s="33"/>
      <c r="O25" s="13"/>
      <c r="P25" s="33"/>
    </row>
    <row r="26" spans="1:16" ht="20.100000000000001" customHeight="1" x14ac:dyDescent="0.2">
      <c r="A26" s="6" t="s">
        <v>2</v>
      </c>
      <c r="D26" s="15"/>
      <c r="E26" s="15"/>
      <c r="F26" s="15"/>
      <c r="G26" s="15"/>
      <c r="H26" s="15"/>
      <c r="I26" s="15" cm="1">
        <f t="array" ref="I26">Common_InputFunctions.Utility_LookupValueInTableTwoColumns(E26,F26,Table_SourceData_Scope3_Animals[Product],Table_SourceData_Scope3_Animals[Region of origin],Table_SourceData_Scope3_Animals[Emissions intensity], 0)</f>
        <v>0</v>
      </c>
      <c r="J26" s="251" cm="1">
        <f t="array" ref="J26">Scope3_Equations.VEERG_15_1_1_1__1_EmissionsFromPurchasedLivestock(G26,H26,I26)</f>
        <v>0</v>
      </c>
      <c r="K26" s="15"/>
      <c r="L26" s="74"/>
      <c r="M26" s="251" cm="1">
        <f t="array" ref="M26">Scope3_Equations.VEERG_15_1_1_1__1_EmissionsFromPurchasedLivestock(G26,K26,IF(L26, L26, I26))</f>
        <v>0</v>
      </c>
      <c r="N26" s="33"/>
      <c r="O26" s="13"/>
      <c r="P26" s="33"/>
    </row>
    <row r="27" spans="1:16" ht="20.100000000000001" customHeight="1" x14ac:dyDescent="0.2">
      <c r="A27" s="5" t="str">
        <f>HYPERLINK("#'4.6.1.1-2 Methane'!A1", "4.6.1.1-2 Manure Methane")</f>
        <v>4.6.1.1-2 Manure Methane</v>
      </c>
      <c r="D27" s="15"/>
      <c r="E27" s="15"/>
      <c r="F27" s="15"/>
      <c r="G27" s="15"/>
      <c r="H27" s="15"/>
      <c r="I27" s="15" cm="1">
        <f t="array" ref="I27">Common_InputFunctions.Utility_LookupValueInTableTwoColumns(E27,F27,Table_SourceData_Scope3_Animals[Product],Table_SourceData_Scope3_Animals[Region of origin],Table_SourceData_Scope3_Animals[Emissions intensity], 0)</f>
        <v>0</v>
      </c>
      <c r="J27" s="251" cm="1">
        <f t="array" ref="J27">Scope3_Equations.VEERG_15_1_1_1__1_EmissionsFromPurchasedLivestock(G27,H27,I27)</f>
        <v>0</v>
      </c>
      <c r="K27" s="15"/>
      <c r="L27" s="74"/>
      <c r="M27" s="251" cm="1">
        <f t="array" ref="M27">Scope3_Equations.VEERG_15_1_1_1__1_EmissionsFromPurchasedLivestock(G27,K27,IF(L27, L27, I27))</f>
        <v>0</v>
      </c>
      <c r="N27" s="33"/>
      <c r="O27" s="13"/>
      <c r="P27" s="33"/>
    </row>
    <row r="28" spans="1:16" ht="20.100000000000001" customHeight="1" x14ac:dyDescent="0.2">
      <c r="A28" s="5" t="str">
        <f>HYPERLINK("#'4.6.1.3-4 Direct N20'!A1", "4.6.1.3-4 Manure Direct N2O")</f>
        <v>4.6.1.3-4 Manure Direct N2O</v>
      </c>
      <c r="D28" s="15"/>
      <c r="E28" s="15"/>
      <c r="F28" s="15"/>
      <c r="G28" s="15"/>
      <c r="H28" s="15"/>
      <c r="I28" s="15" cm="1">
        <f t="array" ref="I28">Common_InputFunctions.Utility_LookupValueInTableTwoColumns(E28,F28,Table_SourceData_Scope3_Animals[Product],Table_SourceData_Scope3_Animals[Region of origin],Table_SourceData_Scope3_Animals[Emissions intensity], 0)</f>
        <v>0</v>
      </c>
      <c r="J28" s="251" cm="1">
        <f t="array" ref="J28">Scope3_Equations.VEERG_15_1_1_1__1_EmissionsFromPurchasedLivestock(G28,H28,I28)</f>
        <v>0</v>
      </c>
      <c r="K28" s="15"/>
      <c r="L28" s="74"/>
      <c r="M28" s="251" cm="1">
        <f t="array" ref="M28">Scope3_Equations.VEERG_15_1_1_1__1_EmissionsFromPurchasedLivestock(G28,K28,IF(L28, L28, I28))</f>
        <v>0</v>
      </c>
      <c r="N28" s="33"/>
      <c r="O28" s="13"/>
      <c r="P28" s="33"/>
    </row>
    <row r="29" spans="1:16" ht="20.100000000000001" customHeight="1" x14ac:dyDescent="0.2">
      <c r="A29" s="5" t="str">
        <f>HYPERLINK("#'4.6.1.5-6 Atmos Dep'!A1", "4.6.1.5-6 Manure Atmos Dep")</f>
        <v>4.6.1.5-6 Manure Atmos Dep</v>
      </c>
      <c r="D29" s="15"/>
      <c r="E29" s="15"/>
      <c r="F29" s="15"/>
      <c r="G29" s="15"/>
      <c r="H29" s="15"/>
      <c r="I29" s="15" cm="1">
        <f t="array" ref="I29">Common_InputFunctions.Utility_LookupValueInTableTwoColumns(E29,F29,Table_SourceData_Scope3_Animals[Product],Table_SourceData_Scope3_Animals[Region of origin],Table_SourceData_Scope3_Animals[Emissions intensity], 0)</f>
        <v>0</v>
      </c>
      <c r="J29" s="251" cm="1">
        <f t="array" ref="J29">Scope3_Equations.VEERG_15_1_1_1__1_EmissionsFromPurchasedLivestock(G29,H29,I29)</f>
        <v>0</v>
      </c>
      <c r="K29" s="15"/>
      <c r="L29" s="74"/>
      <c r="M29" s="251" cm="1">
        <f t="array" ref="M29">Scope3_Equations.VEERG_15_1_1_1__1_EmissionsFromPurchasedLivestock(G29,K29,IF(L29, L29, I29))</f>
        <v>0</v>
      </c>
      <c r="N29" s="33"/>
      <c r="O29" s="13"/>
      <c r="P29" s="33"/>
    </row>
    <row r="30" spans="1:16" ht="20.100000000000001" customHeight="1" x14ac:dyDescent="0.2">
      <c r="A30" s="5" t="str">
        <f>HYPERLINK("#'4.6.1.7-8 Leaching and runoff'!A1", "4.6.1.7-8 Manure Leaching and runoff")</f>
        <v>4.6.1.7-8 Manure Leaching and runoff</v>
      </c>
      <c r="D30" s="15"/>
      <c r="E30" s="15"/>
      <c r="F30" s="15"/>
      <c r="G30" s="15"/>
      <c r="H30" s="15"/>
      <c r="I30" s="15" cm="1">
        <f t="array" ref="I30">Common_InputFunctions.Utility_LookupValueInTableTwoColumns(E30,F30,Table_SourceData_Scope3_Animals[Product],Table_SourceData_Scope3_Animals[Region of origin],Table_SourceData_Scope3_Animals[Emissions intensity], 0)</f>
        <v>0</v>
      </c>
      <c r="J30" s="251" cm="1">
        <f t="array" ref="J30">Scope3_Equations.VEERG_15_1_1_1__1_EmissionsFromPurchasedLivestock(G30,H30,I30)</f>
        <v>0</v>
      </c>
      <c r="K30" s="15"/>
      <c r="L30" s="74"/>
      <c r="M30" s="251" cm="1">
        <f t="array" ref="M30">Scope3_Equations.VEERG_15_1_1_1__1_EmissionsFromPurchasedLivestock(G30,K30,IF(L30, L30, I30))</f>
        <v>0</v>
      </c>
      <c r="N30" s="33"/>
      <c r="O30" s="13"/>
      <c r="P30" s="33"/>
    </row>
    <row r="31" spans="1:16" ht="20.100000000000001" customHeight="1" x14ac:dyDescent="0.2">
      <c r="A31" s="5" t="str">
        <f>HYPERLINK("#'4.6.1.9 Manure applied to soils'!A1", "4.6.1.9 Manure applied to soils")</f>
        <v>4.6.1.9 Manure applied to soils</v>
      </c>
      <c r="D31" s="15"/>
      <c r="E31" s="15"/>
      <c r="F31" s="15"/>
      <c r="G31" s="15"/>
      <c r="H31" s="15"/>
      <c r="I31" s="15" cm="1">
        <f t="array" ref="I31">Common_InputFunctions.Utility_LookupValueInTableTwoColumns(E31,F31,Table_SourceData_Scope3_Animals[Product],Table_SourceData_Scope3_Animals[Region of origin],Table_SourceData_Scope3_Animals[Emissions intensity], 0)</f>
        <v>0</v>
      </c>
      <c r="J31" s="251" cm="1">
        <f t="array" ref="J31">Scope3_Equations.VEERG_15_1_1_1__1_EmissionsFromPurchasedLivestock(G31,H31,I31)</f>
        <v>0</v>
      </c>
      <c r="K31" s="15"/>
      <c r="L31" s="74"/>
      <c r="M31" s="251" cm="1">
        <f t="array" ref="M31">Scope3_Equations.VEERG_15_1_1_1__1_EmissionsFromPurchasedLivestock(G31,K31,IF(L31, L31, I31))</f>
        <v>0</v>
      </c>
      <c r="N31" s="33"/>
      <c r="O31" s="13"/>
      <c r="P31" s="33"/>
    </row>
    <row r="32" spans="1:16" ht="20.100000000000001" customHeight="1" x14ac:dyDescent="0.2">
      <c r="A32" s="5" t="str">
        <f>HYPERLINK("#'4.6.1.10-11 Soil direct N2O'!A1", "4.6.1.10-11 Soil direct N2O")</f>
        <v>4.6.1.10-11 Soil direct N2O</v>
      </c>
      <c r="D32" s="15"/>
      <c r="E32" s="15"/>
      <c r="F32" s="15"/>
      <c r="G32" s="15"/>
      <c r="H32" s="15"/>
      <c r="I32" s="15" cm="1">
        <f t="array" ref="I32">Common_InputFunctions.Utility_LookupValueInTableTwoColumns(E32,F32,Table_SourceData_Scope3_Animals[Product],Table_SourceData_Scope3_Animals[Region of origin],Table_SourceData_Scope3_Animals[Emissions intensity], 0)</f>
        <v>0</v>
      </c>
      <c r="J32" s="251" cm="1">
        <f t="array" ref="J32">Scope3_Equations.VEERG_15_1_1_1__1_EmissionsFromPurchasedLivestock(G32,H32,I32)</f>
        <v>0</v>
      </c>
      <c r="K32" s="15"/>
      <c r="L32" s="74"/>
      <c r="M32" s="251" cm="1">
        <f t="array" ref="M32">Scope3_Equations.VEERG_15_1_1_1__1_EmissionsFromPurchasedLivestock(G32,K32,IF(L32, L32, I32))</f>
        <v>0</v>
      </c>
      <c r="N32" s="33"/>
      <c r="O32" s="13"/>
      <c r="P32" s="33"/>
    </row>
    <row r="33" spans="1:13" ht="20.100000000000001" customHeight="1" x14ac:dyDescent="0.2">
      <c r="A33" s="5" t="str">
        <f>HYPERLINK("#'4.6.1.12-13 Soil atmos dep'!A1", "4.6.1.12-13 Soil atmos dep")</f>
        <v>4.6.1.12-13 Soil atmos dep</v>
      </c>
    </row>
    <row r="34" spans="1:13" ht="20.100000000000001" customHeight="1" x14ac:dyDescent="0.2">
      <c r="A34" s="5" t="str">
        <f>HYPERLINK("#'4.6.1.14-15 Soil leach runoff'!A1", "4.6.1.14-15 Soil leach runoff")</f>
        <v>4.6.1.14-15 Soil leach runoff</v>
      </c>
      <c r="D34" s="88" t="s">
        <v>1051</v>
      </c>
      <c r="E34" s="83">
        <f>SUM(J23:J32)</f>
        <v>0</v>
      </c>
      <c r="F34" s="89" t="str">
        <f>$E$11</f>
        <v>t CO2e</v>
      </c>
    </row>
    <row r="35" spans="1:13" ht="20.100000000000001" customHeight="1" x14ac:dyDescent="0.2">
      <c r="A35" s="5" t="str">
        <f>HYPERLINK("#'8.1.1.1-2 Transport fuel'!A1", "8.1.1.1-2 Transport fuel")</f>
        <v>8.1.1.1-2 Transport fuel</v>
      </c>
      <c r="D35" s="88" t="s">
        <v>1052</v>
      </c>
      <c r="E35" s="83">
        <f>SUM(M23:M32)</f>
        <v>0</v>
      </c>
      <c r="F35" s="89" t="str">
        <f>$E$11</f>
        <v>t CO2e</v>
      </c>
    </row>
    <row r="36" spans="1:13" ht="20.100000000000001" customHeight="1" x14ac:dyDescent="0.2">
      <c r="A36" s="5" t="str">
        <f>HYPERLINK("#'8.2.1.1-2 Stationary fuel'!A1", "8.2.1.1-2 Stationary fuel")</f>
        <v>8.2.1.1-2 Stationary fuel</v>
      </c>
    </row>
    <row r="37" spans="1:13" ht="20.100000000000001" customHeight="1" x14ac:dyDescent="0.2">
      <c r="A37" s="5" t="str">
        <f>HYPERLINK("#'10.1.1-2 Solid waste treatment'!A1", "10.1.1.1-2 Solid waste")</f>
        <v>10.1.1.1-2 Solid waste</v>
      </c>
    </row>
    <row r="38" spans="1:13" ht="20.100000000000001" customHeight="1" x14ac:dyDescent="0.2">
      <c r="A38" s="5" t="str">
        <f>HYPERLINK("#'14.1.1-2 Purchased electricity'!A1", "14.1.1-2 Purchased electricity")</f>
        <v>14.1.1-2 Purchased electricity</v>
      </c>
      <c r="D38" s="244" t="s">
        <v>1053</v>
      </c>
    </row>
    <row r="39" spans="1:13" ht="20.100000000000001" customHeight="1" x14ac:dyDescent="0.2">
      <c r="A39" s="117" t="str">
        <f>HYPERLINK("#'15 Scope 3'!A1", "15 Scope 3")</f>
        <v>15 Scope 3</v>
      </c>
      <c r="D39" s="113" t="s">
        <v>1054</v>
      </c>
      <c r="E39" s="15" cm="1">
        <f t="array" ref="E39">Common_InputFunctions.Utility_LookupValueInTableNumber("Dairy cows", Table_SourceData_Scope3_Animals[Product],Table_SourceData_Scope3_Animals[Emissions intensity])</f>
        <v>4.41</v>
      </c>
    </row>
    <row r="40" spans="1:13" ht="20.100000000000001" customHeight="1" x14ac:dyDescent="0.2">
      <c r="A40" s="5" t="str">
        <f>HYPERLINK("#'Calcs - Manure sent off-site'!A1", "Calcs - Manure sent off-site")</f>
        <v>Calcs - Manure sent off-site</v>
      </c>
    </row>
    <row r="41" spans="1:13" ht="20.100000000000001" customHeight="1" x14ac:dyDescent="0.2">
      <c r="A41" s="5" t="str">
        <f>HYPERLINK("#'5.1.1.1-2 Inorganic fert N2O'!A1", "5.1.1.1-2 Inorganic fert N2O")</f>
        <v>5.1.1.1-2 Inorganic fert N2O</v>
      </c>
      <c r="D41" s="78" t="s">
        <v>1035</v>
      </c>
      <c r="E41" s="250" t="s">
        <v>1038</v>
      </c>
      <c r="F41" s="250" t="s">
        <v>1039</v>
      </c>
      <c r="G41" s="120" t="s">
        <v>1041</v>
      </c>
      <c r="H41" s="250" t="s">
        <v>1042</v>
      </c>
      <c r="I41" s="78" t="s">
        <v>1043</v>
      </c>
      <c r="J41" s="120" t="s">
        <v>1044</v>
      </c>
      <c r="K41" s="78" t="s">
        <v>1045</v>
      </c>
      <c r="L41" s="78" t="s">
        <v>1046</v>
      </c>
      <c r="M41" s="78" t="s">
        <v>1047</v>
      </c>
    </row>
    <row r="42" spans="1:13" ht="20.100000000000001" customHeight="1" x14ac:dyDescent="0.2">
      <c r="A42" s="5" t="str">
        <f>HYPERLINK("#'5.1.1.3-4 Inorganic fert CO2'!A1", "5.1.1.3-4 Inorganic fert CO2")</f>
        <v>5.1.1.3-4 Inorganic fert CO2</v>
      </c>
      <c r="D42" s="15"/>
      <c r="E42" s="15"/>
      <c r="F42" s="15"/>
      <c r="G42" s="251" cm="1">
        <f t="array" ref="G42">Scope3_Equations.VEERG_15_1_1_1__1_EmissionsFromPurchasedLivestock(E42,F42,$E$39)</f>
        <v>0</v>
      </c>
      <c r="H42" s="15"/>
      <c r="I42" s="74">
        <v>4</v>
      </c>
      <c r="J42" s="251" cm="1">
        <f t="array" ref="J42">Scope3_Equations.VEERG_15_1_1_1__1_EmissionsFromPurchasedLivestock(E42,H42,IF(I42,I42,$E$39))</f>
        <v>0</v>
      </c>
      <c r="K42" s="33" t="s">
        <v>1048</v>
      </c>
      <c r="L42" s="13" t="s">
        <v>1049</v>
      </c>
      <c r="M42" t="s">
        <v>1050</v>
      </c>
    </row>
    <row r="43" spans="1:13" ht="20.100000000000001" customHeight="1" x14ac:dyDescent="0.2">
      <c r="A43" s="5" t="str">
        <f>HYPERLINK("#'5.2.1.1-2 Organic Fert N2O'!A1", "5.2.1.1-2 Organic Fert N2O")</f>
        <v>5.2.1.1-2 Organic Fert N2O</v>
      </c>
      <c r="D43" s="15"/>
      <c r="E43" s="15"/>
      <c r="F43" s="15"/>
      <c r="G43" s="251" cm="1">
        <f t="array" ref="G43">Scope3_Equations.VEERG_15_1_1_1__1_EmissionsFromPurchasedLivestock(E43,F43,$E$39)</f>
        <v>0</v>
      </c>
      <c r="H43" s="15"/>
      <c r="I43" s="74"/>
      <c r="J43" s="251" cm="1">
        <f t="array" ref="J43">Scope3_Equations.VEERG_15_1_1_1__1_EmissionsFromPurchasedLivestock(E43,H43,IF(I43,I43,$E$39))</f>
        <v>0</v>
      </c>
      <c r="K43" s="33"/>
      <c r="L43" s="13"/>
      <c r="M43" s="33"/>
    </row>
    <row r="44" spans="1:13" ht="20.100000000000001" customHeight="1" x14ac:dyDescent="0.2">
      <c r="A44" s="5" t="str">
        <f>HYPERLINK("#'5.3.1.1-2 Lime CO2'!A1", "5.3.1.1-2 Lime CO2")</f>
        <v>5.3.1.1-2 Lime CO2</v>
      </c>
      <c r="D44" s="15"/>
      <c r="E44" s="15"/>
      <c r="F44" s="15"/>
      <c r="G44" s="251" cm="1">
        <f t="array" ref="G44">Scope3_Equations.VEERG_15_1_1_1__1_EmissionsFromPurchasedLivestock(E44,F44,$E$39)</f>
        <v>0</v>
      </c>
      <c r="H44" s="15"/>
      <c r="I44" s="74"/>
      <c r="J44" s="251" cm="1">
        <f t="array" ref="J44">Scope3_Equations.VEERG_15_1_1_1__1_EmissionsFromPurchasedLivestock(E44,H44,IF(I44,I44,$E$39))</f>
        <v>0</v>
      </c>
      <c r="K44" s="33"/>
      <c r="L44" s="13"/>
      <c r="M44" s="33"/>
    </row>
    <row r="45" spans="1:13" ht="20.100000000000001" customHeight="1" x14ac:dyDescent="0.2">
      <c r="A45" s="5" t="str">
        <f>HYPERLINK("#'5.4.1.1-4 Atmos deposition'!A1", "5.4.1.1-4 Atmos deposition")</f>
        <v>5.4.1.1-4 Atmos deposition</v>
      </c>
      <c r="D45" s="15"/>
      <c r="E45" s="15"/>
      <c r="F45" s="15"/>
      <c r="G45" s="251" cm="1">
        <f t="array" ref="G45">Scope3_Equations.VEERG_15_1_1_1__1_EmissionsFromPurchasedLivestock(E45,F45,$E$39)</f>
        <v>0</v>
      </c>
      <c r="H45" s="15"/>
      <c r="I45" s="74"/>
      <c r="J45" s="251" cm="1">
        <f t="array" ref="J45">Scope3_Equations.VEERG_15_1_1_1__1_EmissionsFromPurchasedLivestock(E45,H45,IF(I45,I45,$E$39))</f>
        <v>0</v>
      </c>
      <c r="K45" s="33"/>
      <c r="L45" s="13"/>
      <c r="M45" s="33"/>
    </row>
    <row r="46" spans="1:13" ht="20.100000000000001" customHeight="1" x14ac:dyDescent="0.2">
      <c r="A46" s="5" t="str">
        <f>HYPERLINK("#'5.5.1.1-2 Leaching and runoff'!A1", "5.5.1.1-2 Leaching and runoff")</f>
        <v>5.5.1.1-2 Leaching and runoff</v>
      </c>
      <c r="D46" s="15"/>
      <c r="E46" s="15"/>
      <c r="F46" s="15"/>
      <c r="G46" s="251" cm="1">
        <f t="array" ref="G46">Scope3_Equations.VEERG_15_1_1_1__1_EmissionsFromPurchasedLivestock(E46,F46,$E$39)</f>
        <v>0</v>
      </c>
      <c r="H46" s="15"/>
      <c r="I46" s="74"/>
      <c r="J46" s="251" cm="1">
        <f t="array" ref="J46">Scope3_Equations.VEERG_15_1_1_1__1_EmissionsFromPurchasedLivestock(E46,H46,IF(I46,I46,$E$39))</f>
        <v>0</v>
      </c>
      <c r="K46" s="33"/>
      <c r="L46" s="13"/>
      <c r="M46" s="33"/>
    </row>
    <row r="47" spans="1:13" ht="20.100000000000001" customHeight="1" x14ac:dyDescent="0.2">
      <c r="D47" s="15"/>
      <c r="E47" s="15"/>
      <c r="F47" s="15"/>
      <c r="G47" s="251" cm="1">
        <f t="array" ref="G47">Scope3_Equations.VEERG_15_1_1_1__1_EmissionsFromPurchasedLivestock(E47,F47,$E$39)</f>
        <v>0</v>
      </c>
      <c r="H47" s="15"/>
      <c r="I47" s="74"/>
      <c r="J47" s="251" cm="1">
        <f t="array" ref="J47">Scope3_Equations.VEERG_15_1_1_1__1_EmissionsFromPurchasedLivestock(E47,H47,IF(I47,I47,$E$39))</f>
        <v>0</v>
      </c>
      <c r="K47" s="33"/>
      <c r="L47" s="13"/>
      <c r="M47" s="33"/>
    </row>
    <row r="48" spans="1:13" ht="20.100000000000001" customHeight="1" x14ac:dyDescent="0.2">
      <c r="D48" s="15"/>
      <c r="E48" s="15"/>
      <c r="F48" s="15"/>
      <c r="G48" s="251" cm="1">
        <f t="array" ref="G48">Scope3_Equations.VEERG_15_1_1_1__1_EmissionsFromPurchasedLivestock(E48,F48,$E$39)</f>
        <v>0</v>
      </c>
      <c r="H48" s="15"/>
      <c r="I48" s="74"/>
      <c r="J48" s="251" cm="1">
        <f t="array" ref="J48">Scope3_Equations.VEERG_15_1_1_1__1_EmissionsFromPurchasedLivestock(E48,H48,IF(I48,I48,$E$39))</f>
        <v>0</v>
      </c>
      <c r="K48" s="33"/>
      <c r="L48" s="13"/>
      <c r="M48" s="33"/>
    </row>
    <row r="49" spans="1:13" ht="20.100000000000001" customHeight="1" x14ac:dyDescent="0.2">
      <c r="A49" s="80" t="s">
        <v>1</v>
      </c>
      <c r="D49" s="15"/>
      <c r="E49" s="15"/>
      <c r="F49" s="15"/>
      <c r="G49" s="251" cm="1">
        <f t="array" ref="G49">Scope3_Equations.VEERG_15_1_1_1__1_EmissionsFromPurchasedLivestock(E49,F49,$E$39)</f>
        <v>0</v>
      </c>
      <c r="H49" s="15"/>
      <c r="I49" s="74"/>
      <c r="J49" s="251" cm="1">
        <f t="array" ref="J49">Scope3_Equations.VEERG_15_1_1_1__1_EmissionsFromPurchasedLivestock(E49,H49,IF(I49,I49,$E$39))</f>
        <v>0</v>
      </c>
      <c r="K49" s="33"/>
      <c r="L49" s="13"/>
      <c r="M49" s="33"/>
    </row>
    <row r="50" spans="1:13" ht="20.100000000000001" customHeight="1" x14ac:dyDescent="0.2">
      <c r="A50" s="5" t="str">
        <f>HYPERLINK("#'Constants - Poultry'!A1", "Constants - Poultry")</f>
        <v>Constants - Poultry</v>
      </c>
      <c r="D50" s="15"/>
      <c r="E50" s="15"/>
      <c r="F50" s="15"/>
      <c r="G50" s="251" cm="1">
        <f t="array" ref="G50">Scope3_Equations.VEERG_15_1_1_1__1_EmissionsFromPurchasedLivestock(E50,F50,$E$39)</f>
        <v>0</v>
      </c>
      <c r="H50" s="15"/>
      <c r="I50" s="74"/>
      <c r="J50" s="251" cm="1">
        <f t="array" ref="J50">Scope3_Equations.VEERG_15_1_1_1__1_EmissionsFromPurchasedLivestock(E50,H50,IF(I50,I50,$E$39))</f>
        <v>0</v>
      </c>
      <c r="K50" s="33"/>
      <c r="L50" s="13"/>
      <c r="M50" s="33"/>
    </row>
    <row r="51" spans="1:13" ht="20.100000000000001" customHeight="1" x14ac:dyDescent="0.2">
      <c r="A51" s="5" t="str">
        <f>HYPERLINK("#'Constants - Common livestock'!A1", "Constants - Common Livestock")</f>
        <v>Constants - Common Livestock</v>
      </c>
      <c r="D51" s="15"/>
      <c r="E51" s="15"/>
      <c r="F51" s="15"/>
      <c r="G51" s="251" cm="1">
        <f t="array" ref="G51">Scope3_Equations.VEERG_15_1_1_1__1_EmissionsFromPurchasedLivestock(E51,F51,$E$39)</f>
        <v>0</v>
      </c>
      <c r="H51" s="15"/>
      <c r="I51" s="74"/>
      <c r="J51" s="251" cm="1">
        <f t="array" ref="J51">Scope3_Equations.VEERG_15_1_1_1__1_EmissionsFromPurchasedLivestock(E51,H51,IF(I51,I51,$E$39))</f>
        <v>0</v>
      </c>
      <c r="K51" s="33"/>
      <c r="L51" s="13"/>
      <c r="M51" s="33"/>
    </row>
    <row r="52" spans="1:13" ht="20.100000000000001" customHeight="1" x14ac:dyDescent="0.2">
      <c r="A52" s="5" t="str">
        <f>HYPERLINK("#'Constants - Electricity'!A1", "Constants - Electricity")</f>
        <v>Constants - Electricity</v>
      </c>
    </row>
    <row r="53" spans="1:13" ht="20.100000000000001" customHeight="1" x14ac:dyDescent="0.2">
      <c r="A53" s="5" t="str">
        <f>HYPERLINK("#'Constants - Fertiliser'!A1", "Constants - Fertiliser")</f>
        <v>Constants - Fertiliser</v>
      </c>
      <c r="D53" s="88" t="s">
        <v>1055</v>
      </c>
      <c r="E53" s="83">
        <f>SUM(G42:G51)</f>
        <v>0</v>
      </c>
      <c r="F53" s="89" t="str">
        <f>$E$11</f>
        <v>t CO2e</v>
      </c>
    </row>
    <row r="54" spans="1:13" ht="20.100000000000001" customHeight="1" x14ac:dyDescent="0.2">
      <c r="A54" s="5" t="str">
        <f>HYPERLINK("#'Constants - Fuel'!A1", "Constants - Fuel")</f>
        <v>Constants - Fuel</v>
      </c>
      <c r="D54" s="88" t="s">
        <v>1056</v>
      </c>
      <c r="E54" s="83">
        <f>SUM(J42:J51)</f>
        <v>0</v>
      </c>
      <c r="F54" s="89" t="str">
        <f>$E$11</f>
        <v>t CO2e</v>
      </c>
    </row>
    <row r="55" spans="1:13" ht="20.100000000000001" customHeight="1" x14ac:dyDescent="0.2">
      <c r="A55" s="5" t="str">
        <f>HYPERLINK("#'Constants - Scope 3'!A1", "Constants - Scope 3")</f>
        <v>Constants - Scope 3</v>
      </c>
    </row>
    <row r="56" spans="1:13" ht="20.100000000000001" customHeight="1" x14ac:dyDescent="0.2">
      <c r="A56" s="5" t="str">
        <f>HYPERLINK("#'Constants - Solid Waste'!A1", "Constants - Solid Waste")</f>
        <v>Constants - Solid Waste</v>
      </c>
    </row>
    <row r="57" spans="1:13" ht="20.100000000000001" customHeight="1" x14ac:dyDescent="0.2">
      <c r="A57" s="5" t="str">
        <f>HYPERLINK("#'Constants - Common'!A1", "Constants - Common")</f>
        <v>Constants - Common</v>
      </c>
      <c r="D57" s="244" t="s">
        <v>1057</v>
      </c>
    </row>
    <row r="58" spans="1:13" ht="20.100000000000001" customHeight="1" x14ac:dyDescent="0.2">
      <c r="D58" s="113" t="s">
        <v>1054</v>
      </c>
      <c r="E58" s="15" cm="1">
        <f t="array" ref="E58">Common_InputFunctions.Utility_LookupValueInTableNumber("Pigs", Table_SourceData_Scope3_Animals[Product],Table_SourceData_Scope3_Animals[Emissions intensity])</f>
        <v>3.38</v>
      </c>
    </row>
    <row r="60" spans="1:13" ht="20.100000000000001" customHeight="1" x14ac:dyDescent="0.2">
      <c r="D60" s="78" t="s">
        <v>1035</v>
      </c>
      <c r="E60" s="250" t="s">
        <v>1038</v>
      </c>
      <c r="F60" s="250" t="s">
        <v>1039</v>
      </c>
      <c r="G60" s="120" t="s">
        <v>1041</v>
      </c>
      <c r="H60" s="250" t="s">
        <v>1042</v>
      </c>
      <c r="I60" s="78" t="s">
        <v>1043</v>
      </c>
      <c r="J60" s="120" t="s">
        <v>1044</v>
      </c>
      <c r="K60" s="78" t="s">
        <v>1045</v>
      </c>
      <c r="L60" s="78" t="s">
        <v>1046</v>
      </c>
      <c r="M60" s="78" t="s">
        <v>1047</v>
      </c>
    </row>
    <row r="61" spans="1:13" ht="20.100000000000001" customHeight="1" x14ac:dyDescent="0.2">
      <c r="D61" s="15"/>
      <c r="E61" s="15"/>
      <c r="F61" s="15"/>
      <c r="G61" s="251" cm="1">
        <f t="array" ref="G61">Scope3_Equations.VEERG_15_1_1_1__1_EmissionsFromPurchasedLivestock(E61,F61,$E$58)</f>
        <v>0</v>
      </c>
      <c r="H61" s="15"/>
      <c r="I61" s="74">
        <v>3.38</v>
      </c>
      <c r="J61" s="251" cm="1">
        <f t="array" ref="J61">Scope3_Equations.VEERG_15_1_1_1__1_EmissionsFromPurchasedLivestock(E61,H61,IF(I61, I61,$E$58))</f>
        <v>0</v>
      </c>
      <c r="K61" s="33"/>
      <c r="L61" s="13"/>
      <c r="M61"/>
    </row>
    <row r="62" spans="1:13" ht="20.100000000000001" customHeight="1" x14ac:dyDescent="0.2">
      <c r="D62" s="15"/>
      <c r="E62" s="15"/>
      <c r="F62" s="15"/>
      <c r="G62" s="251" cm="1">
        <f t="array" ref="G62">Scope3_Equations.VEERG_15_1_1_1__1_EmissionsFromPurchasedLivestock(E62,F62,$E$58)</f>
        <v>0</v>
      </c>
      <c r="H62" s="15"/>
      <c r="I62" s="74">
        <v>3.3</v>
      </c>
      <c r="J62" s="251" cm="1">
        <f t="array" ref="J62">Scope3_Equations.VEERG_15_1_1_1__1_EmissionsFromPurchasedLivestock(E62,H62,IF(I62, I62,$E$58))</f>
        <v>0</v>
      </c>
      <c r="K62" s="33"/>
      <c r="L62" s="13"/>
      <c r="M62" s="33"/>
    </row>
    <row r="63" spans="1:13" ht="20.100000000000001" customHeight="1" x14ac:dyDescent="0.2">
      <c r="D63" s="15"/>
      <c r="E63" s="15"/>
      <c r="F63" s="15"/>
      <c r="G63" s="251" cm="1">
        <f t="array" ref="G63">Scope3_Equations.VEERG_15_1_1_1__1_EmissionsFromPurchasedLivestock(E63,F63,$E$58)</f>
        <v>0</v>
      </c>
      <c r="H63" s="15"/>
      <c r="I63" s="74"/>
      <c r="J63" s="251" cm="1">
        <f t="array" ref="J63">Scope3_Equations.VEERG_15_1_1_1__1_EmissionsFromPurchasedLivestock(E63,H63,IF(I63, I63,$E$58))</f>
        <v>0</v>
      </c>
      <c r="K63" s="33"/>
      <c r="L63" s="13"/>
      <c r="M63" s="33"/>
    </row>
    <row r="64" spans="1:13" ht="20.100000000000001" customHeight="1" x14ac:dyDescent="0.2">
      <c r="D64" s="15"/>
      <c r="E64" s="15"/>
      <c r="F64" s="15"/>
      <c r="G64" s="251" cm="1">
        <f t="array" ref="G64">Scope3_Equations.VEERG_15_1_1_1__1_EmissionsFromPurchasedLivestock(E64,F64,$E$58)</f>
        <v>0</v>
      </c>
      <c r="H64" s="15"/>
      <c r="I64" s="74"/>
      <c r="J64" s="251" cm="1">
        <f t="array" ref="J64">Scope3_Equations.VEERG_15_1_1_1__1_EmissionsFromPurchasedLivestock(E64,H64,IF(I64, I64,$E$58))</f>
        <v>0</v>
      </c>
      <c r="K64" s="33"/>
      <c r="L64" s="13"/>
      <c r="M64" s="33"/>
    </row>
    <row r="65" spans="1:13" ht="20.100000000000001" customHeight="1" x14ac:dyDescent="0.2">
      <c r="D65" s="15"/>
      <c r="E65" s="15"/>
      <c r="F65" s="15"/>
      <c r="G65" s="251" cm="1">
        <f t="array" ref="G65">Scope3_Equations.VEERG_15_1_1_1__1_EmissionsFromPurchasedLivestock(E65,F65,$E$58)</f>
        <v>0</v>
      </c>
      <c r="H65" s="15"/>
      <c r="I65" s="74"/>
      <c r="J65" s="251" cm="1">
        <f t="array" ref="J65">Scope3_Equations.VEERG_15_1_1_1__1_EmissionsFromPurchasedLivestock(E65,H65,IF(I65, I65,$E$58))</f>
        <v>0</v>
      </c>
      <c r="K65" s="33"/>
      <c r="L65" s="13"/>
      <c r="M65" s="33"/>
    </row>
    <row r="66" spans="1:13" ht="20.100000000000001" customHeight="1" x14ac:dyDescent="0.2">
      <c r="D66" s="15"/>
      <c r="E66" s="15"/>
      <c r="F66" s="15"/>
      <c r="G66" s="251" cm="1">
        <f t="array" ref="G66">Scope3_Equations.VEERG_15_1_1_1__1_EmissionsFromPurchasedLivestock(E66,F66,$E$58)</f>
        <v>0</v>
      </c>
      <c r="H66" s="15"/>
      <c r="I66" s="74"/>
      <c r="J66" s="251" cm="1">
        <f t="array" ref="J66">Scope3_Equations.VEERG_15_1_1_1__1_EmissionsFromPurchasedLivestock(E66,H66,IF(I66, I66,$E$58))</f>
        <v>0</v>
      </c>
      <c r="K66" s="33"/>
      <c r="L66" s="13"/>
      <c r="M66" s="33"/>
    </row>
    <row r="67" spans="1:13" ht="20.100000000000001" customHeight="1" x14ac:dyDescent="0.2">
      <c r="D67" s="15"/>
      <c r="E67" s="15"/>
      <c r="F67" s="15"/>
      <c r="G67" s="251" cm="1">
        <f t="array" ref="G67">Scope3_Equations.VEERG_15_1_1_1__1_EmissionsFromPurchasedLivestock(E67,F67,$E$58)</f>
        <v>0</v>
      </c>
      <c r="H67" s="15"/>
      <c r="I67" s="74"/>
      <c r="J67" s="251" cm="1">
        <f t="array" ref="J67">Scope3_Equations.VEERG_15_1_1_1__1_EmissionsFromPurchasedLivestock(E67,H67,IF(I67, I67,$E$58))</f>
        <v>0</v>
      </c>
      <c r="K67" s="33"/>
      <c r="L67" s="13"/>
      <c r="M67" s="33"/>
    </row>
    <row r="68" spans="1:13" ht="20.100000000000001" customHeight="1" x14ac:dyDescent="0.2">
      <c r="A68" s="79" t="str">
        <f>HYPERLINK("#A1", "▲ Back to top")</f>
        <v>▲ Back to top</v>
      </c>
      <c r="D68" s="15"/>
      <c r="E68" s="15"/>
      <c r="F68" s="15"/>
      <c r="G68" s="251" cm="1">
        <f t="array" ref="G68">Scope3_Equations.VEERG_15_1_1_1__1_EmissionsFromPurchasedLivestock(E68,F68,$E$58)</f>
        <v>0</v>
      </c>
      <c r="H68" s="15"/>
      <c r="I68" s="74"/>
      <c r="J68" s="251" cm="1">
        <f t="array" ref="J68">Scope3_Equations.VEERG_15_1_1_1__1_EmissionsFromPurchasedLivestock(E68,H68,IF(I68, I68,$E$58))</f>
        <v>0</v>
      </c>
      <c r="K68" s="33"/>
      <c r="L68" s="13"/>
      <c r="M68" s="33"/>
    </row>
    <row r="69" spans="1:13" ht="20.100000000000001" customHeight="1" x14ac:dyDescent="0.2">
      <c r="D69" s="15"/>
      <c r="E69" s="15"/>
      <c r="F69" s="15"/>
      <c r="G69" s="251" cm="1">
        <f t="array" ref="G69">Scope3_Equations.VEERG_15_1_1_1__1_EmissionsFromPurchasedLivestock(E69,F69,$E$58)</f>
        <v>0</v>
      </c>
      <c r="H69" s="15"/>
      <c r="I69" s="74"/>
      <c r="J69" s="251" cm="1">
        <f t="array" ref="J69">Scope3_Equations.VEERG_15_1_1_1__1_EmissionsFromPurchasedLivestock(E69,H69,IF(I69, I69,$E$58))</f>
        <v>0</v>
      </c>
      <c r="K69" s="33"/>
      <c r="L69" s="13"/>
      <c r="M69" s="33"/>
    </row>
    <row r="70" spans="1:13" ht="20.100000000000001" customHeight="1" x14ac:dyDescent="0.2">
      <c r="D70" s="15"/>
      <c r="E70" s="15"/>
      <c r="F70" s="15"/>
      <c r="G70" s="251" cm="1">
        <f t="array" ref="G70">Scope3_Equations.VEERG_15_1_1_1__1_EmissionsFromPurchasedLivestock(E70,F70,$E$58)</f>
        <v>0</v>
      </c>
      <c r="H70" s="15"/>
      <c r="I70" s="74"/>
      <c r="J70" s="251" cm="1">
        <f t="array" ref="J70">Scope3_Equations.VEERG_15_1_1_1__1_EmissionsFromPurchasedLivestock(E70,H70,IF(I70, I70,$E$58))</f>
        <v>0</v>
      </c>
      <c r="K70" s="33"/>
      <c r="L70" s="13"/>
      <c r="M70" s="33"/>
    </row>
    <row r="72" spans="1:13" ht="20.100000000000001" customHeight="1" x14ac:dyDescent="0.2">
      <c r="D72" s="88" t="s">
        <v>1058</v>
      </c>
      <c r="E72" s="83">
        <f>SUM(G61:G70)</f>
        <v>0</v>
      </c>
      <c r="F72" s="89" t="str">
        <f>$E$11</f>
        <v>t CO2e</v>
      </c>
    </row>
    <row r="73" spans="1:13" ht="20.100000000000001" customHeight="1" x14ac:dyDescent="0.2">
      <c r="D73" s="88" t="s">
        <v>1059</v>
      </c>
      <c r="E73" s="83">
        <f>SUM(J61:J70)</f>
        <v>0</v>
      </c>
      <c r="F73" s="89" t="str">
        <f>$E$11</f>
        <v>t CO2e</v>
      </c>
    </row>
    <row r="75" spans="1:13" ht="20.100000000000001" customHeight="1" x14ac:dyDescent="0.2">
      <c r="D75" s="244" t="s">
        <v>1060</v>
      </c>
    </row>
    <row r="76" spans="1:13" ht="20.100000000000001" customHeight="1" x14ac:dyDescent="0.2">
      <c r="D76" s="113" t="s">
        <v>1054</v>
      </c>
      <c r="E76" s="15" cm="1">
        <f t="array" ref="E76">Common_InputFunctions.Utility_LookupValueInTableNumber("Chickens", Table_SourceData_Scope3_Animals[Product],Table_SourceData_Scope3_Animals[Emissions intensity])</f>
        <v>1.36</v>
      </c>
    </row>
    <row r="78" spans="1:13" ht="20.100000000000001" customHeight="1" x14ac:dyDescent="0.2">
      <c r="D78" s="78" t="s">
        <v>1035</v>
      </c>
      <c r="E78" s="250" t="s">
        <v>1038</v>
      </c>
      <c r="F78" s="250" t="s">
        <v>1039</v>
      </c>
      <c r="G78" s="120" t="s">
        <v>1041</v>
      </c>
      <c r="H78" s="250" t="s">
        <v>1042</v>
      </c>
      <c r="I78" s="78" t="s">
        <v>1043</v>
      </c>
      <c r="J78" s="120" t="s">
        <v>1044</v>
      </c>
      <c r="K78" s="78" t="s">
        <v>1045</v>
      </c>
      <c r="L78" s="78" t="s">
        <v>1046</v>
      </c>
      <c r="M78" s="78" t="s">
        <v>1047</v>
      </c>
    </row>
    <row r="79" spans="1:13" ht="20.100000000000001" customHeight="1" x14ac:dyDescent="0.2">
      <c r="D79" s="15" t="str" cm="1">
        <f t="array" ref="D79:D88">IFERROR(INDEX(Table_Input_LivestockPurchases_Poultry[Transaction name], _xlfn.SEQUENCE(10)), "")</f>
        <v>Chooks from Carolyn</v>
      </c>
      <c r="E79" s="15" cm="1">
        <f t="array" ref="E79:E88">IFERROR(INDEX(Table_Input_LivestockPurchases_Poultry[Quantity (head)], _xlfn.SEQUENCE(10)), "")</f>
        <v>100</v>
      </c>
      <c r="F79" s="15" cm="1">
        <f t="array" ref="F79:F88">IFERROR(INDEX(Table_Input_LivestockPurchases_Poultry[Liveweight (kg/head) Method 1], _xlfn.SEQUENCE(10)), "")</f>
        <v>1.3</v>
      </c>
      <c r="G79" s="251" cm="1">
        <f t="array" ref="G79">Scope3_Equations.VEERG_15_1_1_1__1_EmissionsFromPurchasedLivestock(E79,F79,$E$76)</f>
        <v>0.17680000000000001</v>
      </c>
      <c r="H79" s="15" cm="1">
        <f t="array" ref="H79:H88">IFERROR(INDEX(Table_Input_LivestockPurchases_Poultry[Liveweight (kg/head) Method 2], _xlfn.SEQUENCE(10)), "")</f>
        <v>1.3</v>
      </c>
      <c r="I79" s="74">
        <v>1.3</v>
      </c>
      <c r="J79" s="251" cm="1">
        <f t="array" ref="J79">Scope3_Equations.VEERG_15_1_1_1__1_EmissionsFromPurchasedLivestock(E79,H79,IF(I79, I79,$E$76))</f>
        <v>0.16900000000000001</v>
      </c>
      <c r="K79" s="33"/>
      <c r="L79" s="13"/>
      <c r="M79"/>
    </row>
    <row r="80" spans="1:13" ht="20.100000000000001" customHeight="1" x14ac:dyDescent="0.2">
      <c r="D80" s="15" t="str">
        <v>Roosters from Raj</v>
      </c>
      <c r="E80" s="15">
        <v>100</v>
      </c>
      <c r="F80" s="15">
        <v>1.4</v>
      </c>
      <c r="G80" s="251" cm="1">
        <f t="array" ref="G80">Scope3_Equations.VEERG_15_1_1_1__1_EmissionsFromPurchasedLivestock(E80,F80,$E$76)</f>
        <v>0.19040000000000001</v>
      </c>
      <c r="H80" s="15">
        <v>1.4</v>
      </c>
      <c r="I80" s="74"/>
      <c r="J80" s="251" cm="1">
        <f t="array" ref="J80">Scope3_Equations.VEERG_15_1_1_1__1_EmissionsFromPurchasedLivestock(E80,H80,IF(I80, I80,$E$76))</f>
        <v>0.19040000000000001</v>
      </c>
      <c r="K80" s="33"/>
      <c r="L80" s="13"/>
      <c r="M80" s="33"/>
    </row>
    <row r="81" spans="4:13" ht="20.100000000000001" customHeight="1" x14ac:dyDescent="0.2">
      <c r="D81" s="15">
        <v>0</v>
      </c>
      <c r="E81" s="15">
        <v>0</v>
      </c>
      <c r="F81" s="15">
        <v>0</v>
      </c>
      <c r="G81" s="251" cm="1">
        <f t="array" ref="G81">Scope3_Equations.VEERG_15_1_1_1__1_EmissionsFromPurchasedLivestock(E81,F81,$E$76)</f>
        <v>0</v>
      </c>
      <c r="H81" s="15">
        <v>0</v>
      </c>
      <c r="I81" s="74"/>
      <c r="J81" s="251" cm="1">
        <f t="array" ref="J81">Scope3_Equations.VEERG_15_1_1_1__1_EmissionsFromPurchasedLivestock(E81,H81,IF(I81, I81,$E$76))</f>
        <v>0</v>
      </c>
      <c r="K81" s="33"/>
      <c r="L81" s="13"/>
      <c r="M81" s="33"/>
    </row>
    <row r="82" spans="4:13" ht="20.100000000000001" customHeight="1" x14ac:dyDescent="0.2">
      <c r="D82" s="15">
        <v>0</v>
      </c>
      <c r="E82" s="15">
        <v>0</v>
      </c>
      <c r="F82" s="15">
        <v>0</v>
      </c>
      <c r="G82" s="251" cm="1">
        <f t="array" ref="G82">Scope3_Equations.VEERG_15_1_1_1__1_EmissionsFromPurchasedLivestock(E82,F82,$E$76)</f>
        <v>0</v>
      </c>
      <c r="H82" s="15">
        <v>0</v>
      </c>
      <c r="I82" s="74"/>
      <c r="J82" s="251" cm="1">
        <f t="array" ref="J82">Scope3_Equations.VEERG_15_1_1_1__1_EmissionsFromPurchasedLivestock(E82,H82,IF(I82, I82,$E$76))</f>
        <v>0</v>
      </c>
      <c r="K82" s="33"/>
      <c r="L82" s="13"/>
      <c r="M82" s="33"/>
    </row>
    <row r="83" spans="4:13" ht="20.100000000000001" customHeight="1" x14ac:dyDescent="0.2">
      <c r="D83" s="15">
        <v>0</v>
      </c>
      <c r="E83" s="15">
        <v>0</v>
      </c>
      <c r="F83" s="15">
        <v>0</v>
      </c>
      <c r="G83" s="251" cm="1">
        <f t="array" ref="G83">Scope3_Equations.VEERG_15_1_1_1__1_EmissionsFromPurchasedLivestock(E83,F83,$E$76)</f>
        <v>0</v>
      </c>
      <c r="H83" s="15">
        <v>0</v>
      </c>
      <c r="I83" s="74"/>
      <c r="J83" s="251" cm="1">
        <f t="array" ref="J83">Scope3_Equations.VEERG_15_1_1_1__1_EmissionsFromPurchasedLivestock(E83,H83,IF(I83, I83,$E$76))</f>
        <v>0</v>
      </c>
      <c r="K83" s="33"/>
      <c r="L83" s="13"/>
      <c r="M83" s="33"/>
    </row>
    <row r="84" spans="4:13" ht="20.100000000000001" customHeight="1" x14ac:dyDescent="0.2">
      <c r="D84" s="15">
        <v>0</v>
      </c>
      <c r="E84" s="15">
        <v>0</v>
      </c>
      <c r="F84" s="15">
        <v>0</v>
      </c>
      <c r="G84" s="251" cm="1">
        <f t="array" ref="G84">Scope3_Equations.VEERG_15_1_1_1__1_EmissionsFromPurchasedLivestock(E84,F84,$E$76)</f>
        <v>0</v>
      </c>
      <c r="H84" s="15">
        <v>0</v>
      </c>
      <c r="I84" s="74"/>
      <c r="J84" s="251" cm="1">
        <f t="array" ref="J84">Scope3_Equations.VEERG_15_1_1_1__1_EmissionsFromPurchasedLivestock(E84,H84,IF(I84, I84,$E$76))</f>
        <v>0</v>
      </c>
      <c r="K84" s="33"/>
      <c r="L84" s="13"/>
      <c r="M84" s="33"/>
    </row>
    <row r="85" spans="4:13" ht="20.100000000000001" customHeight="1" x14ac:dyDescent="0.2">
      <c r="D85" s="15">
        <v>0</v>
      </c>
      <c r="E85" s="15">
        <v>0</v>
      </c>
      <c r="F85" s="15">
        <v>0</v>
      </c>
      <c r="G85" s="251" cm="1">
        <f t="array" ref="G85">Scope3_Equations.VEERG_15_1_1_1__1_EmissionsFromPurchasedLivestock(E85,F85,$E$76)</f>
        <v>0</v>
      </c>
      <c r="H85" s="15">
        <v>0</v>
      </c>
      <c r="I85" s="74"/>
      <c r="J85" s="251" cm="1">
        <f t="array" ref="J85">Scope3_Equations.VEERG_15_1_1_1__1_EmissionsFromPurchasedLivestock(E85,H85,IF(I85, I85,$E$76))</f>
        <v>0</v>
      </c>
      <c r="K85" s="33"/>
      <c r="L85" s="13"/>
      <c r="M85" s="33"/>
    </row>
    <row r="86" spans="4:13" ht="20.100000000000001" customHeight="1" x14ac:dyDescent="0.2">
      <c r="D86" s="15">
        <v>0</v>
      </c>
      <c r="E86" s="15">
        <v>0</v>
      </c>
      <c r="F86" s="15">
        <v>0</v>
      </c>
      <c r="G86" s="251" cm="1">
        <f t="array" ref="G86">Scope3_Equations.VEERG_15_1_1_1__1_EmissionsFromPurchasedLivestock(E86,F86,$E$76)</f>
        <v>0</v>
      </c>
      <c r="H86" s="15">
        <v>0</v>
      </c>
      <c r="I86" s="74"/>
      <c r="J86" s="251" cm="1">
        <f t="array" ref="J86">Scope3_Equations.VEERG_15_1_1_1__1_EmissionsFromPurchasedLivestock(E86,H86,IF(I86, I86,$E$76))</f>
        <v>0</v>
      </c>
      <c r="K86" s="33"/>
      <c r="L86" s="13"/>
      <c r="M86" s="33"/>
    </row>
    <row r="87" spans="4:13" ht="20.100000000000001" customHeight="1" x14ac:dyDescent="0.2">
      <c r="D87" s="15">
        <v>0</v>
      </c>
      <c r="E87" s="15">
        <v>0</v>
      </c>
      <c r="F87" s="15">
        <v>0</v>
      </c>
      <c r="G87" s="251" cm="1">
        <f t="array" ref="G87">Scope3_Equations.VEERG_15_1_1_1__1_EmissionsFromPurchasedLivestock(E87,F87,$E$76)</f>
        <v>0</v>
      </c>
      <c r="H87" s="15">
        <v>0</v>
      </c>
      <c r="I87" s="74"/>
      <c r="J87" s="251" cm="1">
        <f t="array" ref="J87">Scope3_Equations.VEERG_15_1_1_1__1_EmissionsFromPurchasedLivestock(E87,H87,IF(I87, I87,$E$76))</f>
        <v>0</v>
      </c>
      <c r="K87" s="33"/>
      <c r="L87" s="13"/>
      <c r="M87" s="33"/>
    </row>
    <row r="88" spans="4:13" ht="20.100000000000001" customHeight="1" x14ac:dyDescent="0.2">
      <c r="D88" s="15">
        <v>0</v>
      </c>
      <c r="E88" s="15">
        <v>0</v>
      </c>
      <c r="F88" s="15">
        <v>0</v>
      </c>
      <c r="G88" s="251" cm="1">
        <f t="array" ref="G88">Scope3_Equations.VEERG_15_1_1_1__1_EmissionsFromPurchasedLivestock(E88,F88,$E$76)</f>
        <v>0</v>
      </c>
      <c r="H88" s="15">
        <v>0</v>
      </c>
      <c r="I88" s="74"/>
      <c r="J88" s="251" cm="1">
        <f t="array" ref="J88">Scope3_Equations.VEERG_15_1_1_1__1_EmissionsFromPurchasedLivestock(E88,H88,IF(I88, I88,$E$76))</f>
        <v>0</v>
      </c>
      <c r="K88" s="33"/>
      <c r="L88" s="13"/>
      <c r="M88" s="33"/>
    </row>
    <row r="90" spans="4:13" ht="20.100000000000001" customHeight="1" x14ac:dyDescent="0.2">
      <c r="D90" s="88" t="s">
        <v>1061</v>
      </c>
      <c r="E90" s="83">
        <f>SUM(G79:G88)</f>
        <v>0.36720000000000003</v>
      </c>
      <c r="F90" s="89" t="str">
        <f>$E$11</f>
        <v>t CO2e</v>
      </c>
    </row>
    <row r="91" spans="4:13" ht="20.100000000000001" customHeight="1" x14ac:dyDescent="0.2">
      <c r="D91" s="88" t="s">
        <v>1062</v>
      </c>
      <c r="E91" s="83">
        <f>SUM(J79:J88)</f>
        <v>0.35940000000000005</v>
      </c>
      <c r="F91" s="89" t="str">
        <f>$E$11</f>
        <v>t CO2e</v>
      </c>
    </row>
    <row r="93" spans="4:13" ht="20.100000000000001" customHeight="1" x14ac:dyDescent="0.2">
      <c r="D93" s="85" t="s">
        <v>1041</v>
      </c>
      <c r="E93" s="86">
        <f>VEERG_15_1_1_1__1_EmissionsFromPurchasedLivestock_BeefCattle_Result_Method1+VEERG_15_1_1_1__1_EmissionsFromPurchasedLivestock_DairyCattle_Result_Method1+VEERG_15_1_1_1__1_EmissionsFromPurchasedLivestock_Pigs_Result_Method1+VEERG_15_1_1_1__1_EmissionsFromPurchasedLivestock_Poultry_Result_Method1</f>
        <v>0.36720000000000003</v>
      </c>
      <c r="F93" s="95" t="str">
        <f>$E$11</f>
        <v>t CO2e</v>
      </c>
    </row>
    <row r="94" spans="4:13" ht="20.100000000000001" customHeight="1" x14ac:dyDescent="0.2">
      <c r="D94" s="85" t="s">
        <v>1044</v>
      </c>
      <c r="E94" s="86">
        <f>VEERG_15_1_1_1__1_EmissionsFromPurchasedLivestock_BeefCattle_Result_Method2+VEERG_15_1_1_1__1_EmissionsFromPurchasedLivestock_DairyCattle_Result_Method2+VEERG_15_1_1_1__1_EmissionsFromPurchasedLivestock_Pigs_Result_Method2+VEERG_15_1_1_1__1_EmissionsFromPurchasedLivestock_Poultry_Result_Method2</f>
        <v>0.35940000000000005</v>
      </c>
      <c r="F94" s="95" t="str">
        <f>$E$11</f>
        <v>t CO2e</v>
      </c>
    </row>
    <row r="97" spans="1:41" ht="20.100000000000001" customHeight="1" x14ac:dyDescent="0.2">
      <c r="C97" s="83"/>
      <c r="D97" s="83"/>
      <c r="E97" s="83"/>
      <c r="F97" s="83"/>
      <c r="G97" s="83"/>
      <c r="H97" s="83"/>
      <c r="I97" s="83"/>
      <c r="J97" s="83"/>
      <c r="K97" s="83"/>
      <c r="L97" s="83"/>
      <c r="M97" s="83"/>
      <c r="N97" s="83"/>
      <c r="O97" s="83"/>
      <c r="P97" s="83"/>
      <c r="Q97" s="83"/>
      <c r="R97" s="83"/>
      <c r="S97" s="83"/>
      <c r="T97" s="83"/>
      <c r="U97" s="83"/>
      <c r="V97" s="83"/>
      <c r="W97" s="83"/>
      <c r="X97" s="83"/>
      <c r="Y97" s="83"/>
      <c r="Z97" s="83"/>
      <c r="AA97" s="83"/>
      <c r="AB97" s="83"/>
      <c r="AC97" s="83"/>
      <c r="AD97" s="83"/>
      <c r="AE97" s="83"/>
      <c r="AF97" s="83"/>
      <c r="AG97" s="83"/>
      <c r="AH97" s="83"/>
      <c r="AI97" s="83"/>
      <c r="AJ97" s="83"/>
      <c r="AK97" s="83"/>
      <c r="AL97" s="83"/>
      <c r="AM97" s="83"/>
      <c r="AN97" s="83"/>
      <c r="AO97" s="83"/>
    </row>
    <row r="98" spans="1:41" ht="20.100000000000001" customHeight="1" x14ac:dyDescent="0.2">
      <c r="A98" s="79" t="str">
        <f>HYPERLINK("#A1", "▲ Back to top")</f>
        <v>▲ Back to top</v>
      </c>
      <c r="D98" s="2" t="str" cm="1">
        <f t="array" ref="D98">Scope3_Equations.VEERG_15_2_1_1__1_EmissionsFromPurchasedFeed_Title()</f>
        <v>Emissions from purchased feed</v>
      </c>
    </row>
    <row r="99" spans="1:41" ht="20.100000000000001" customHeight="1" x14ac:dyDescent="0.2">
      <c r="D99" s="17" t="str" cm="1">
        <f t="array" ref="D99">Scope3_Equations.VEERG_15_2_1_1__1_EmissionsFromPurchasedFeed_Source()</f>
        <v>VEERG 2026: 15.2.1.1, Equation (1)</v>
      </c>
    </row>
    <row r="100" spans="1:41" ht="20.100000000000001" customHeight="1" x14ac:dyDescent="0.2">
      <c r="D100" s="25" t="str" cm="1">
        <f t="array" ref="D100">Scope3_Equations.VEERG_15_2_1_1__1_EmissionsFromPurchasedFeed_Variation()</f>
        <v>VARIATION ON SOURCE: Input Q_j in kg instead of t to match EF units. Multiply by 10^-3 to convert kg CO2e to t CO2e.</v>
      </c>
    </row>
    <row r="101" spans="1:41" ht="20.100000000000001" customHeight="1" x14ac:dyDescent="0.2">
      <c r="D101" s="112" t="s">
        <v>328</v>
      </c>
      <c r="E101" s="112" t="str" cm="1">
        <f t="array" aca="1" ref="E101" ca="1">Common_InputFunctions.Utility_DisplayFunctionName(G120)</f>
        <v>=Scope3_Equations.VEERG_15_2_1_1__1_EmissionsFromPurchasedFeedVariation</v>
      </c>
      <c r="H101" s="25"/>
    </row>
    <row r="103" spans="1:41" ht="20.100000000000001" customHeight="1" x14ac:dyDescent="0.2">
      <c r="H103" s="112"/>
    </row>
    <row r="104" spans="1:41" ht="20.100000000000001" customHeight="1" x14ac:dyDescent="0.2">
      <c r="D104" s="75" t="s">
        <v>329</v>
      </c>
      <c r="E104" s="1" t="str" cm="1">
        <f t="array" ref="E104">Scope3_Equations.VEERG_15_2_1_1__1_EmissionsFromPurchasedFeed_Variable()</f>
        <v>E</v>
      </c>
    </row>
    <row r="105" spans="1:41" ht="20.100000000000001" customHeight="1" x14ac:dyDescent="0.2">
      <c r="D105" s="75" t="s">
        <v>118</v>
      </c>
      <c r="E105" s="9" t="str" cm="1">
        <f t="array" ref="E105">Scope3_Equations.VEERG_15_2_1_1__1_EmissionsFromPurchasedFeed_Unit()</f>
        <v>t CO2e</v>
      </c>
    </row>
    <row r="107" spans="1:41" ht="20.100000000000001" customHeight="1" x14ac:dyDescent="0.2">
      <c r="D107" s="113" t="str" cm="1">
        <f t="array" ref="D107:E109">_xlfn.CHOOSECOLS(Scope3_Equations.VEERG_15_2_1_1__1_EmissionsFromPurchasedFeed_ArgumentsVariation(),1,2)</f>
        <v>Q_j</v>
      </c>
      <c r="E107" s="122" t="str">
        <v>quantity of feed type j purchased</v>
      </c>
      <c r="F107" s="123"/>
      <c r="G107" s="113" t="str" cm="1">
        <f t="array" ref="G107:H109">_xlfn.CHOOSECOLS(Scope3_Equations.VEERG_15_2_1_1__1_EmissionsFromPurchasedFeed_ArgumentsVariation(),3,4)</f>
        <v>kg</v>
      </c>
      <c r="H107" s="249" t="str">
        <v>Input</v>
      </c>
    </row>
    <row r="108" spans="1:41" ht="20.100000000000001" customHeight="1" x14ac:dyDescent="0.2">
      <c r="D108" s="113" t="str">
        <v>EF_j</v>
      </c>
      <c r="E108" s="122" t="str">
        <v>emission factor of purchased feed</v>
      </c>
      <c r="F108" s="123"/>
      <c r="G108" s="113" t="str">
        <v>kg CO2e/kg</v>
      </c>
      <c r="H108" s="115" t="str">
        <v>Constant</v>
      </c>
    </row>
    <row r="109" spans="1:41" ht="20.100000000000001" customHeight="1" x14ac:dyDescent="0.2">
      <c r="D109" s="113" t="str">
        <v>j</v>
      </c>
      <c r="E109" s="122" t="str">
        <v>feed type</v>
      </c>
      <c r="F109" s="123"/>
      <c r="G109" s="113" t="str">
        <v/>
      </c>
      <c r="H109" s="249" t="str">
        <v>Input</v>
      </c>
    </row>
    <row r="111" spans="1:41" ht="20.100000000000001" customHeight="1" x14ac:dyDescent="0.2">
      <c r="D111" s="244" t="s">
        <v>1063</v>
      </c>
    </row>
    <row r="113" spans="1:28" ht="20.100000000000001" customHeight="1" x14ac:dyDescent="0.2">
      <c r="D113" s="131" t="s">
        <v>1064</v>
      </c>
      <c r="E113" s="44"/>
      <c r="F113" s="131"/>
      <c r="G113" s="43"/>
      <c r="H113" s="44"/>
    </row>
    <row r="114" spans="1:28" ht="20.100000000000001" customHeight="1" x14ac:dyDescent="0.2">
      <c r="D114" s="132" t="s">
        <v>1065</v>
      </c>
      <c r="E114" s="134"/>
      <c r="F114" s="132"/>
      <c r="G114" s="133"/>
      <c r="H114" s="134"/>
    </row>
    <row r="115" spans="1:28" ht="20.100000000000001" customHeight="1" x14ac:dyDescent="0.2">
      <c r="D115" s="45" t="s">
        <v>1066</v>
      </c>
      <c r="E115" s="47"/>
      <c r="F115" s="45"/>
      <c r="G115" s="46"/>
      <c r="H115" s="47"/>
    </row>
    <row r="117" spans="1:28" ht="20.100000000000001" customHeight="1" x14ac:dyDescent="0.2">
      <c r="D117" s="35" t="s">
        <v>1067</v>
      </c>
      <c r="E117" s="37"/>
      <c r="F117" s="38"/>
    </row>
    <row r="119" spans="1:28" ht="20.100000000000001" customHeight="1" x14ac:dyDescent="0.2">
      <c r="D119" s="78" t="s">
        <v>1068</v>
      </c>
      <c r="E119" s="78" t="s">
        <v>1069</v>
      </c>
      <c r="F119" s="120" t="s">
        <v>1070</v>
      </c>
      <c r="G119" s="120" t="s">
        <v>1041</v>
      </c>
      <c r="H119" s="78" t="s">
        <v>1071</v>
      </c>
      <c r="I119" s="120" t="s">
        <v>1044</v>
      </c>
      <c r="J119" s="78" t="s">
        <v>1045</v>
      </c>
      <c r="K119" s="78" t="s">
        <v>1046</v>
      </c>
      <c r="L119" s="78" t="s">
        <v>1047</v>
      </c>
      <c r="M119" s="120" t="s">
        <v>697</v>
      </c>
      <c r="N119" s="120" t="s">
        <v>1072</v>
      </c>
      <c r="O119" s="120" t="s">
        <v>698</v>
      </c>
      <c r="P119" s="120" t="s">
        <v>1073</v>
      </c>
      <c r="Q119" s="120" t="s">
        <v>699</v>
      </c>
      <c r="R119" s="120" t="s">
        <v>1074</v>
      </c>
      <c r="S119" s="120" t="s">
        <v>700</v>
      </c>
      <c r="T119" s="120" t="s">
        <v>1075</v>
      </c>
      <c r="U119" s="120" t="s">
        <v>701</v>
      </c>
      <c r="V119" s="120" t="s">
        <v>1076</v>
      </c>
      <c r="W119" s="120" t="s">
        <v>702</v>
      </c>
      <c r="X119" s="120" t="s">
        <v>1077</v>
      </c>
      <c r="Y119" s="120" t="s">
        <v>703</v>
      </c>
      <c r="Z119" s="120" t="s">
        <v>1078</v>
      </c>
      <c r="AA119" s="120" t="s">
        <v>704</v>
      </c>
      <c r="AB119" s="120" t="s">
        <v>1079</v>
      </c>
    </row>
    <row r="120" spans="1:28" ht="20.100000000000001" customHeight="1" x14ac:dyDescent="0.2">
      <c r="D120" s="15" cm="1">
        <f t="array" ref="D120:D129">IFERROR(INDEX(Table_Input_FeedBlends[Feed blend name], _xlfn.SEQUENCE(10)), "")</f>
        <v>0</v>
      </c>
      <c r="E120" s="15" cm="1">
        <f t="array" ref="E120:E129">IFERROR(INDEX(Table_Input_FeedBlends[Amount fed (kg)], _xlfn.SEQUENCE(10)), "")</f>
        <v>1200</v>
      </c>
      <c r="F120" s="15">
        <f t="shared" ref="F120:F129" si="0">IFERROR((O120*P120)+(S120*T120)+(W120*X120)+(AA120*AB120), 0)</f>
        <v>0.16272999999999999</v>
      </c>
      <c r="G120" s="251" cm="1">
        <f t="array" ref="G120">Scope3_Equations.VEERG_15_2_1_1__1_EmissionsFromPurchasedFeedVariation(E120,F120)</f>
        <v>0.19527599999999998</v>
      </c>
      <c r="H120" s="74">
        <v>0.04</v>
      </c>
      <c r="I120" s="251" cm="1">
        <f t="array" ref="I120">Scope3_Equations.VEERG_15_2_1_1__1_EmissionsFromPurchasedFeedVariation(E120,IF(H120,H120, F120))</f>
        <v>4.8000000000000001E-2</v>
      </c>
      <c r="J120" s="33"/>
      <c r="K120" s="13"/>
      <c r="L120"/>
      <c r="M120" s="15" t="str" cm="1">
        <f t="array" ref="M120:M129">IFERROR(INDEX(Table_Input_FeedBlends[Ingredient 1 (select)], _xlfn.SEQUENCE(10)), "")</f>
        <v>Cereal silage</v>
      </c>
      <c r="N120" s="15" t="str" cm="1">
        <f t="array" ref="N120:N129">IFERROR(INDEX(Table_Input_FeedBlends[Ingredient 1 source region], _xlfn.SEQUENCE(10)), "")</f>
        <v>SA</v>
      </c>
      <c r="O120" s="15" cm="1">
        <f t="array" ref="O120:O129">IFERROR(INDEX(Table_Input_FeedBlends[Ingredient 1 percent], _xlfn.SEQUENCE(10)), "")</f>
        <v>0.35</v>
      </c>
      <c r="P120" s="15" cm="1">
        <f t="array" ref="P120">_xlfn.LET(_xlpm.result, Common_InputFunctions.Utility_LookupValueInTableTwoColumns(M120, N120, Table_SourceData_Scope3_Feed[Product], Table_SourceData_Scope3_Feed[Region of origin], Table_SourceData_Scope3_Feed[Emissions intensity]), IF(_xlpm.result="", 0, _xlpm.result))</f>
        <v>7.0599999999999996E-2</v>
      </c>
      <c r="Q120" s="15" t="str" cm="1">
        <f t="array" ref="Q120:Q129">IFERROR(INDEX(Table_Input_FeedBlends[Ingredient 2 (select)], _xlfn.SEQUENCE(10)), "")</f>
        <v>Cereal hay</v>
      </c>
      <c r="R120" s="15" t="str" cm="1">
        <f t="array" ref="R120:R129">IFERROR(INDEX(Table_Input_FeedBlends[Ingredient 2 source region], _xlfn.SEQUENCE(10)), "")</f>
        <v>SA</v>
      </c>
      <c r="S120" s="15" cm="1">
        <f t="array" ref="S120:S129">IFERROR(INDEX(Table_Input_FeedBlends[Ingredient 2 percent], _xlfn.SEQUENCE(10)), "")</f>
        <v>0.22</v>
      </c>
      <c r="T120" s="15" cm="1">
        <f t="array" ref="T120">_xlfn.LET(_xlpm.result, Common_InputFunctions.Utility_LookupValueInTableTwoColumns(Q120, R120, Table_SourceData_Scope3_Feed[Product], Table_SourceData_Scope3_Feed[Region of origin], Table_SourceData_Scope3_Feed[Emissions intensity]), IF(_xlpm.result="", 0, _xlpm.result))</f>
        <v>0.111</v>
      </c>
      <c r="U120" s="15" t="str" cm="1">
        <f t="array" ref="U120:U129">IFERROR(INDEX(Table_Input_FeedBlends[Ingredient 3 (select)], _xlfn.SEQUENCE(10)), "")</f>
        <v>Canola oil</v>
      </c>
      <c r="V120" s="15" t="str" cm="1">
        <f t="array" ref="V120:V129">IFERROR(INDEX(Table_Input_FeedBlends[Ingredient 3 source region], _xlfn.SEQUENCE(10)), "")</f>
        <v>Australia</v>
      </c>
      <c r="W120" s="15" cm="1">
        <f t="array" ref="W120:W129">IFERROR(INDEX(Table_Input_FeedBlends[Ingredient 3 percent], _xlfn.SEQUENCE(10)), "")</f>
        <v>0.12</v>
      </c>
      <c r="X120" s="15" cm="1">
        <f t="array" ref="X120">_xlfn.LET(_xlpm.result, Common_InputFunctions.Utility_LookupValueInTableTwoColumns(U120, V120, Table_SourceData_Scope3_Feed[Product], Table_SourceData_Scope3_Feed[Region of origin], Table_SourceData_Scope3_Feed[Emissions intensity]), IF(_xlpm.result="", 0, _xlpm.result))</f>
        <v>0.87</v>
      </c>
      <c r="Y120" s="15" t="str" cm="1">
        <f t="array" ref="Y120:Y129">IFERROR(INDEX(Table_Input_FeedBlends[Ingredient 4 (select)], _xlfn.SEQUENCE(10)), "")</f>
        <v>Molasses</v>
      </c>
      <c r="Z120" s="15" t="str" cm="1">
        <f t="array" ref="Z120:Z129">IFERROR(INDEX(Table_Input_FeedBlends[Ingredient 4 source region], _xlfn.SEQUENCE(10)), "")</f>
        <v>QLD</v>
      </c>
      <c r="AA120" s="15" cm="1">
        <f t="array" ref="AA120:AA129">IFERROR(INDEX(Table_Input_FeedBlends[Ingredient 4 percent], _xlfn.SEQUENCE(10)), "")</f>
        <v>0.05</v>
      </c>
      <c r="AB120" s="15" cm="1">
        <f t="array" ref="AB120">_xlfn.LET(_xlpm.result, Common_InputFunctions.Utility_LookupValueInTableTwoColumns(Y120, Z120, Table_SourceData_Scope3_Feed[Product], Table_SourceData_Scope3_Feed[Region of origin], Table_SourceData_Scope3_Feed[Emissions intensity]), IF(_xlpm.result="", 0, _xlpm.result))</f>
        <v>0.184</v>
      </c>
    </row>
    <row r="121" spans="1:28" ht="20.100000000000001" customHeight="1" x14ac:dyDescent="0.2">
      <c r="D121" s="15">
        <v>0</v>
      </c>
      <c r="E121" s="15">
        <v>3456</v>
      </c>
      <c r="F121" s="15">
        <f t="shared" si="0"/>
        <v>4.6000000000000006E-2</v>
      </c>
      <c r="G121" s="251" cm="1">
        <f t="array" ref="G121">Scope3_Equations.VEERG_15_2_1_1__1_EmissionsFromPurchasedFeedVariation(E121,F121)</f>
        <v>0.15897600000000003</v>
      </c>
      <c r="H121" s="74">
        <v>0.03</v>
      </c>
      <c r="I121" s="251" cm="1">
        <f t="array" ref="I121">Scope3_Equations.VEERG_15_2_1_1__1_EmissionsFromPurchasedFeedVariation(E121,IF(H121,H121, F121))</f>
        <v>0.10367999999999999</v>
      </c>
      <c r="J121" s="33"/>
      <c r="K121" s="13"/>
      <c r="L121" s="33"/>
      <c r="M121" s="15" t="str">
        <v>Lucerne hay</v>
      </c>
      <c r="N121" s="15" t="str">
        <v>Australia</v>
      </c>
      <c r="O121" s="15">
        <v>0.2</v>
      </c>
      <c r="P121" s="15" cm="1">
        <f t="array" ref="P121">_xlfn.LET(_xlpm.result, Common_InputFunctions.Utility_LookupValueInTableTwoColumns(M121, N121, Table_SourceData_Scope3_Feed[Product], Table_SourceData_Scope3_Feed[Region of origin], Table_SourceData_Scope3_Feed[Emissions intensity]), IF(_xlpm.result="", 0, _xlpm.result))</f>
        <v>0.11700000000000001</v>
      </c>
      <c r="Q121" s="15" t="str">
        <v>Lucerne hay</v>
      </c>
      <c r="R121" s="15" t="str">
        <v>NSW</v>
      </c>
      <c r="S121" s="15">
        <v>0.2</v>
      </c>
      <c r="T121" s="15" cm="1">
        <f t="array" ref="T121">_xlfn.LET(_xlpm.result, Common_InputFunctions.Utility_LookupValueInTableTwoColumns(Q121, R121, Table_SourceData_Scope3_Feed[Product], Table_SourceData_Scope3_Feed[Region of origin], Table_SourceData_Scope3_Feed[Emissions intensity]), IF(_xlpm.result="", 0, _xlpm.result))</f>
        <v>0.113</v>
      </c>
      <c r="U121" s="15">
        <v>0</v>
      </c>
      <c r="V121" s="15">
        <v>0</v>
      </c>
      <c r="W121" s="15">
        <v>0</v>
      </c>
      <c r="X121" s="15" cm="1">
        <f t="array" ref="X121">_xlfn.LET(_xlpm.result, Common_InputFunctions.Utility_LookupValueInTableTwoColumns(U121, V121, Table_SourceData_Scope3_Feed[Product], Table_SourceData_Scope3_Feed[Region of origin], Table_SourceData_Scope3_Feed[Emissions intensity]), IF(_xlpm.result="", 0, _xlpm.result))</f>
        <v>0</v>
      </c>
      <c r="Y121" s="15">
        <v>0</v>
      </c>
      <c r="Z121" s="15">
        <v>0</v>
      </c>
      <c r="AA121" s="15">
        <v>0</v>
      </c>
      <c r="AB121" s="15" cm="1">
        <f t="array" ref="AB121">_xlfn.LET(_xlpm.result, Common_InputFunctions.Utility_LookupValueInTableTwoColumns(Y121, Z121, Table_SourceData_Scope3_Feed[Product], Table_SourceData_Scope3_Feed[Region of origin], Table_SourceData_Scope3_Feed[Emissions intensity]), IF(_xlpm.result="", 0, _xlpm.result))</f>
        <v>0</v>
      </c>
    </row>
    <row r="122" spans="1:28" ht="20.100000000000001" customHeight="1" x14ac:dyDescent="0.2">
      <c r="D122" s="15" t="str">
        <v>Hay bales in paddock</v>
      </c>
      <c r="E122" s="15">
        <v>300</v>
      </c>
      <c r="F122" s="15">
        <f t="shared" si="0"/>
        <v>0.27800000000000002</v>
      </c>
      <c r="G122" s="251" cm="1">
        <f t="array" ref="G122">Scope3_Equations.VEERG_15_2_1_1__1_EmissionsFromPurchasedFeedVariation(E122,F122)</f>
        <v>8.3400000000000002E-2</v>
      </c>
      <c r="H122" s="74">
        <v>0.14000000000000001</v>
      </c>
      <c r="I122" s="251" cm="1">
        <f t="array" ref="I122">Scope3_Equations.VEERG_15_2_1_1__1_EmissionsFromPurchasedFeedVariation(E122,IF(H122,H122, F122))</f>
        <v>4.200000000000001E-2</v>
      </c>
      <c r="J122" s="33"/>
      <c r="K122" s="13"/>
      <c r="L122" s="33"/>
      <c r="M122" s="15" t="str">
        <v>Wheat grain</v>
      </c>
      <c r="N122" s="15" t="str">
        <v>SA</v>
      </c>
      <c r="O122" s="15">
        <v>0.8</v>
      </c>
      <c r="P122" s="15" cm="1">
        <f t="array" ref="P122">_xlfn.LET(_xlpm.result, Common_InputFunctions.Utility_LookupValueInTableTwoColumns(M122, N122, Table_SourceData_Scope3_Feed[Product], Table_SourceData_Scope3_Feed[Region of origin], Table_SourceData_Scope3_Feed[Emissions intensity]), IF(_xlpm.result="", 0, _xlpm.result))</f>
        <v>0.24099999999999999</v>
      </c>
      <c r="Q122" s="15" t="str">
        <v>Soybean meal</v>
      </c>
      <c r="R122" s="15" t="str">
        <v>Brazil</v>
      </c>
      <c r="S122" s="15">
        <v>0.2</v>
      </c>
      <c r="T122" s="15" cm="1">
        <f t="array" ref="T122">_xlfn.LET(_xlpm.result, Common_InputFunctions.Utility_LookupValueInTableTwoColumns(Q122, R122, Table_SourceData_Scope3_Feed[Product], Table_SourceData_Scope3_Feed[Region of origin], Table_SourceData_Scope3_Feed[Emissions intensity]), IF(_xlpm.result="", 0, _xlpm.result))</f>
        <v>0.42599999999999999</v>
      </c>
      <c r="U122" s="15">
        <v>0</v>
      </c>
      <c r="V122" s="15">
        <v>0</v>
      </c>
      <c r="W122" s="15">
        <v>0</v>
      </c>
      <c r="X122" s="15" cm="1">
        <f t="array" ref="X122">_xlfn.LET(_xlpm.result, Common_InputFunctions.Utility_LookupValueInTableTwoColumns(U122, V122, Table_SourceData_Scope3_Feed[Product], Table_SourceData_Scope3_Feed[Region of origin], Table_SourceData_Scope3_Feed[Emissions intensity]), IF(_xlpm.result="", 0, _xlpm.result))</f>
        <v>0</v>
      </c>
      <c r="Y122" s="15">
        <v>0</v>
      </c>
      <c r="Z122" s="15">
        <v>0</v>
      </c>
      <c r="AA122" s="15">
        <v>0</v>
      </c>
      <c r="AB122" s="15" cm="1">
        <f t="array" ref="AB122">_xlfn.LET(_xlpm.result, Common_InputFunctions.Utility_LookupValueInTableTwoColumns(Y122, Z122, Table_SourceData_Scope3_Feed[Product], Table_SourceData_Scope3_Feed[Region of origin], Table_SourceData_Scope3_Feed[Emissions intensity]), IF(_xlpm.result="", 0, _xlpm.result))</f>
        <v>0</v>
      </c>
    </row>
    <row r="123" spans="1:28" ht="20.100000000000001" customHeight="1" x14ac:dyDescent="0.2">
      <c r="D123" s="15">
        <v>0</v>
      </c>
      <c r="E123" s="15">
        <v>500</v>
      </c>
      <c r="F123" s="15">
        <f t="shared" si="0"/>
        <v>0.34499999999999997</v>
      </c>
      <c r="G123" s="251" cm="1">
        <f t="array" ref="G123">Scope3_Equations.VEERG_15_2_1_1__1_EmissionsFromPurchasedFeedVariation(E123,F123)</f>
        <v>0.17250000000000001</v>
      </c>
      <c r="H123" s="74"/>
      <c r="I123" s="251" cm="1">
        <f t="array" ref="I123">Scope3_Equations.VEERG_15_2_1_1__1_EmissionsFromPurchasedFeedVariation(E123,IF(H123,H123, F123))</f>
        <v>0.17250000000000001</v>
      </c>
      <c r="J123" s="33"/>
      <c r="K123" s="13"/>
      <c r="L123" s="33"/>
      <c r="M123" s="15" t="str">
        <v>Pasture hay</v>
      </c>
      <c r="N123" s="15" t="str">
        <v>VIC</v>
      </c>
      <c r="O123" s="15">
        <v>1</v>
      </c>
      <c r="P123" s="15" cm="1">
        <f t="array" ref="P123">_xlfn.LET(_xlpm.result, Common_InputFunctions.Utility_LookupValueInTableTwoColumns(M123, N123, Table_SourceData_Scope3_Feed[Product], Table_SourceData_Scope3_Feed[Region of origin], Table_SourceData_Scope3_Feed[Emissions intensity]), IF(_xlpm.result="", 0, _xlpm.result))</f>
        <v>0.34499999999999997</v>
      </c>
      <c r="Q123" s="15">
        <v>0</v>
      </c>
      <c r="R123" s="15">
        <v>0</v>
      </c>
      <c r="S123" s="15">
        <v>0</v>
      </c>
      <c r="T123" s="15" cm="1">
        <f t="array" ref="T123">_xlfn.LET(_xlpm.result, Common_InputFunctions.Utility_LookupValueInTableTwoColumns(Q123, R123, Table_SourceData_Scope3_Feed[Product], Table_SourceData_Scope3_Feed[Region of origin], Table_SourceData_Scope3_Feed[Emissions intensity]), IF(_xlpm.result="", 0, _xlpm.result))</f>
        <v>0</v>
      </c>
      <c r="U123" s="15">
        <v>0</v>
      </c>
      <c r="V123" s="15">
        <v>0</v>
      </c>
      <c r="W123" s="15">
        <v>0</v>
      </c>
      <c r="X123" s="15" cm="1">
        <f t="array" ref="X123">_xlfn.LET(_xlpm.result, Common_InputFunctions.Utility_LookupValueInTableTwoColumns(U123, V123, Table_SourceData_Scope3_Feed[Product], Table_SourceData_Scope3_Feed[Region of origin], Table_SourceData_Scope3_Feed[Emissions intensity]), IF(_xlpm.result="", 0, _xlpm.result))</f>
        <v>0</v>
      </c>
      <c r="Y123" s="15">
        <v>0</v>
      </c>
      <c r="Z123" s="15">
        <v>0</v>
      </c>
      <c r="AA123" s="15">
        <v>0</v>
      </c>
      <c r="AB123" s="15" cm="1">
        <f t="array" ref="AB123">_xlfn.LET(_xlpm.result, Common_InputFunctions.Utility_LookupValueInTableTwoColumns(Y123, Z123, Table_SourceData_Scope3_Feed[Product], Table_SourceData_Scope3_Feed[Region of origin], Table_SourceData_Scope3_Feed[Emissions intensity]), IF(_xlpm.result="", 0, _xlpm.result))</f>
        <v>0</v>
      </c>
    </row>
    <row r="124" spans="1:28" ht="20.100000000000001" customHeight="1" x14ac:dyDescent="0.2">
      <c r="D124" s="15">
        <v>0</v>
      </c>
      <c r="E124" s="15">
        <v>0</v>
      </c>
      <c r="F124" s="15">
        <f t="shared" si="0"/>
        <v>0</v>
      </c>
      <c r="G124" s="251" cm="1">
        <f t="array" ref="G124">Scope3_Equations.VEERG_15_2_1_1__1_EmissionsFromPurchasedFeedVariation(E124,F124)</f>
        <v>0</v>
      </c>
      <c r="H124" s="74"/>
      <c r="I124" s="251" cm="1">
        <f t="array" ref="I124">Scope3_Equations.VEERG_15_2_1_1__1_EmissionsFromPurchasedFeedVariation(E124,IF(H124,H124, F124))</f>
        <v>0</v>
      </c>
      <c r="J124" s="33"/>
      <c r="K124" s="13"/>
      <c r="L124" s="33"/>
      <c r="M124" s="15">
        <v>0</v>
      </c>
      <c r="N124" s="15">
        <v>0</v>
      </c>
      <c r="O124" s="15">
        <v>0</v>
      </c>
      <c r="P124" s="15" cm="1">
        <f t="array" ref="P124">_xlfn.LET(_xlpm.result, Common_InputFunctions.Utility_LookupValueInTableTwoColumns(M124, N124, Table_SourceData_Scope3_Feed[Product], Table_SourceData_Scope3_Feed[Region of origin], Table_SourceData_Scope3_Feed[Emissions intensity]), IF(_xlpm.result="", 0, _xlpm.result))</f>
        <v>0</v>
      </c>
      <c r="Q124" s="15">
        <v>0</v>
      </c>
      <c r="R124" s="15">
        <v>0</v>
      </c>
      <c r="S124" s="15">
        <v>0</v>
      </c>
      <c r="T124" s="15" cm="1">
        <f t="array" ref="T124">_xlfn.LET(_xlpm.result, Common_InputFunctions.Utility_LookupValueInTableTwoColumns(Q124, R124, Table_SourceData_Scope3_Feed[Product], Table_SourceData_Scope3_Feed[Region of origin], Table_SourceData_Scope3_Feed[Emissions intensity]), IF(_xlpm.result="", 0, _xlpm.result))</f>
        <v>0</v>
      </c>
      <c r="U124" s="15">
        <v>0</v>
      </c>
      <c r="V124" s="15">
        <v>0</v>
      </c>
      <c r="W124" s="15">
        <v>0</v>
      </c>
      <c r="X124" s="15" cm="1">
        <f t="array" ref="X124">_xlfn.LET(_xlpm.result, Common_InputFunctions.Utility_LookupValueInTableTwoColumns(U124, V124, Table_SourceData_Scope3_Feed[Product], Table_SourceData_Scope3_Feed[Region of origin], Table_SourceData_Scope3_Feed[Emissions intensity]), IF(_xlpm.result="", 0, _xlpm.result))</f>
        <v>0</v>
      </c>
      <c r="Y124" s="15">
        <v>0</v>
      </c>
      <c r="Z124" s="15">
        <v>0</v>
      </c>
      <c r="AA124" s="15">
        <v>0</v>
      </c>
      <c r="AB124" s="15" cm="1">
        <f t="array" ref="AB124">_xlfn.LET(_xlpm.result, Common_InputFunctions.Utility_LookupValueInTableTwoColumns(Y124, Z124, Table_SourceData_Scope3_Feed[Product], Table_SourceData_Scope3_Feed[Region of origin], Table_SourceData_Scope3_Feed[Emissions intensity]), IF(_xlpm.result="", 0, _xlpm.result))</f>
        <v>0</v>
      </c>
    </row>
    <row r="125" spans="1:28" ht="20.100000000000001" customHeight="1" x14ac:dyDescent="0.2">
      <c r="D125" s="15">
        <v>0</v>
      </c>
      <c r="E125" s="15">
        <v>0</v>
      </c>
      <c r="F125" s="15">
        <f t="shared" si="0"/>
        <v>0</v>
      </c>
      <c r="G125" s="251" cm="1">
        <f t="array" ref="G125">Scope3_Equations.VEERG_15_2_1_1__1_EmissionsFromPurchasedFeedVariation(E125,F125)</f>
        <v>0</v>
      </c>
      <c r="H125" s="74"/>
      <c r="I125" s="251" cm="1">
        <f t="array" ref="I125">Scope3_Equations.VEERG_15_2_1_1__1_EmissionsFromPurchasedFeedVariation(E125,IF(H125,H125, F125))</f>
        <v>0</v>
      </c>
      <c r="J125" s="33"/>
      <c r="K125" s="13"/>
      <c r="L125" s="33"/>
      <c r="M125" s="15">
        <v>0</v>
      </c>
      <c r="N125" s="15">
        <v>0</v>
      </c>
      <c r="O125" s="15">
        <v>0</v>
      </c>
      <c r="P125" s="15" cm="1">
        <f t="array" ref="P125">_xlfn.LET(_xlpm.result, Common_InputFunctions.Utility_LookupValueInTableTwoColumns(M125, N125, Table_SourceData_Scope3_Feed[Product], Table_SourceData_Scope3_Feed[Region of origin], Table_SourceData_Scope3_Feed[Emissions intensity]), IF(_xlpm.result="", 0, _xlpm.result))</f>
        <v>0</v>
      </c>
      <c r="Q125" s="15">
        <v>0</v>
      </c>
      <c r="R125" s="15">
        <v>0</v>
      </c>
      <c r="S125" s="15">
        <v>0</v>
      </c>
      <c r="T125" s="15" cm="1">
        <f t="array" ref="T125">_xlfn.LET(_xlpm.result, Common_InputFunctions.Utility_LookupValueInTableTwoColumns(Q125, R125, Table_SourceData_Scope3_Feed[Product], Table_SourceData_Scope3_Feed[Region of origin], Table_SourceData_Scope3_Feed[Emissions intensity]), IF(_xlpm.result="", 0, _xlpm.result))</f>
        <v>0</v>
      </c>
      <c r="U125" s="15">
        <v>0</v>
      </c>
      <c r="V125" s="15">
        <v>0</v>
      </c>
      <c r="W125" s="15">
        <v>0</v>
      </c>
      <c r="X125" s="15" cm="1">
        <f t="array" ref="X125">_xlfn.LET(_xlpm.result, Common_InputFunctions.Utility_LookupValueInTableTwoColumns(U125, V125, Table_SourceData_Scope3_Feed[Product], Table_SourceData_Scope3_Feed[Region of origin], Table_SourceData_Scope3_Feed[Emissions intensity]), IF(_xlpm.result="", 0, _xlpm.result))</f>
        <v>0</v>
      </c>
      <c r="Y125" s="15">
        <v>0</v>
      </c>
      <c r="Z125" s="15">
        <v>0</v>
      </c>
      <c r="AA125" s="15">
        <v>0</v>
      </c>
      <c r="AB125" s="15" cm="1">
        <f t="array" ref="AB125">_xlfn.LET(_xlpm.result, Common_InputFunctions.Utility_LookupValueInTableTwoColumns(Y125, Z125, Table_SourceData_Scope3_Feed[Product], Table_SourceData_Scope3_Feed[Region of origin], Table_SourceData_Scope3_Feed[Emissions intensity]), IF(_xlpm.result="", 0, _xlpm.result))</f>
        <v>0</v>
      </c>
    </row>
    <row r="126" spans="1:28" ht="20.100000000000001" customHeight="1" x14ac:dyDescent="0.2">
      <c r="D126" s="15">
        <v>0</v>
      </c>
      <c r="E126" s="15">
        <v>0</v>
      </c>
      <c r="F126" s="15">
        <f t="shared" si="0"/>
        <v>0</v>
      </c>
      <c r="G126" s="251" cm="1">
        <f t="array" ref="G126">Scope3_Equations.VEERG_15_2_1_1__1_EmissionsFromPurchasedFeedVariation(E126,F126)</f>
        <v>0</v>
      </c>
      <c r="H126" s="74"/>
      <c r="I126" s="251" cm="1">
        <f t="array" ref="I126">Scope3_Equations.VEERG_15_2_1_1__1_EmissionsFromPurchasedFeedVariation(E126,IF(H126,H126, F126))</f>
        <v>0</v>
      </c>
      <c r="J126" s="33"/>
      <c r="K126" s="13"/>
      <c r="L126" s="33"/>
      <c r="M126" s="15">
        <v>0</v>
      </c>
      <c r="N126" s="15">
        <v>0</v>
      </c>
      <c r="O126" s="15">
        <v>0</v>
      </c>
      <c r="P126" s="15" cm="1">
        <f t="array" ref="P126">_xlfn.LET(_xlpm.result, Common_InputFunctions.Utility_LookupValueInTableTwoColumns(M126, N126, Table_SourceData_Scope3_Feed[Product], Table_SourceData_Scope3_Feed[Region of origin], Table_SourceData_Scope3_Feed[Emissions intensity]), IF(_xlpm.result="", 0, _xlpm.result))</f>
        <v>0</v>
      </c>
      <c r="Q126" s="15">
        <v>0</v>
      </c>
      <c r="R126" s="15">
        <v>0</v>
      </c>
      <c r="S126" s="15">
        <v>0</v>
      </c>
      <c r="T126" s="15" cm="1">
        <f t="array" ref="T126">_xlfn.LET(_xlpm.result, Common_InputFunctions.Utility_LookupValueInTableTwoColumns(Q126, R126, Table_SourceData_Scope3_Feed[Product], Table_SourceData_Scope3_Feed[Region of origin], Table_SourceData_Scope3_Feed[Emissions intensity]), IF(_xlpm.result="", 0, _xlpm.result))</f>
        <v>0</v>
      </c>
      <c r="U126" s="15">
        <v>0</v>
      </c>
      <c r="V126" s="15">
        <v>0</v>
      </c>
      <c r="W126" s="15">
        <v>0</v>
      </c>
      <c r="X126" s="15" cm="1">
        <f t="array" ref="X126">_xlfn.LET(_xlpm.result, Common_InputFunctions.Utility_LookupValueInTableTwoColumns(U126, V126, Table_SourceData_Scope3_Feed[Product], Table_SourceData_Scope3_Feed[Region of origin], Table_SourceData_Scope3_Feed[Emissions intensity]), IF(_xlpm.result="", 0, _xlpm.result))</f>
        <v>0</v>
      </c>
      <c r="Y126" s="15">
        <v>0</v>
      </c>
      <c r="Z126" s="15">
        <v>0</v>
      </c>
      <c r="AA126" s="15">
        <v>0</v>
      </c>
      <c r="AB126" s="15" cm="1">
        <f t="array" ref="AB126">_xlfn.LET(_xlpm.result, Common_InputFunctions.Utility_LookupValueInTableTwoColumns(Y126, Z126, Table_SourceData_Scope3_Feed[Product], Table_SourceData_Scope3_Feed[Region of origin], Table_SourceData_Scope3_Feed[Emissions intensity]), IF(_xlpm.result="", 0, _xlpm.result))</f>
        <v>0</v>
      </c>
    </row>
    <row r="127" spans="1:28" ht="20.100000000000001" customHeight="1" x14ac:dyDescent="0.2">
      <c r="D127" s="15">
        <v>0</v>
      </c>
      <c r="E127" s="15">
        <v>0</v>
      </c>
      <c r="F127" s="15">
        <f t="shared" si="0"/>
        <v>0</v>
      </c>
      <c r="G127" s="251" cm="1">
        <f t="array" ref="G127">Scope3_Equations.VEERG_15_2_1_1__1_EmissionsFromPurchasedFeedVariation(E127,F127)</f>
        <v>0</v>
      </c>
      <c r="H127" s="74"/>
      <c r="I127" s="251" cm="1">
        <f t="array" ref="I127">Scope3_Equations.VEERG_15_2_1_1__1_EmissionsFromPurchasedFeedVariation(E127,IF(H127,H127, F127))</f>
        <v>0</v>
      </c>
      <c r="J127" s="33"/>
      <c r="K127" s="13"/>
      <c r="L127" s="33"/>
      <c r="M127" s="15">
        <v>0</v>
      </c>
      <c r="N127" s="15">
        <v>0</v>
      </c>
      <c r="O127" s="15">
        <v>0</v>
      </c>
      <c r="P127" s="15" cm="1">
        <f t="array" ref="P127">_xlfn.LET(_xlpm.result, Common_InputFunctions.Utility_LookupValueInTableTwoColumns(M127, N127, Table_SourceData_Scope3_Feed[Product], Table_SourceData_Scope3_Feed[Region of origin], Table_SourceData_Scope3_Feed[Emissions intensity]), IF(_xlpm.result="", 0, _xlpm.result))</f>
        <v>0</v>
      </c>
      <c r="Q127" s="15">
        <v>0</v>
      </c>
      <c r="R127" s="15">
        <v>0</v>
      </c>
      <c r="S127" s="15">
        <v>0</v>
      </c>
      <c r="T127" s="15" cm="1">
        <f t="array" ref="T127">_xlfn.LET(_xlpm.result, Common_InputFunctions.Utility_LookupValueInTableTwoColumns(Q127, R127, Table_SourceData_Scope3_Feed[Product], Table_SourceData_Scope3_Feed[Region of origin], Table_SourceData_Scope3_Feed[Emissions intensity]), IF(_xlpm.result="", 0, _xlpm.result))</f>
        <v>0</v>
      </c>
      <c r="U127" s="15">
        <v>0</v>
      </c>
      <c r="V127" s="15">
        <v>0</v>
      </c>
      <c r="W127" s="15">
        <v>0</v>
      </c>
      <c r="X127" s="15" cm="1">
        <f t="array" ref="X127">_xlfn.LET(_xlpm.result, Common_InputFunctions.Utility_LookupValueInTableTwoColumns(U127, V127, Table_SourceData_Scope3_Feed[Product], Table_SourceData_Scope3_Feed[Region of origin], Table_SourceData_Scope3_Feed[Emissions intensity]), IF(_xlpm.result="", 0, _xlpm.result))</f>
        <v>0</v>
      </c>
      <c r="Y127" s="15">
        <v>0</v>
      </c>
      <c r="Z127" s="15">
        <v>0</v>
      </c>
      <c r="AA127" s="15">
        <v>0</v>
      </c>
      <c r="AB127" s="15" cm="1">
        <f t="array" ref="AB127">_xlfn.LET(_xlpm.result, Common_InputFunctions.Utility_LookupValueInTableTwoColumns(Y127, Z127, Table_SourceData_Scope3_Feed[Product], Table_SourceData_Scope3_Feed[Region of origin], Table_SourceData_Scope3_Feed[Emissions intensity]), IF(_xlpm.result="", 0, _xlpm.result))</f>
        <v>0</v>
      </c>
    </row>
    <row r="128" spans="1:28" ht="20.100000000000001" customHeight="1" x14ac:dyDescent="0.2">
      <c r="A128" s="79" t="str">
        <f>HYPERLINK("#A1", "▲ Back to top")</f>
        <v>▲ Back to top</v>
      </c>
      <c r="D128" s="15">
        <v>0</v>
      </c>
      <c r="E128" s="15">
        <v>0</v>
      </c>
      <c r="F128" s="15">
        <f t="shared" si="0"/>
        <v>0</v>
      </c>
      <c r="G128" s="251" cm="1">
        <f t="array" ref="G128">Scope3_Equations.VEERG_15_2_1_1__1_EmissionsFromPurchasedFeedVariation(E128,F128)</f>
        <v>0</v>
      </c>
      <c r="H128" s="74"/>
      <c r="I128" s="251" cm="1">
        <f t="array" ref="I128">Scope3_Equations.VEERG_15_2_1_1__1_EmissionsFromPurchasedFeedVariation(E128,IF(H128,H128, F128))</f>
        <v>0</v>
      </c>
      <c r="J128" s="33"/>
      <c r="K128" s="13"/>
      <c r="L128" s="33"/>
      <c r="M128" s="15">
        <v>0</v>
      </c>
      <c r="N128" s="15">
        <v>0</v>
      </c>
      <c r="O128" s="15">
        <v>0</v>
      </c>
      <c r="P128" s="15" cm="1">
        <f t="array" ref="P128">_xlfn.LET(_xlpm.result, Common_InputFunctions.Utility_LookupValueInTableTwoColumns(M128, N128, Table_SourceData_Scope3_Feed[Product], Table_SourceData_Scope3_Feed[Region of origin], Table_SourceData_Scope3_Feed[Emissions intensity]), IF(_xlpm.result="", 0, _xlpm.result))</f>
        <v>0</v>
      </c>
      <c r="Q128" s="15">
        <v>0</v>
      </c>
      <c r="R128" s="15">
        <v>0</v>
      </c>
      <c r="S128" s="15">
        <v>0</v>
      </c>
      <c r="T128" s="15" cm="1">
        <f t="array" ref="T128">_xlfn.LET(_xlpm.result, Common_InputFunctions.Utility_LookupValueInTableTwoColumns(Q128, R128, Table_SourceData_Scope3_Feed[Product], Table_SourceData_Scope3_Feed[Region of origin], Table_SourceData_Scope3_Feed[Emissions intensity]), IF(_xlpm.result="", 0, _xlpm.result))</f>
        <v>0</v>
      </c>
      <c r="U128" s="15">
        <v>0</v>
      </c>
      <c r="V128" s="15">
        <v>0</v>
      </c>
      <c r="W128" s="15">
        <v>0</v>
      </c>
      <c r="X128" s="15" cm="1">
        <f t="array" ref="X128">_xlfn.LET(_xlpm.result, Common_InputFunctions.Utility_LookupValueInTableTwoColumns(U128, V128, Table_SourceData_Scope3_Feed[Product], Table_SourceData_Scope3_Feed[Region of origin], Table_SourceData_Scope3_Feed[Emissions intensity]), IF(_xlpm.result="", 0, _xlpm.result))</f>
        <v>0</v>
      </c>
      <c r="Y128" s="15">
        <v>0</v>
      </c>
      <c r="Z128" s="15">
        <v>0</v>
      </c>
      <c r="AA128" s="15">
        <v>0</v>
      </c>
      <c r="AB128" s="15" cm="1">
        <f t="array" ref="AB128">_xlfn.LET(_xlpm.result, Common_InputFunctions.Utility_LookupValueInTableTwoColumns(Y128, Z128, Table_SourceData_Scope3_Feed[Product], Table_SourceData_Scope3_Feed[Region of origin], Table_SourceData_Scope3_Feed[Emissions intensity]), IF(_xlpm.result="", 0, _xlpm.result))</f>
        <v>0</v>
      </c>
    </row>
    <row r="129" spans="4:28" ht="20.100000000000001" customHeight="1" x14ac:dyDescent="0.2">
      <c r="D129" s="15">
        <v>0</v>
      </c>
      <c r="E129" s="15">
        <v>0</v>
      </c>
      <c r="F129" s="15">
        <f t="shared" si="0"/>
        <v>0</v>
      </c>
      <c r="G129" s="251" cm="1">
        <f t="array" ref="G129">Scope3_Equations.VEERG_15_2_1_1__1_EmissionsFromPurchasedFeedVariation(E129,F129)</f>
        <v>0</v>
      </c>
      <c r="H129" s="74"/>
      <c r="I129" s="251" cm="1">
        <f t="array" ref="I129">Scope3_Equations.VEERG_15_2_1_1__1_EmissionsFromPurchasedFeedVariation(E129,IF(H129,H129, F129))</f>
        <v>0</v>
      </c>
      <c r="J129" s="33"/>
      <c r="K129" s="13"/>
      <c r="L129" s="33"/>
      <c r="M129" s="15">
        <v>0</v>
      </c>
      <c r="N129" s="15">
        <v>0</v>
      </c>
      <c r="O129" s="15">
        <v>0</v>
      </c>
      <c r="P129" s="15" cm="1">
        <f t="array" ref="P129">_xlfn.LET(_xlpm.result, Common_InputFunctions.Utility_LookupValueInTableTwoColumns(M129, N129, Table_SourceData_Scope3_Feed[Product], Table_SourceData_Scope3_Feed[Region of origin], Table_SourceData_Scope3_Feed[Emissions intensity]), IF(_xlpm.result="", 0, _xlpm.result))</f>
        <v>0</v>
      </c>
      <c r="Q129" s="15">
        <v>0</v>
      </c>
      <c r="R129" s="15">
        <v>0</v>
      </c>
      <c r="S129" s="15">
        <v>0</v>
      </c>
      <c r="T129" s="15" cm="1">
        <f t="array" ref="T129">_xlfn.LET(_xlpm.result, Common_InputFunctions.Utility_LookupValueInTableTwoColumns(Q129, R129, Table_SourceData_Scope3_Feed[Product], Table_SourceData_Scope3_Feed[Region of origin], Table_SourceData_Scope3_Feed[Emissions intensity]), IF(_xlpm.result="", 0, _xlpm.result))</f>
        <v>0</v>
      </c>
      <c r="U129" s="15">
        <v>0</v>
      </c>
      <c r="V129" s="15">
        <v>0</v>
      </c>
      <c r="W129" s="15">
        <v>0</v>
      </c>
      <c r="X129" s="15" cm="1">
        <f t="array" ref="X129">_xlfn.LET(_xlpm.result, Common_InputFunctions.Utility_LookupValueInTableTwoColumns(U129, V129, Table_SourceData_Scope3_Feed[Product], Table_SourceData_Scope3_Feed[Region of origin], Table_SourceData_Scope3_Feed[Emissions intensity]), IF(_xlpm.result="", 0, _xlpm.result))</f>
        <v>0</v>
      </c>
      <c r="Y129" s="15">
        <v>0</v>
      </c>
      <c r="Z129" s="15">
        <v>0</v>
      </c>
      <c r="AA129" s="15">
        <v>0</v>
      </c>
      <c r="AB129" s="15" cm="1">
        <f t="array" ref="AB129">_xlfn.LET(_xlpm.result, Common_InputFunctions.Utility_LookupValueInTableTwoColumns(Y129, Z129, Table_SourceData_Scope3_Feed[Product], Table_SourceData_Scope3_Feed[Region of origin], Table_SourceData_Scope3_Feed[Emissions intensity]), IF(_xlpm.result="", 0, _xlpm.result))</f>
        <v>0</v>
      </c>
    </row>
    <row r="131" spans="4:28" ht="20.100000000000001" customHeight="1" x14ac:dyDescent="0.2">
      <c r="D131" s="88" t="s">
        <v>1041</v>
      </c>
      <c r="E131" s="83">
        <f>SUM(G120:G129)</f>
        <v>0.61015200000000003</v>
      </c>
      <c r="F131" s="89" t="str">
        <f>$E$105</f>
        <v>t CO2e</v>
      </c>
    </row>
    <row r="132" spans="4:28" ht="20.100000000000001" customHeight="1" x14ac:dyDescent="0.2">
      <c r="D132" s="88" t="s">
        <v>1044</v>
      </c>
      <c r="E132" s="83">
        <f>SUM(I120:I129)</f>
        <v>0.36618000000000001</v>
      </c>
      <c r="F132" s="89" t="str">
        <f>$E$105</f>
        <v>t CO2e</v>
      </c>
    </row>
    <row r="135" spans="4:28" ht="20.100000000000001" customHeight="1" x14ac:dyDescent="0.2">
      <c r="D135" s="244" t="s">
        <v>977</v>
      </c>
    </row>
    <row r="136" spans="4:28" ht="20.100000000000001" customHeight="1" x14ac:dyDescent="0.2">
      <c r="D136" s="78" t="s">
        <v>132</v>
      </c>
      <c r="E136" s="78" t="s">
        <v>1069</v>
      </c>
      <c r="F136" s="120" t="s">
        <v>1070</v>
      </c>
      <c r="G136" s="120" t="s">
        <v>1041</v>
      </c>
      <c r="H136" s="78" t="s">
        <v>1071</v>
      </c>
      <c r="I136" s="120" t="s">
        <v>1044</v>
      </c>
      <c r="J136" s="78" t="s">
        <v>1045</v>
      </c>
      <c r="K136" s="78" t="s">
        <v>1046</v>
      </c>
      <c r="L136" s="78" t="s">
        <v>1047</v>
      </c>
    </row>
    <row r="137" spans="4:28" ht="20.100000000000001" customHeight="1" x14ac:dyDescent="0.2">
      <c r="D137" s="15" t="str">
        <f>'Input - Livestock farm Inputs'!D12</f>
        <v>Feed for chickens</v>
      </c>
      <c r="E137" s="15">
        <f>IFERROR(X_Cell_FarmInputs_FeedRations_Chickens, 0)</f>
        <v>100</v>
      </c>
      <c r="F137" s="15" cm="1">
        <f t="array" ref="F137">Common_InputFunctions.Utility_LookupValueInTableNumber(D137,Table_SourceData_Scope3_MixedRations[Product],Table_SourceData_Scope3_MixedRations[Emissions intensity])</f>
        <v>0.59399999999999997</v>
      </c>
      <c r="G137" s="251" cm="1">
        <f t="array" ref="G137">Scope3_Equations.VEERG_15_2_1_1__1_EmissionsFromPurchasedFeedVariation(E137,F137)</f>
        <v>5.9400000000000001E-2</v>
      </c>
      <c r="H137" s="74">
        <v>0.5</v>
      </c>
      <c r="I137" s="251" cm="1">
        <f t="array" ref="I137">Scope3_Equations.VEERG_15_2_1_1__1_EmissionsFromPurchasedFeedVariation(E137,IF(H137,H137, F137))</f>
        <v>0.05</v>
      </c>
      <c r="J137" s="33"/>
      <c r="K137" s="13"/>
      <c r="L137" s="33"/>
    </row>
    <row r="138" spans="4:28" ht="20.100000000000001" customHeight="1" x14ac:dyDescent="0.2">
      <c r="D138" s="15" t="str">
        <f>'Input - Livestock farm Inputs'!D13</f>
        <v>Feed for dairy calves</v>
      </c>
      <c r="E138" s="15">
        <f>IFERROR(X_Cell_FarmInputs_FeedRations_DairyCalves, 0)</f>
        <v>100</v>
      </c>
      <c r="F138" s="15" cm="1">
        <f t="array" ref="F138">Common_InputFunctions.Utility_LookupValueInTableNumber(D138,Table_SourceData_Scope3_MixedRations[Product],Table_SourceData_Scope3_MixedRations[Emissions intensity])</f>
        <v>0.41899999999999998</v>
      </c>
      <c r="G138" s="251" cm="1">
        <f t="array" ref="G138">Scope3_Equations.VEERG_15_2_1_1__1_EmissionsFromPurchasedFeedVariation(E138,F138)</f>
        <v>4.19E-2</v>
      </c>
      <c r="H138" s="74">
        <v>0.4</v>
      </c>
      <c r="I138" s="251" cm="1">
        <f t="array" ref="I138">Scope3_Equations.VEERG_15_2_1_1__1_EmissionsFromPurchasedFeedVariation(E138,IF(H138,H138, F138))</f>
        <v>0.04</v>
      </c>
      <c r="J138" s="33"/>
      <c r="K138" s="13"/>
      <c r="L138" s="33"/>
    </row>
    <row r="139" spans="4:28" ht="20.100000000000001" customHeight="1" x14ac:dyDescent="0.2">
      <c r="D139" s="15" t="str">
        <f>'Input - Livestock farm Inputs'!D14</f>
        <v>Feed for dairy cows</v>
      </c>
      <c r="E139" s="15">
        <f>IFERROR(X_Cell_FarmInputs_FeedRations_DairyCows, 0)</f>
        <v>100</v>
      </c>
      <c r="F139" s="15" cm="1">
        <f t="array" ref="F139">Common_InputFunctions.Utility_LookupValueInTableNumber(D139,Table_SourceData_Scope3_MixedRations[Product],Table_SourceData_Scope3_MixedRations[Emissions intensity])</f>
        <v>0.33300000000000002</v>
      </c>
      <c r="G139" s="251" cm="1">
        <f t="array" ref="G139">Scope3_Equations.VEERG_15_2_1_1__1_EmissionsFromPurchasedFeedVariation(E139,F139)</f>
        <v>3.3300000000000003E-2</v>
      </c>
      <c r="H139" s="74">
        <v>0</v>
      </c>
      <c r="I139" s="251" cm="1">
        <f t="array" ref="I139">Scope3_Equations.VEERG_15_2_1_1__1_EmissionsFromPurchasedFeedVariation(E139,IF(H139,H139, F139))</f>
        <v>3.3300000000000003E-2</v>
      </c>
      <c r="J139" s="33"/>
      <c r="K139" s="13"/>
      <c r="L139" s="33"/>
    </row>
    <row r="140" spans="4:28" ht="20.100000000000001" customHeight="1" x14ac:dyDescent="0.2">
      <c r="D140" s="15" t="str">
        <f>'Input - Livestock farm Inputs'!D15</f>
        <v>Feed for pigs</v>
      </c>
      <c r="E140" s="15">
        <f>IFERROR(X_Cell_FarmInputs_FeedRations_Pigs, 0)</f>
        <v>100</v>
      </c>
      <c r="F140" s="15" cm="1">
        <f t="array" ref="F140">Common_InputFunctions.Utility_LookupValueInTableNumber(D140,Table_SourceData_Scope3_MixedRations[Product],Table_SourceData_Scope3_MixedRations[Emissions intensity])</f>
        <v>0.40300000000000002</v>
      </c>
      <c r="G140" s="251" cm="1">
        <f t="array" ref="G140">Scope3_Equations.VEERG_15_2_1_1__1_EmissionsFromPurchasedFeedVariation(E140,F140)</f>
        <v>4.0300000000000002E-2</v>
      </c>
      <c r="H140" s="74">
        <v>0</v>
      </c>
      <c r="I140" s="251" cm="1">
        <f t="array" ref="I140">Scope3_Equations.VEERG_15_2_1_1__1_EmissionsFromPurchasedFeedVariation(E140,IF(H140,H140, F140))</f>
        <v>4.0300000000000002E-2</v>
      </c>
      <c r="J140" s="33"/>
      <c r="K140" s="13"/>
      <c r="L140" s="33"/>
    </row>
    <row r="142" spans="4:28" ht="20.100000000000001" customHeight="1" x14ac:dyDescent="0.2">
      <c r="D142" s="88" t="s">
        <v>1041</v>
      </c>
      <c r="E142" s="83">
        <f>SUM(G137:G140)</f>
        <v>0.1749</v>
      </c>
      <c r="F142" s="89" t="str">
        <f>$E$105</f>
        <v>t CO2e</v>
      </c>
    </row>
    <row r="143" spans="4:28" ht="20.100000000000001" customHeight="1" x14ac:dyDescent="0.2">
      <c r="D143" s="88" t="s">
        <v>1044</v>
      </c>
      <c r="E143" s="83">
        <f>SUM(I137:I140)</f>
        <v>0.1636</v>
      </c>
      <c r="F143" s="89" t="str">
        <f>$E$105</f>
        <v>t CO2e</v>
      </c>
    </row>
    <row r="146" spans="1:12" ht="20.100000000000001" customHeight="1" x14ac:dyDescent="0.2">
      <c r="D146" s="244" t="s">
        <v>1080</v>
      </c>
    </row>
    <row r="147" spans="1:12" ht="20.100000000000001" customHeight="1" x14ac:dyDescent="0.2">
      <c r="D147" s="78" t="s">
        <v>132</v>
      </c>
      <c r="E147" s="78" t="s">
        <v>1069</v>
      </c>
      <c r="F147" s="120" t="s">
        <v>1070</v>
      </c>
      <c r="G147" s="120" t="s">
        <v>1041</v>
      </c>
      <c r="H147" s="78" t="s">
        <v>1071</v>
      </c>
      <c r="I147" s="120" t="s">
        <v>1044</v>
      </c>
      <c r="J147" s="78" t="s">
        <v>1045</v>
      </c>
      <c r="K147" s="78" t="s">
        <v>1046</v>
      </c>
      <c r="L147" s="78" t="s">
        <v>1047</v>
      </c>
    </row>
    <row r="148" spans="1:12" ht="20.100000000000001" customHeight="1" x14ac:dyDescent="0.2">
      <c r="D148" s="15"/>
      <c r="E148" s="15">
        <f>IFERROR(X_Cell_Input_AquacultureInput_SardinesSouthAustralia, 0)</f>
        <v>0</v>
      </c>
      <c r="F148" s="15" cm="1">
        <f t="array" ref="F148">Common_InputFunctions.Utility_LookupValueInTableNumber("Sardines (whole)" &amp;"SA", Table_SourceData_Scope3_FishFeedAndBait[Product]&amp;Table_SourceData_Scope3_FishFeedAndBait[Region of origin], Table_SourceData_Scope3_FishFeedAndBait[Emissions intensity])</f>
        <v>0.376</v>
      </c>
      <c r="G148" s="251" cm="1">
        <f t="array" ref="G148">Scope3_Equations.VEERG_15_2_1_1__1_EmissionsFromPurchasedFeedVariation(E148,F148)</f>
        <v>0</v>
      </c>
      <c r="H148" s="74">
        <v>0.2</v>
      </c>
      <c r="I148" s="251" cm="1">
        <f t="array" ref="I148">Scope3_Equations.VEERG_15_2_1_1__1_EmissionsFromPurchasedFeedVariation(E148,IF(H148,H148, F148))</f>
        <v>0</v>
      </c>
      <c r="J148" s="33"/>
      <c r="K148" s="33"/>
      <c r="L148" s="33"/>
    </row>
    <row r="149" spans="1:12" ht="20.100000000000001" customHeight="1" x14ac:dyDescent="0.2">
      <c r="D149" s="15"/>
      <c r="E149" s="15">
        <f>IFERROR(X_Cell_Input_AquacultureInput_SardinesAustralia, 0)</f>
        <v>0</v>
      </c>
      <c r="F149" s="15" cm="1">
        <f t="array" ref="F149">Common_InputFunctions.Utility_LookupValueInTableNumber("Sardines (whole)" &amp;"Australia", Table_SourceData_Scope3_FishFeedAndBait[Product]&amp;Table_SourceData_Scope3_FishFeedAndBait[Region of origin], Table_SourceData_Scope3_FishFeedAndBait[Emissions intensity])</f>
        <v>0.3</v>
      </c>
      <c r="G149" s="251" cm="1">
        <f t="array" ref="G149">Scope3_Equations.VEERG_15_2_1_1__1_EmissionsFromPurchasedFeedVariation(E149,F149)</f>
        <v>0</v>
      </c>
      <c r="H149" s="74">
        <v>0</v>
      </c>
      <c r="I149" s="251" cm="1">
        <f t="array" ref="I149">Scope3_Equations.VEERG_15_2_1_1__1_EmissionsFromPurchasedFeedVariation(E149,IF(H149,H149, F149))</f>
        <v>0</v>
      </c>
      <c r="J149" s="33"/>
      <c r="K149" s="33"/>
      <c r="L149" s="33"/>
    </row>
    <row r="150" spans="1:12" ht="20.100000000000001" customHeight="1" x14ac:dyDescent="0.2">
      <c r="D150" s="15"/>
      <c r="E150" s="15">
        <f>IFERROR(X_Cell_Input_AquacultureInput_LowAnimalProteinFormulatedFeed, 0)</f>
        <v>0</v>
      </c>
      <c r="F150" s="15" cm="1">
        <f t="array" ref="F150">Common_InputFunctions.Utility_LookupValueInTableNumber(D150&amp;"Australia", Table_SourceData_Scope3_FishFeedAndBait[Product]&amp;Table_SourceData_Scope3_FishFeedAndBait[Region of origin], Table_SourceData_Scope3_FishFeedAndBait[Emissions intensity])</f>
        <v>0</v>
      </c>
      <c r="G150" s="251" cm="1">
        <f t="array" ref="G150">Scope3_Equations.VEERG_15_2_1_1__1_EmissionsFromPurchasedFeedVariation(E150,F150)</f>
        <v>0</v>
      </c>
      <c r="H150" s="74">
        <v>0</v>
      </c>
      <c r="I150" s="251" cm="1">
        <f t="array" ref="I150">Scope3_Equations.VEERG_15_2_1_1__1_EmissionsFromPurchasedFeedVariation(E150,IF(H150,H150, F150))</f>
        <v>0</v>
      </c>
      <c r="J150" s="33"/>
      <c r="K150" s="33"/>
      <c r="L150" s="33"/>
    </row>
    <row r="151" spans="1:12" ht="20.100000000000001" customHeight="1" x14ac:dyDescent="0.2">
      <c r="D151" s="15"/>
      <c r="E151" s="15">
        <f>IFERROR(X_Cell_Input_AquacultureInput_Squid, 0)</f>
        <v>0</v>
      </c>
      <c r="F151" s="15" cm="1">
        <f t="array" ref="F151">Common_InputFunctions.Utility_LookupValueInTableNumber(D151&amp;"Australia", Table_SourceData_Scope3_FishFeedAndBait[Product]&amp;Table_SourceData_Scope3_FishFeedAndBait[Region of origin], Table_SourceData_Scope3_FishFeedAndBait[Emissions intensity])</f>
        <v>0</v>
      </c>
      <c r="G151" s="251" cm="1">
        <f t="array" ref="G151">Scope3_Equations.VEERG_15_2_1_1__1_EmissionsFromPurchasedFeedVariation(E151,F151)</f>
        <v>0</v>
      </c>
      <c r="H151" s="74">
        <v>0</v>
      </c>
      <c r="I151" s="251" cm="1">
        <f t="array" ref="I151">Scope3_Equations.VEERG_15_2_1_1__1_EmissionsFromPurchasedFeedVariation(E151,IF(H151,H151, F151))</f>
        <v>0</v>
      </c>
      <c r="J151" s="33"/>
      <c r="K151" s="33"/>
      <c r="L151" s="33"/>
    </row>
    <row r="152" spans="1:12" ht="20.100000000000001" customHeight="1" x14ac:dyDescent="0.2">
      <c r="D152" s="15"/>
      <c r="E152" s="15">
        <f>IFERROR(X_Cell_Input_AquacultureInput_WholeFish, 0)</f>
        <v>0</v>
      </c>
      <c r="F152" s="15" cm="1">
        <f t="array" ref="F152">Common_InputFunctions.Utility_LookupValueInTableNumber(D152&amp;"Australia", Table_SourceData_Scope3_FishFeedAndBait[Product]&amp;Table_SourceData_Scope3_FishFeedAndBait[Region of origin], Table_SourceData_Scope3_FishFeedAndBait[Emissions intensity])</f>
        <v>0</v>
      </c>
      <c r="G152" s="251" cm="1">
        <f t="array" ref="G152">Scope3_Equations.VEERG_15_2_1_1__1_EmissionsFromPurchasedFeedVariation(E152,F152)</f>
        <v>0</v>
      </c>
      <c r="H152" s="74">
        <v>0</v>
      </c>
      <c r="I152" s="251" cm="1">
        <f t="array" ref="I152">Scope3_Equations.VEERG_15_2_1_1__1_EmissionsFromPurchasedFeedVariation(E152,IF(H152,H152, F152))</f>
        <v>0</v>
      </c>
      <c r="J152" s="33"/>
      <c r="K152" s="33"/>
      <c r="L152" s="33"/>
    </row>
    <row r="153" spans="1:12" ht="20.100000000000001" customHeight="1" x14ac:dyDescent="0.2">
      <c r="D153" s="15"/>
      <c r="E153" s="15">
        <f>IFERROR(X_Cell_Input_AquacultureInput_CustomBait, 0)</f>
        <v>0</v>
      </c>
      <c r="F153" s="15" cm="1">
        <f t="array" ref="F153">Common_InputFunctions.Utility_LookupValueInTableNumber(D153&amp;"Australia", Table_SourceData_Scope3_FishFeedAndBait[Product]&amp;Table_SourceData_Scope3_FishFeedAndBait[Region of origin], Table_SourceData_Scope3_FishFeedAndBait[Emissions intensity])</f>
        <v>0</v>
      </c>
      <c r="G153" s="251" cm="1">
        <f t="array" ref="G153">Scope3_Equations.VEERG_15_2_1_1__1_EmissionsFromPurchasedFeedVariation(E153,F153)</f>
        <v>0</v>
      </c>
      <c r="H153" s="74">
        <v>0</v>
      </c>
      <c r="I153" s="251" cm="1">
        <f t="array" ref="I153">Scope3_Equations.VEERG_15_2_1_1__1_EmissionsFromPurchasedFeedVariation(E153,IF(H153,H153, F153))</f>
        <v>0</v>
      </c>
      <c r="J153" s="33"/>
      <c r="K153" s="33"/>
      <c r="L153" s="33"/>
    </row>
    <row r="155" spans="1:12" ht="20.100000000000001" customHeight="1" x14ac:dyDescent="0.2">
      <c r="D155" s="88" t="s">
        <v>1041</v>
      </c>
      <c r="E155" s="83">
        <f>SUM(G148:G153)</f>
        <v>0</v>
      </c>
      <c r="F155" s="89" t="str">
        <f>$E$105</f>
        <v>t CO2e</v>
      </c>
    </row>
    <row r="156" spans="1:12" ht="20.100000000000001" customHeight="1" x14ac:dyDescent="0.2">
      <c r="D156" s="88" t="s">
        <v>1044</v>
      </c>
      <c r="E156" s="83">
        <f>SUM(I148:I153)</f>
        <v>0</v>
      </c>
      <c r="F156" s="89" t="str">
        <f>$E$105</f>
        <v>t CO2e</v>
      </c>
    </row>
    <row r="158" spans="1:12" ht="20.100000000000001" customHeight="1" x14ac:dyDescent="0.2">
      <c r="A158" s="79" t="str">
        <f>HYPERLINK("#A1", "▲ Back to top")</f>
        <v>▲ Back to top</v>
      </c>
    </row>
    <row r="159" spans="1:12" ht="20.100000000000001" customHeight="1" x14ac:dyDescent="0.2">
      <c r="D159" s="85" t="s">
        <v>1041</v>
      </c>
      <c r="E159" s="86">
        <f>E131+E142+E155</f>
        <v>0.78505200000000008</v>
      </c>
      <c r="F159" s="95" t="str">
        <f>$E$105</f>
        <v>t CO2e</v>
      </c>
    </row>
    <row r="160" spans="1:12" ht="20.100000000000001" customHeight="1" x14ac:dyDescent="0.2">
      <c r="D160" s="85" t="s">
        <v>1044</v>
      </c>
      <c r="E160" s="86">
        <f>E132+E143+E156</f>
        <v>0.52978000000000003</v>
      </c>
      <c r="F160" s="95" t="str">
        <f>$E$105</f>
        <v>t CO2e</v>
      </c>
    </row>
    <row r="163" spans="3:41" ht="20.100000000000001" customHeight="1" x14ac:dyDescent="0.2">
      <c r="C163" s="83"/>
      <c r="D163" s="83"/>
      <c r="E163" s="83"/>
      <c r="F163" s="83"/>
      <c r="G163" s="83"/>
      <c r="H163" s="83"/>
      <c r="I163" s="83"/>
      <c r="J163" s="83"/>
      <c r="K163" s="83"/>
      <c r="L163" s="83"/>
      <c r="M163" s="83"/>
      <c r="N163" s="83"/>
      <c r="O163" s="83"/>
      <c r="P163" s="83"/>
      <c r="Q163" s="83"/>
      <c r="R163" s="83"/>
      <c r="S163" s="83"/>
      <c r="T163" s="83"/>
      <c r="U163" s="83"/>
      <c r="V163" s="83"/>
      <c r="W163" s="83"/>
      <c r="X163" s="83"/>
      <c r="Y163" s="83"/>
      <c r="Z163" s="83"/>
      <c r="AA163" s="83"/>
      <c r="AB163" s="83"/>
      <c r="AC163" s="83"/>
      <c r="AD163" s="83"/>
      <c r="AE163" s="83"/>
      <c r="AF163" s="83"/>
      <c r="AG163" s="83"/>
      <c r="AH163" s="83"/>
      <c r="AI163" s="83"/>
      <c r="AJ163" s="83"/>
      <c r="AK163" s="83"/>
      <c r="AL163" s="83"/>
      <c r="AM163" s="83"/>
      <c r="AN163" s="83"/>
      <c r="AO163" s="83"/>
    </row>
    <row r="164" spans="3:41" ht="20.100000000000001" customHeight="1" x14ac:dyDescent="0.2">
      <c r="D164" s="2" t="str" cm="1">
        <f t="array" ref="D164">Scope3_Equations.VEERG_15_3_1_1__1_EmissionsFromPurchasedMineralSupplements_Title()</f>
        <v>Total emissions from purchased mineral supplements</v>
      </c>
    </row>
    <row r="165" spans="3:41" ht="20.100000000000001" customHeight="1" x14ac:dyDescent="0.2">
      <c r="D165" s="17" t="str" cm="1">
        <f t="array" ref="D165">Scope3_Equations.VEERG_15_3_1_1__1_EmissionsFromPurchasedMineralSupplements_Source()</f>
        <v>VEERG 2026: 15.3.1.1, Equation (1)</v>
      </c>
    </row>
    <row r="166" spans="3:41" ht="20.100000000000001" customHeight="1" x14ac:dyDescent="0.2">
      <c r="D166" s="112" t="s">
        <v>328</v>
      </c>
      <c r="E166" s="112" t="str" cm="1">
        <f t="array" aca="1" ref="E166" ca="1">Common_InputFunctions.Utility_DisplayFunctionName(G177)</f>
        <v>=Scope3_Equations.VEERG_15_3_1_1__1_EmissionsFromPurchasedMineralSupplementsVariation</v>
      </c>
    </row>
    <row r="168" spans="3:41" ht="20.100000000000001" customHeight="1" x14ac:dyDescent="0.2">
      <c r="F168" s="25" t="str" cm="1">
        <f t="array" ref="F168">Scope3_Equations.VEERG_15_3_1_1__1_EmissionsFromPurchasedMineralSupplements_Variation()</f>
        <v>VARIATION ON SOURCE: Input Q_j in kg instead of t to match EF units. Multiply by 10^-3 to convert kg CO2e to t CO2e.</v>
      </c>
      <c r="H168" s="112"/>
    </row>
    <row r="169" spans="3:41" ht="20.100000000000001" customHeight="1" x14ac:dyDescent="0.2">
      <c r="D169" s="75" t="s">
        <v>329</v>
      </c>
      <c r="E169" s="1" t="str" cm="1">
        <f t="array" ref="E169">Scope3_Equations.VEERG_15_3_1_1__1_EmissionsFromPurchasedMineralSupplements_Variable()</f>
        <v>E</v>
      </c>
    </row>
    <row r="170" spans="3:41" ht="20.100000000000001" customHeight="1" x14ac:dyDescent="0.2">
      <c r="D170" s="75" t="s">
        <v>118</v>
      </c>
      <c r="E170" s="9" t="str" cm="1">
        <f t="array" ref="E170">Scope3_Equations.VEERG_15_3_1_1__1_EmissionsFromPurchasedMineralSupplements_Unit()</f>
        <v>t CO2e</v>
      </c>
    </row>
    <row r="172" spans="3:41" ht="20.100000000000001" customHeight="1" x14ac:dyDescent="0.2">
      <c r="D172" s="113" t="str" cm="1">
        <f t="array" ref="D172:E174">_xlfn.CHOOSECOLS(Scope3_Equations.VEERG_15_3_1_1__1_EmissionsFromPurchasedMineralSupplements_ArgumentsVariation(),1,2)</f>
        <v>Q_m</v>
      </c>
      <c r="E172" s="122" t="str">
        <v>total quantity of mineral supplement type m used</v>
      </c>
      <c r="F172" s="123"/>
      <c r="G172" s="113" t="str" cm="1">
        <f t="array" ref="G172:H174">_xlfn.CHOOSECOLS(Scope3_Equations.VEERG_15_3_1_1__1_EmissionsFromPurchasedMineralSupplements_ArgumentsVariation(),3,4)</f>
        <v>kg</v>
      </c>
      <c r="H172" s="249" t="str">
        <v>Input</v>
      </c>
    </row>
    <row r="173" spans="3:41" ht="20.100000000000001" customHeight="1" x14ac:dyDescent="0.2">
      <c r="D173" s="113" t="str">
        <v>EF_m</v>
      </c>
      <c r="E173" s="122" t="str">
        <v>emission factor of purchased mineral supplement</v>
      </c>
      <c r="F173" s="123"/>
      <c r="G173" s="113" t="str">
        <v>kg CO2e/kg</v>
      </c>
      <c r="H173" s="249" t="str">
        <v>Constant</v>
      </c>
    </row>
    <row r="174" spans="3:41" ht="20.100000000000001" customHeight="1" x14ac:dyDescent="0.2">
      <c r="D174" s="113" t="str">
        <v>m</v>
      </c>
      <c r="E174" s="122" t="str">
        <v>mineral supplement type</v>
      </c>
      <c r="F174" s="123"/>
      <c r="G174" s="113" t="str">
        <v/>
      </c>
      <c r="H174" s="115" t="str">
        <v>Input</v>
      </c>
    </row>
    <row r="176" spans="3:41" ht="20.100000000000001" customHeight="1" x14ac:dyDescent="0.2">
      <c r="D176" s="78" t="s">
        <v>132</v>
      </c>
      <c r="E176" s="78" t="s">
        <v>1081</v>
      </c>
      <c r="F176" s="120" t="s">
        <v>1082</v>
      </c>
      <c r="G176" s="120" t="s">
        <v>1041</v>
      </c>
      <c r="H176" s="78" t="s">
        <v>1083</v>
      </c>
      <c r="I176" s="120" t="s">
        <v>1044</v>
      </c>
      <c r="J176" s="78" t="s">
        <v>1045</v>
      </c>
      <c r="K176" s="78" t="s">
        <v>1046</v>
      </c>
      <c r="L176" s="78" t="s">
        <v>1047</v>
      </c>
    </row>
    <row r="177" spans="1:41" ht="20.100000000000001" customHeight="1" x14ac:dyDescent="0.2">
      <c r="D177" s="15" t="str">
        <f>'Input - Livestock farm Inputs'!D7</f>
        <v>Lick block, dry season mix</v>
      </c>
      <c r="E177" s="15">
        <f>IFERROR(X_Cell_FarmInputs_LickBlocks_DrySeasonMix, 0)</f>
        <v>100</v>
      </c>
      <c r="F177" s="15" cm="1">
        <f t="array" ref="F177">Common_InputFunctions.Utility_LookupValueInTableNumber(D177,Table_SourceData_Scope3_LickBlocks[Product],Table_SourceData_Scope3_LickBlocks[Emissions intensity])</f>
        <v>0.88100000000000001</v>
      </c>
      <c r="G177" s="251" cm="1">
        <f t="array" ref="G177">Scope3_Equations.VEERG_15_3_1_1__1_EmissionsFromPurchasedMineralSupplementsVariation(E177,F177)</f>
        <v>8.8099999999999998E-2</v>
      </c>
      <c r="H177" s="74">
        <v>0.8</v>
      </c>
      <c r="I177" s="251" cm="1">
        <f t="array" ref="I177">Scope3_Equations.VEERG_15_3_1_1__1_EmissionsFromPurchasedMineralSupplementsVariation(E177,IF(H177, H177, F177))</f>
        <v>0.08</v>
      </c>
      <c r="J177" s="33"/>
      <c r="K177" s="13"/>
      <c r="L177" s="33"/>
    </row>
    <row r="178" spans="1:41" ht="20.100000000000001" customHeight="1" x14ac:dyDescent="0.2">
      <c r="D178" s="15" t="str">
        <f>'Input - Livestock farm Inputs'!D8</f>
        <v>Lick block, mineral</v>
      </c>
      <c r="E178" s="15">
        <f>IFERROR(X_Cell_FarmInputs_LickBlocks_Mineral, 0)</f>
        <v>100</v>
      </c>
      <c r="F178" s="15" cm="1">
        <f t="array" ref="F178">Common_InputFunctions.Utility_LookupValueInTableNumber(D178,Table_SourceData_Scope3_LickBlocks[Product],Table_SourceData_Scope3_LickBlocks[Emissions intensity])</f>
        <v>0.67700000000000005</v>
      </c>
      <c r="G178" s="251" cm="1">
        <f t="array" ref="G178">Scope3_Equations.VEERG_15_3_1_1__1_EmissionsFromPurchasedMineralSupplementsVariation(E178,F178)</f>
        <v>6.770000000000001E-2</v>
      </c>
      <c r="H178" s="74">
        <v>0.6</v>
      </c>
      <c r="I178" s="251" cm="1">
        <f t="array" ref="I178">Scope3_Equations.VEERG_15_3_1_1__1_EmissionsFromPurchasedMineralSupplementsVariation(E178,IF(H178, H178, F178))</f>
        <v>0.06</v>
      </c>
      <c r="J178" s="33"/>
      <c r="K178" s="13"/>
      <c r="L178" s="33"/>
    </row>
    <row r="179" spans="1:41" ht="20.100000000000001" customHeight="1" x14ac:dyDescent="0.2">
      <c r="D179" s="15" t="str">
        <f>'Input - Livestock farm Inputs'!D9</f>
        <v>Lick block, weaner</v>
      </c>
      <c r="E179" s="15">
        <f>IFERROR(X_Cell_FarmInputs_LickBlocks_Weaner, 0)</f>
        <v>100</v>
      </c>
      <c r="F179" s="15" cm="1">
        <f t="array" ref="F179">Common_InputFunctions.Utility_LookupValueInTableNumber(D179,Table_SourceData_Scope3_LickBlocks[Product],Table_SourceData_Scope3_LickBlocks[Emissions intensity])</f>
        <v>0.23100000000000001</v>
      </c>
      <c r="G179" s="251" cm="1">
        <f t="array" ref="G179">Scope3_Equations.VEERG_15_3_1_1__1_EmissionsFromPurchasedMineralSupplementsVariation(E179,F179)</f>
        <v>2.3100000000000002E-2</v>
      </c>
      <c r="H179" s="74">
        <v>0.2</v>
      </c>
      <c r="I179" s="251" cm="1">
        <f t="array" ref="I179">Scope3_Equations.VEERG_15_3_1_1__1_EmissionsFromPurchasedMineralSupplementsVariation(E179,IF(H179, H179, F179))</f>
        <v>0.02</v>
      </c>
      <c r="J179" s="33"/>
      <c r="K179" s="13"/>
      <c r="L179" s="33"/>
    </row>
    <row r="181" spans="1:41" ht="20.100000000000001" customHeight="1" x14ac:dyDescent="0.2">
      <c r="D181" s="85" t="s">
        <v>1041</v>
      </c>
      <c r="E181" s="86">
        <f>SUM(G177:G179)</f>
        <v>0.1789</v>
      </c>
      <c r="F181" s="95" t="str">
        <f>$E$170</f>
        <v>t CO2e</v>
      </c>
    </row>
    <row r="182" spans="1:41" ht="20.100000000000001" customHeight="1" x14ac:dyDescent="0.2">
      <c r="D182" s="85" t="s">
        <v>1044</v>
      </c>
      <c r="E182" s="86">
        <f>SUM(I177:I179)</f>
        <v>0.16</v>
      </c>
      <c r="F182" s="95" t="str">
        <f>$E$170</f>
        <v>t CO2e</v>
      </c>
    </row>
    <row r="185" spans="1:41" ht="20.100000000000001" customHeight="1" x14ac:dyDescent="0.2">
      <c r="C185" s="83"/>
      <c r="D185" s="83"/>
      <c r="E185" s="83"/>
      <c r="F185" s="83"/>
      <c r="G185" s="83"/>
      <c r="H185" s="83"/>
      <c r="I185" s="83"/>
      <c r="J185" s="83"/>
      <c r="K185" s="83"/>
      <c r="L185" s="83"/>
      <c r="M185" s="83"/>
      <c r="N185" s="83"/>
      <c r="O185" s="83"/>
      <c r="P185" s="83"/>
      <c r="Q185" s="83"/>
      <c r="R185" s="83"/>
      <c r="S185" s="83"/>
      <c r="T185" s="83"/>
      <c r="U185" s="83"/>
      <c r="V185" s="83"/>
      <c r="W185" s="83"/>
      <c r="X185" s="83"/>
      <c r="Y185" s="83"/>
      <c r="Z185" s="83"/>
      <c r="AA185" s="83"/>
      <c r="AB185" s="83"/>
      <c r="AC185" s="83"/>
      <c r="AD185" s="83"/>
      <c r="AE185" s="83"/>
      <c r="AF185" s="83"/>
      <c r="AG185" s="83"/>
      <c r="AH185" s="83"/>
      <c r="AI185" s="83"/>
      <c r="AJ185" s="83"/>
      <c r="AK185" s="83"/>
      <c r="AL185" s="83"/>
      <c r="AM185" s="83"/>
      <c r="AN185" s="83"/>
      <c r="AO185" s="83"/>
    </row>
    <row r="186" spans="1:41" ht="20.100000000000001" customHeight="1" x14ac:dyDescent="0.2">
      <c r="D186" s="2" t="str" cm="1">
        <f t="array" ref="D186">Scope3_Equations.VEERG_15_4_1_1__X_EmissionFactorFromPurchasedFertiliserComponents_Title()</f>
        <v>Emission factor for fertiliser product derived from components</v>
      </c>
    </row>
    <row r="187" spans="1:41" ht="20.100000000000001" customHeight="1" x14ac:dyDescent="0.2">
      <c r="D187" s="17" t="str" cm="1">
        <f t="array" ref="D187">Scope3_Equations.VEERG_15_4_1_1__X_EmissionFactorFromPurchasedFertiliserComponents_Source()</f>
        <v>GAF</v>
      </c>
    </row>
    <row r="188" spans="1:41" ht="20.100000000000001" customHeight="1" x14ac:dyDescent="0.2">
      <c r="A188" s="79" t="str">
        <f>HYPERLINK("#A1", "▲ Back to top")</f>
        <v>▲ Back to top</v>
      </c>
      <c r="D188" s="25" t="str" cm="1">
        <f t="array" ref="D188">Scope3_Equations.VEERG_15_4_1_1__X_EmissionFactorFromPurchasedFertiliserComponents_Variation()</f>
        <v>VARIATION ON SOURCE: This equation is added to calculate an EF value from fertiliser components that can be used in 15.4.1.1 (1)</v>
      </c>
    </row>
    <row r="189" spans="1:41" ht="20.100000000000001" customHeight="1" x14ac:dyDescent="0.2">
      <c r="D189" s="112" t="s">
        <v>328</v>
      </c>
      <c r="E189" s="112" t="str" cm="1">
        <f t="array" aca="1" ref="E189" ca="1">Common_InputFunctions.Utility_DisplayFunctionName(F236)</f>
        <v>=Scope3_Equations.VEERG_15_4_1_1__X_EmissionFactorFromPurchasedFertiliserComponents</v>
      </c>
    </row>
    <row r="192" spans="1:41" ht="20.100000000000001" customHeight="1" x14ac:dyDescent="0.2">
      <c r="D192" s="75" t="s">
        <v>329</v>
      </c>
      <c r="E192" s="1" t="str" cm="1">
        <f t="array" ref="E192">Scope3_Equations.VEERG_15_4_1_1__X_EmissionFactorFromPurchasedFertiliserComponents_Variable()</f>
        <v>EF_f</v>
      </c>
    </row>
    <row r="193" spans="4:8" ht="20.100000000000001" customHeight="1" x14ac:dyDescent="0.2">
      <c r="D193" s="75" t="s">
        <v>118</v>
      </c>
      <c r="E193" s="9" t="str" cm="1">
        <f t="array" ref="E193">Scope3_Equations.VEERG_15_4_1_1__X_EmissionFactorFromPurchasedFertiliserComponents_Unit()</f>
        <v>kg CO2e/kg fertiliser</v>
      </c>
    </row>
    <row r="195" spans="4:8" ht="20.100000000000001" customHeight="1" x14ac:dyDescent="0.2">
      <c r="D195" s="113" t="str" cm="1">
        <f t="array" ref="D195:E198">_xlfn.CHOOSECOLS(Scope3_Equations.VEERG_15_4_1_1__X_EmissionFactorFromPurchasedFertiliserComponents_Arguments(),1,2)</f>
        <v>F_cf</v>
      </c>
      <c r="E195" s="122" t="str">
        <v>fraction of component c contained within the inorganic fertiliser f</v>
      </c>
      <c r="F195" s="123"/>
      <c r="G195" s="113" t="str" cm="1">
        <f t="array" ref="G195:H198">_xlfn.CHOOSECOLS(Scope3_Equations.VEERG_15_4_1_1__X_EmissionFactorFromPurchasedFertiliserComponents_Arguments(),3,4)</f>
        <v>wt%</v>
      </c>
      <c r="H195" s="249" t="str">
        <v>Input</v>
      </c>
    </row>
    <row r="196" spans="4:8" ht="20.100000000000001" customHeight="1" x14ac:dyDescent="0.2">
      <c r="D196" s="113" t="str">
        <v>EF_c</v>
      </c>
      <c r="E196" s="122" t="str">
        <v>emission factor for the production of component c</v>
      </c>
      <c r="F196" s="123"/>
      <c r="G196" s="113" t="str">
        <v>kg CO2e/kg component</v>
      </c>
      <c r="H196" s="115" t="str">
        <v>Constant</v>
      </c>
    </row>
    <row r="197" spans="4:8" ht="20.100000000000001" customHeight="1" x14ac:dyDescent="0.2">
      <c r="D197" s="113" t="str">
        <v>c</v>
      </c>
      <c r="E197" s="122" t="str">
        <v>fertiliser component</v>
      </c>
      <c r="F197" s="123"/>
      <c r="G197" s="113" t="str">
        <v/>
      </c>
      <c r="H197" s="249" t="str">
        <v>Input</v>
      </c>
    </row>
    <row r="198" spans="4:8" ht="20.100000000000001" customHeight="1" x14ac:dyDescent="0.2">
      <c r="D198" s="113" t="str">
        <v>f</v>
      </c>
      <c r="E198" s="122" t="str">
        <v>inorganic fertiliser type</v>
      </c>
      <c r="F198" s="123"/>
      <c r="G198" s="113" t="str">
        <v/>
      </c>
      <c r="H198" s="249" t="str">
        <v>Input</v>
      </c>
    </row>
    <row r="201" spans="4:8" ht="20.100000000000001" customHeight="1" x14ac:dyDescent="0.2">
      <c r="D201" s="2" t="str" cm="1">
        <f t="array" ref="D201">Scope3_Equations.VEERG_15_4_1_1__1_EmissionsFromPurchasedFertiliser_Title()</f>
        <v>Emissions from purchased fertiliser</v>
      </c>
    </row>
    <row r="202" spans="4:8" ht="20.100000000000001" customHeight="1" x14ac:dyDescent="0.2">
      <c r="D202" s="17" t="str" cm="1">
        <f t="array" ref="D202">Scope3_Equations.VEERG_15_4_1_1__1_EmissionsFromPurchasedFertiliser_Source()</f>
        <v>VEERG 2026: 15.4.1.1, Equation (1)</v>
      </c>
    </row>
    <row r="203" spans="4:8" ht="20.100000000000001" customHeight="1" x14ac:dyDescent="0.2">
      <c r="D203" s="112" t="s">
        <v>328</v>
      </c>
      <c r="E203" s="112" t="str" cm="1">
        <f t="array" aca="1" ref="E203" ca="1">Common_InputFunctions.Utility_DisplayFunctionName(G236)</f>
        <v>=Scope3_Equations.VEERG_15_4_1_1__1_EmissionsFromPurchasedFertiliser</v>
      </c>
    </row>
    <row r="206" spans="4:8" ht="20.100000000000001" customHeight="1" x14ac:dyDescent="0.2">
      <c r="D206" s="75" t="s">
        <v>329</v>
      </c>
      <c r="E206" s="1" t="str" cm="1">
        <f t="array" ref="E206">Scope3_Equations.VEERG_15_4_1_1__1_EmissionsFromPurchasedFertiliser_Variable()</f>
        <v>E</v>
      </c>
    </row>
    <row r="207" spans="4:8" ht="20.100000000000001" customHeight="1" x14ac:dyDescent="0.2">
      <c r="D207" s="75" t="s">
        <v>118</v>
      </c>
      <c r="E207" s="9" t="str" cm="1">
        <f t="array" ref="E207">Scope3_Equations.VEERG_15_4_1_1__1_EmissionsFromPurchasedFertiliser_Unit()</f>
        <v>t CO2e</v>
      </c>
    </row>
    <row r="209" spans="1:8" ht="20.100000000000001" customHeight="1" x14ac:dyDescent="0.2">
      <c r="D209" s="113" t="str" cm="1">
        <f t="array" ref="D209:E212">_xlfn.CHOOSECOLS(Scope3_Equations.VEERG_15_4_1_1__1_EmissionsFromPurchasedFertiliser_Arguments(),1,2)</f>
        <v>TM_jf</v>
      </c>
      <c r="E209" s="113" t="str">
        <v>quantity of inorganic fertiliser type f purchased and applied to production system j</v>
      </c>
      <c r="F209" s="113"/>
      <c r="G209" s="113" t="str" cm="1">
        <f t="array" ref="G209:H212">_xlfn.CHOOSECOLS(Scope3_Equations.VEERG_15_4_1_1__1_EmissionsFromPurchasedFertiliser_Arguments(),3,4)</f>
        <v>kg</v>
      </c>
      <c r="H209" s="249" t="str">
        <v>Input</v>
      </c>
    </row>
    <row r="210" spans="1:8" ht="20.100000000000001" customHeight="1" x14ac:dyDescent="0.2">
      <c r="D210" s="113" t="str">
        <v>EF_f</v>
      </c>
      <c r="E210" s="113" t="str">
        <v>emission factor of purchased inorganic fertiliser</v>
      </c>
      <c r="F210" s="113"/>
      <c r="G210" s="113" t="str">
        <v>kg CO2e/kg</v>
      </c>
      <c r="H210" s="115" t="str">
        <v>Constant</v>
      </c>
    </row>
    <row r="211" spans="1:8" ht="20.100000000000001" customHeight="1" x14ac:dyDescent="0.2">
      <c r="D211" s="113" t="str">
        <v>j</v>
      </c>
      <c r="E211" s="122" t="str">
        <v>production system</v>
      </c>
      <c r="F211" s="123"/>
      <c r="G211" s="113" t="str">
        <v/>
      </c>
      <c r="H211" s="249" t="str">
        <v>Input</v>
      </c>
    </row>
    <row r="212" spans="1:8" ht="20.100000000000001" customHeight="1" x14ac:dyDescent="0.2">
      <c r="D212" s="113" t="str">
        <v>f</v>
      </c>
      <c r="E212" s="122" t="str">
        <v>inorganic fertiliser type</v>
      </c>
      <c r="F212" s="123"/>
      <c r="G212" s="113" t="str">
        <v/>
      </c>
      <c r="H212" s="249" t="str">
        <v>Input</v>
      </c>
    </row>
    <row r="215" spans="1:8" ht="20.100000000000001" customHeight="1" x14ac:dyDescent="0.2">
      <c r="D215" s="2" t="str" cm="1">
        <f t="array" ref="D215">Scope3_Equations.VEERG_15_4_1_1__2_EmissionsFromPurchasedFertiliserComponents_Title()</f>
        <v>Emissions from purchased fertiliser components</v>
      </c>
    </row>
    <row r="216" spans="1:8" ht="20.100000000000001" customHeight="1" x14ac:dyDescent="0.2">
      <c r="D216" s="17" t="str" cm="1">
        <f t="array" ref="D216">Scope3_Equations.VEERG_15_4_1_1__2_EmissionsFromPurchasedFertiliserComponents_Source()</f>
        <v>VEERG 2026: 15.4.1.1, Equation (2)</v>
      </c>
    </row>
    <row r="217" spans="1:8" ht="20.100000000000001" customHeight="1" x14ac:dyDescent="0.2">
      <c r="D217" s="25" t="str" cm="1">
        <f t="array" ref="D217">Scope3_Equations.VEERG_15_4_1_1__2_EmissionsFromPurchasedFertiliserComponents_Variation()</f>
        <v>VARIATION ON SOURCE: removes division by 100 for F_cf, treating F_cf as fraction instead of percent because it is a fraction in scope 1 equations. Convert kg to tonnes by mutiplying by 10^-3.</v>
      </c>
    </row>
    <row r="218" spans="1:8" ht="20.100000000000001" customHeight="1" x14ac:dyDescent="0.2">
      <c r="A218" s="79" t="str">
        <f>HYPERLINK("#A1", "▲ Back to top")</f>
        <v>▲ Back to top</v>
      </c>
      <c r="D218" s="112" t="s">
        <v>328</v>
      </c>
      <c r="E218" s="112" t="str" cm="1">
        <f t="array" aca="1" ref="E218" ca="1">Common_InputFunctions.Utility_DisplayFunctionName(H236)</f>
        <v>=Scope3_Equations.VEERG_15_4_1_1__2_EmissionsFromPurchasedFertiliserComponentsVariation</v>
      </c>
    </row>
    <row r="221" spans="1:8" ht="20.100000000000001" customHeight="1" x14ac:dyDescent="0.2">
      <c r="D221" s="75" t="s">
        <v>329</v>
      </c>
      <c r="E221" s="1" t="str" cm="1">
        <f t="array" ref="E221">Scope3_Equations.VEERG_15_4_1_1__2_EmissionsFromPurchasedFertiliserComponents_Variable()</f>
        <v>E</v>
      </c>
    </row>
    <row r="222" spans="1:8" ht="20.100000000000001" customHeight="1" x14ac:dyDescent="0.2">
      <c r="D222" s="75" t="s">
        <v>118</v>
      </c>
      <c r="E222" s="9" t="str" cm="1">
        <f t="array" ref="E222">Scope3_Equations.VEERG_15_4_1_1__2_EmissionsFromPurchasedFertiliserComponents_Unit()</f>
        <v>t CO2e</v>
      </c>
    </row>
    <row r="224" spans="1:8" ht="20.100000000000001" customHeight="1" x14ac:dyDescent="0.2">
      <c r="D224" s="113" t="str" cm="1">
        <f t="array" ref="D224:E229">_xlfn.CHOOSECOLS(Scope3_Equations.VEERG_15_4_1_1__2_EmissionsFromPurchasedFertiliserComponents_Arguments(),1,2)</f>
        <v>F_cf</v>
      </c>
      <c r="E224" s="122" t="str">
        <v>fraction of component c contained within the inorganic fertiliser f</v>
      </c>
      <c r="F224" s="123"/>
      <c r="G224" s="113" t="str" cm="1">
        <f t="array" ref="G224:H229">_xlfn.CHOOSECOLS(Scope3_Equations.VEERG_15_4_1_1__2_EmissionsFromPurchasedFertiliserComponents_Arguments(),3,4)</f>
        <v>wt%</v>
      </c>
      <c r="H224" s="249" t="str">
        <v>Input</v>
      </c>
    </row>
    <row r="225" spans="4:40" ht="20.100000000000001" customHeight="1" x14ac:dyDescent="0.2">
      <c r="D225" s="113" t="str">
        <v>TM_jf</v>
      </c>
      <c r="E225" s="122" t="str">
        <v>quantity of inorganic fertiliser type f purchased and applied to production system j</v>
      </c>
      <c r="F225" s="123"/>
      <c r="G225" s="113" t="str">
        <v>kg</v>
      </c>
      <c r="H225" s="115" t="str">
        <v>Input</v>
      </c>
    </row>
    <row r="226" spans="4:40" ht="20.100000000000001" customHeight="1" x14ac:dyDescent="0.2">
      <c r="D226" s="113" t="str">
        <v>EF_c</v>
      </c>
      <c r="E226" s="122" t="str">
        <v>emission factor for the production of component c</v>
      </c>
      <c r="F226" s="123"/>
      <c r="G226" s="113" t="str">
        <v>kg CO2e/kg component</v>
      </c>
      <c r="H226" s="115" t="str">
        <v>Constant</v>
      </c>
    </row>
    <row r="227" spans="4:40" ht="20.100000000000001" customHeight="1" x14ac:dyDescent="0.2">
      <c r="D227" s="113" t="str">
        <v>c</v>
      </c>
      <c r="E227" s="122" t="str">
        <v>fertiliser component</v>
      </c>
      <c r="F227" s="123"/>
      <c r="G227" s="113" t="str">
        <v/>
      </c>
      <c r="H227" s="249" t="str">
        <v>Input</v>
      </c>
    </row>
    <row r="228" spans="4:40" ht="20.100000000000001" customHeight="1" x14ac:dyDescent="0.2">
      <c r="D228" s="113" t="str">
        <v>f</v>
      </c>
      <c r="E228" s="122" t="str">
        <v>inorganic fertiliser type</v>
      </c>
      <c r="F228" s="123"/>
      <c r="G228" s="113" t="str">
        <v/>
      </c>
      <c r="H228" s="249" t="str">
        <v>Input</v>
      </c>
    </row>
    <row r="229" spans="4:40" ht="20.100000000000001" customHeight="1" x14ac:dyDescent="0.2">
      <c r="D229" s="113" t="str">
        <v>j</v>
      </c>
      <c r="E229" s="122" t="str">
        <v>production system</v>
      </c>
      <c r="F229" s="123"/>
      <c r="G229" s="113" t="str">
        <v/>
      </c>
      <c r="H229" s="249" t="str">
        <v>Input</v>
      </c>
    </row>
    <row r="231" spans="4:40" ht="20.100000000000001" customHeight="1" x14ac:dyDescent="0.2">
      <c r="D231" s="244" t="s">
        <v>1084</v>
      </c>
    </row>
    <row r="233" spans="4:40" ht="20.100000000000001" customHeight="1" x14ac:dyDescent="0.2">
      <c r="D233" s="35" t="s">
        <v>1085</v>
      </c>
      <c r="E233" s="37"/>
      <c r="F233" s="38"/>
    </row>
    <row r="235" spans="4:40" ht="20.100000000000001" customHeight="1" x14ac:dyDescent="0.2">
      <c r="D235" s="78" t="s">
        <v>132</v>
      </c>
      <c r="E235" s="78" t="s">
        <v>1086</v>
      </c>
      <c r="F235" s="120" t="s">
        <v>1087</v>
      </c>
      <c r="G235" s="120" t="s">
        <v>1088</v>
      </c>
      <c r="H235" s="120" t="s">
        <v>1089</v>
      </c>
      <c r="I235" s="78" t="s">
        <v>1090</v>
      </c>
      <c r="J235" s="120" t="s">
        <v>1091</v>
      </c>
      <c r="K235" s="120" t="s">
        <v>1092</v>
      </c>
      <c r="L235" s="78" t="s">
        <v>1045</v>
      </c>
      <c r="M235" s="78" t="s">
        <v>1046</v>
      </c>
      <c r="N235" s="78" t="s">
        <v>1047</v>
      </c>
      <c r="O235" s="120" t="s">
        <v>712</v>
      </c>
      <c r="P235" s="120" t="s">
        <v>713</v>
      </c>
      <c r="Q235" s="120" t="s">
        <v>697</v>
      </c>
      <c r="R235" s="120" t="s">
        <v>698</v>
      </c>
      <c r="S235" s="120" t="s">
        <v>1093</v>
      </c>
      <c r="T235" s="78" t="s">
        <v>1094</v>
      </c>
      <c r="U235" s="120" t="s">
        <v>699</v>
      </c>
      <c r="V235" s="120" t="s">
        <v>700</v>
      </c>
      <c r="W235" s="120" t="s">
        <v>1095</v>
      </c>
      <c r="X235" s="78" t="s">
        <v>1096</v>
      </c>
      <c r="Y235" s="120" t="s">
        <v>701</v>
      </c>
      <c r="Z235" s="120" t="s">
        <v>702</v>
      </c>
      <c r="AA235" s="120" t="s">
        <v>1097</v>
      </c>
      <c r="AB235" s="78" t="s">
        <v>1098</v>
      </c>
      <c r="AC235" s="120" t="s">
        <v>703</v>
      </c>
      <c r="AD235" s="120" t="s">
        <v>704</v>
      </c>
      <c r="AE235" s="120" t="s">
        <v>1099</v>
      </c>
      <c r="AF235" s="78" t="s">
        <v>1100</v>
      </c>
      <c r="AG235" s="120" t="s">
        <v>705</v>
      </c>
      <c r="AH235" s="120" t="s">
        <v>706</v>
      </c>
      <c r="AI235" s="120" t="s">
        <v>1101</v>
      </c>
      <c r="AJ235" s="78" t="s">
        <v>1102</v>
      </c>
      <c r="AK235" s="120" t="s">
        <v>707</v>
      </c>
      <c r="AL235" s="120" t="s">
        <v>708</v>
      </c>
      <c r="AM235" s="120" t="s">
        <v>1103</v>
      </c>
      <c r="AN235" s="78" t="s">
        <v>1104</v>
      </c>
    </row>
    <row r="236" spans="4:40" ht="20.100000000000001" customHeight="1" x14ac:dyDescent="0.2">
      <c r="D236" s="15" t="str" cm="1">
        <f t="array" ref="D236:D245">IFERROR(INDEX(Table_Input_InorganicFertiliser_Brands[Product (select)], _xlfn.SEQUENCE(10)), "")</f>
        <v>Urea</v>
      </c>
      <c r="E236" s="15" cm="1">
        <f t="array" ref="E236:E245">IFERROR(INDEX(Table_Input_InorganicFertiliser_Brands[Total applied (kg)], _xlfn.SEQUENCE(10)), 0)</f>
        <v>10000</v>
      </c>
      <c r="F236" s="15" cm="1">
        <f t="array" ref="F236">Scope3_Equations.VEERG_15_4_1_1__X_EmissionFactorFromPurchasedFertiliserComponents(R236,S236)+
Scope3_Equations.VEERG_15_4_1_1__X_EmissionFactorFromPurchasedFertiliserComponents(V236,W236)+
Scope3_Equations.VEERG_15_4_1_1__X_EmissionFactorFromPurchasedFertiliserComponents(Z236,AA236)+
Scope3_Equations.VEERG_15_4_1_1__X_EmissionFactorFromPurchasedFertiliserComponents(AD236,AE236)+
Scope3_Equations.VEERG_15_4_1_1__X_EmissionFactorFromPurchasedFertiliserComponents(AH236,AI236)+
Scope3_Equations.VEERG_15_4_1_1__X_EmissionFactorFromPurchasedFertiliserComponents(AL236,AM236)</f>
        <v>0.96799999999999997</v>
      </c>
      <c r="G236" s="251" cm="1">
        <f t="array" ref="G236">Scope3_Equations.VEERG_15_4_1_1__1_EmissionsFromPurchasedFertiliser(E236,F236)</f>
        <v>9.68</v>
      </c>
      <c r="H236" s="15" cm="1">
        <f t="array" ref="H236">Scope3_Equations.VEERG_15_4_1_1__2_EmissionsFromPurchasedFertiliserComponentsVariation(R236, $E236,S236)+
Scope3_Equations.VEERG_15_4_1_1__2_EmissionsFromPurchasedFertiliserComponentsVariation(V236, $E236,W236)+
Scope3_Equations.VEERG_15_4_1_1__2_EmissionsFromPurchasedFertiliserComponentsVariation(Z236, $E236,AA236)+
Scope3_Equations.VEERG_15_4_1_1__2_EmissionsFromPurchasedFertiliserComponentsVariation(AD236, $E236,AE236)+
Scope3_Equations.VEERG_15_4_1_1__2_EmissionsFromPurchasedFertiliserComponentsVariation(AH236, $E236,AI236)+
Scope3_Equations.VEERG_15_4_1_1__2_EmissionsFromPurchasedFertiliserComponentsVariation(AL236, $E236,AM236)</f>
        <v>9.68</v>
      </c>
      <c r="I236" s="74">
        <v>0.4</v>
      </c>
      <c r="J236" s="251" cm="1">
        <f t="array" ref="J236">Scope3_Equations.VEERG_15_4_1_1__1_EmissionsFromPurchasedFertiliser(E236,I236)</f>
        <v>4</v>
      </c>
      <c r="K236" s="251" cm="1">
        <f t="array" ref="K236">Scope3_Equations.VEERG_15_4_1_1__2_EmissionsFromPurchasedFertiliserComponentsVariation(R236, $E236,IF(T236,T236,S236))+
Scope3_Equations.VEERG_15_4_1_1__2_EmissionsFromPurchasedFertiliserComponentsVariation(V236, $E236,IF(X236,X236,W236))+
Scope3_Equations.VEERG_15_4_1_1__2_EmissionsFromPurchasedFertiliserComponentsVariation(Z236, $E236,IF(AB236,AB236,AA236))+
Scope3_Equations.VEERG_15_4_1_1__2_EmissionsFromPurchasedFertiliserComponentsVariation(AD236, $E236,IF(AF236,AF236,AE236))+
Scope3_Equations.VEERG_15_4_1_1__2_EmissionsFromPurchasedFertiliserComponentsVariation(AH236, $E236,IF(AJ236,AJ236,AI236))+
Scope3_Equations.VEERG_15_4_1_1__2_EmissionsFromPurchasedFertiliserComponentsVariation(AL236, $E236,IF(AN236,AN236,AM236))</f>
        <v>9</v>
      </c>
      <c r="L236" s="33"/>
      <c r="M236" s="13"/>
      <c r="N236"/>
      <c r="O236" s="15" t="str" cm="1">
        <f t="array" ref="O236:O245">IFERROR(INDEX(Table_Input_InorganicFertiliser_Brands[Urea source], _xlfn.SEQUENCE(10)), "")</f>
        <v/>
      </c>
      <c r="P236" s="15" t="str" cm="1">
        <f t="array" ref="P236:P245">IFERROR(INDEX(Table_Input_InorganicFertiliser_Brands[Ammonia source], _xlfn.SEQUENCE(10)), "")</f>
        <v/>
      </c>
      <c r="Q236" s="15" t="str" cm="1">
        <f t="array" ref="Q236:Q245">IFERROR(INDEX(Table_Input_InorganicFertiliser_Brands[Ingredient 1], _xlfn.SEQUENCE(10)), "")</f>
        <v>Urea</v>
      </c>
      <c r="R236" s="15" cm="1">
        <f t="array" ref="R236:R245">IFERROR(INDEX(_xlfn.LET(_xlpm.result, Table_Input_InorganicFertiliser_Brands[Ingredient 1 percent], IF(_xlpm.result="", 0, _xlpm.result)), _xlfn.SEQUENCE(10)), 0)</f>
        <v>1</v>
      </c>
      <c r="S236" s="15" cm="1">
        <f t="array" ref="S236">_xlfn.LET(_xlpm.result, Common_InputFunctions.Utility_LookupValueInTableTwoColumns(Q236, _xlfn.IFS(Q236="Urea",IF($O236="", "Global", $O236), Q236="Ammonia", IF($P236="", "Global", $P236), TRUE, "Global"), Table_SourceData_Scope3_InorganicFertiliser[Chemical compound],Table_SourceData_Scope3_InorganicFertiliser[Region of origin],Table_SourceData_Scope3_InorganicFertiliser[Emissions intensity]), IF(_xlpm.result="", 0, _xlpm.result))</f>
        <v>0.96799999999999997</v>
      </c>
      <c r="T236" s="74">
        <v>0.9</v>
      </c>
      <c r="U236" s="15" t="str" cm="1">
        <f t="array" ref="U236:U245">IFERROR(INDEX(Table_Input_InorganicFertiliser_Brands[Ingredient 2], _xlfn.SEQUENCE(10)), "")</f>
        <v/>
      </c>
      <c r="V236" s="15" cm="1">
        <f t="array" ref="V236:V245">IFERROR(INDEX(_xlfn.LET(_xlpm.result, Table_Input_InorganicFertiliser_Brands[Ingredient 2 percent], IF(_xlpm.result="", 0, _xlpm.result)), _xlfn.SEQUENCE(10)), 0)</f>
        <v>0</v>
      </c>
      <c r="W236" s="15" cm="1">
        <f t="array" ref="W236">_xlfn.LET(_xlpm.result, Common_InputFunctions.Utility_LookupValueInTableTwoColumns(U236, _xlfn.IFS(U236="Urea",IF($O236="", "Global", $O236), U236="Ammonia", IF($P236="", "Global", $P236), TRUE, "Global"), Table_SourceData_Scope3_InorganicFertiliser[Chemical compound],Table_SourceData_Scope3_InorganicFertiliser[Region of origin],Table_SourceData_Scope3_InorganicFertiliser[Emissions intensity]), IF(_xlpm.result="", 0, _xlpm.result))</f>
        <v>0</v>
      </c>
      <c r="X236" s="74">
        <v>0.9</v>
      </c>
      <c r="Y236" s="15" t="str" cm="1">
        <f t="array" ref="Y236:Y245">IFERROR(INDEX(Table_Input_InorganicFertiliser_Brands[Ingredient 3], _xlfn.SEQUENCE(10)), "")</f>
        <v/>
      </c>
      <c r="Z236" s="15" cm="1">
        <f t="array" ref="Z236:Z245">IFERROR(INDEX(_xlfn.LET(_xlpm.result, Table_Input_InorganicFertiliser_Brands[Ingredient 3 percent], IF(_xlpm.result="", 0, _xlpm.result)), _xlfn.SEQUENCE(10)), 0)</f>
        <v>0</v>
      </c>
      <c r="AA236" s="15" cm="1">
        <f t="array" ref="AA236">_xlfn.LET(_xlpm.result, Common_InputFunctions.Utility_LookupValueInTableTwoColumns(Y236, _xlfn.IFS(Y236="Urea",IF($O236="", "Global", $O236), Y236="Ammonia", IF($P236="", "Global", $P236), TRUE, "Global"), Table_SourceData_Scope3_InorganicFertiliser[Chemical compound],Table_SourceData_Scope3_InorganicFertiliser[Region of origin],Table_SourceData_Scope3_InorganicFertiliser[Emissions intensity]), IF(_xlpm.result="", 0, _xlpm.result))</f>
        <v>0</v>
      </c>
      <c r="AB236" s="74">
        <v>4</v>
      </c>
      <c r="AC236" s="15" t="str" cm="1">
        <f t="array" ref="AC236:AC245">IFERROR(INDEX(Table_Input_InorganicFertiliser_Brands[Ingredient 4], _xlfn.SEQUENCE(10)), "")</f>
        <v/>
      </c>
      <c r="AD236" s="15" cm="1">
        <f t="array" ref="AD236:AD245">IFERROR(INDEX(_xlfn.LET(_xlpm.result, Table_Input_InorganicFertiliser_Brands[Ingredient 4 percent], IF(_xlpm.result="", 0, _xlpm.result)), _xlfn.SEQUENCE(10)), 0)</f>
        <v>0</v>
      </c>
      <c r="AE236" s="15" cm="1">
        <f t="array" ref="AE236">_xlfn.LET(_xlpm.result, Common_InputFunctions.Utility_LookupValueInTableTwoColumns(AC236, _xlfn.IFS(AC236="Urea",IF($O236="", "Global", $O236), AC236="Ammonia", IF($P236="", "Global", $P236), TRUE, "Global"), Table_SourceData_Scope3_InorganicFertiliser[Chemical compound],Table_SourceData_Scope3_InorganicFertiliser[Region of origin],Table_SourceData_Scope3_InorganicFertiliser[Emissions intensity]), IF(_xlpm.result="", 0, _xlpm.result))</f>
        <v>0</v>
      </c>
      <c r="AF236" s="74">
        <v>0</v>
      </c>
      <c r="AG236" s="15" t="str" cm="1">
        <f t="array" ref="AG236:AG245">IFERROR(INDEX(Table_Input_InorganicFertiliser_Brands[Ingredient 5], _xlfn.SEQUENCE(10)), "")</f>
        <v/>
      </c>
      <c r="AH236" s="15" cm="1">
        <f t="array" ref="AH236:AH245">IFERROR(INDEX(_xlfn.LET(_xlpm.result, Table_Input_InorganicFertiliser_Brands[Ingredient 5 percent], IF(_xlpm.result="", 0, _xlpm.result)), _xlfn.SEQUENCE(10)), 0)</f>
        <v>0</v>
      </c>
      <c r="AI236" s="15" cm="1">
        <f t="array" ref="AI236">_xlfn.LET(_xlpm.result, Common_InputFunctions.Utility_LookupValueInTableTwoColumns(AG236, _xlfn.IFS(AG236="Urea",IF($O236="", "Global", $O236), AG236="Ammonia", IF($P236="", "Global", $P236), TRUE, "Global"), Table_SourceData_Scope3_InorganicFertiliser[Chemical compound],Table_SourceData_Scope3_InorganicFertiliser[Region of origin],Table_SourceData_Scope3_InorganicFertiliser[Emissions intensity]), IF(_xlpm.result="", 0, _xlpm.result))</f>
        <v>0</v>
      </c>
      <c r="AJ236" s="74">
        <v>0</v>
      </c>
      <c r="AK236" s="15" t="str" cm="1">
        <f t="array" ref="AK236:AK245">IFERROR(INDEX(Table_Input_InorganicFertiliser_Brands[Ingredient 6], _xlfn.SEQUENCE(10)), "")</f>
        <v/>
      </c>
      <c r="AL236" s="15" cm="1">
        <f t="array" ref="AL236:AL245">IFERROR(INDEX(_xlfn.LET(_xlpm.result, Table_Input_InorganicFertiliser_Brands[Ingredient 6 percent], IF(_xlpm.result="", 0, _xlpm.result)), _xlfn.SEQUENCE(10)), 0)</f>
        <v>0</v>
      </c>
      <c r="AM236" s="15" cm="1">
        <f t="array" ref="AM236">_xlfn.LET(_xlpm.result, Common_InputFunctions.Utility_LookupValueInTableTwoColumns(AK236, _xlfn.IFS(AK236="Urea",IF($O236="", "Global", $O236), AK236="Ammonia", IF($P236="", "Global", $P236), TRUE, "Global"), Table_SourceData_Scope3_InorganicFertiliser[Chemical compound],Table_SourceData_Scope3_InorganicFertiliser[Region of origin],Table_SourceData_Scope3_InorganicFertiliser[Emissions intensity]), IF(_xlpm.result="", 0, _xlpm.result))</f>
        <v>0</v>
      </c>
      <c r="AN236" s="74"/>
    </row>
    <row r="237" spans="4:40" ht="20.100000000000001" customHeight="1" x14ac:dyDescent="0.2">
      <c r="D237" s="15" t="str">
        <v>Boost-It</v>
      </c>
      <c r="E237" s="15">
        <v>10000</v>
      </c>
      <c r="F237" s="15" cm="1">
        <f t="array" ref="F237">Scope3_Equations.VEERG_15_4_1_1__X_EmissionFactorFromPurchasedFertiliserComponents(R237,S237)+
Scope3_Equations.VEERG_15_4_1_1__X_EmissionFactorFromPurchasedFertiliserComponents(V237,W237)+
Scope3_Equations.VEERG_15_4_1_1__X_EmissionFactorFromPurchasedFertiliserComponents(Z237,AA237)+
Scope3_Equations.VEERG_15_4_1_1__X_EmissionFactorFromPurchasedFertiliserComponents(AD237,AE237)+
Scope3_Equations.VEERG_15_4_1_1__X_EmissionFactorFromPurchasedFertiliserComponents(AH237,AI237)+
Scope3_Equations.VEERG_15_4_1_1__X_EmissionFactorFromPurchasedFertiliserComponents(AL237,AM237)</f>
        <v>0.9161833519999999</v>
      </c>
      <c r="G237" s="251" cm="1">
        <f t="array" ref="G237">Scope3_Equations.VEERG_15_4_1_1__1_EmissionsFromPurchasedFertiliser(E237,F237)</f>
        <v>9.1618335199999983</v>
      </c>
      <c r="H237" s="15" cm="1">
        <f t="array" ref="H237">Scope3_Equations.VEERG_15_4_1_1__2_EmissionsFromPurchasedFertiliserComponentsVariation(R237, $E237,S237)+
Scope3_Equations.VEERG_15_4_1_1__2_EmissionsFromPurchasedFertiliserComponentsVariation(V237, $E237,W237)+
Scope3_Equations.VEERG_15_4_1_1__2_EmissionsFromPurchasedFertiliserComponentsVariation(Z237, $E237,AA237)+
Scope3_Equations.VEERG_15_4_1_1__2_EmissionsFromPurchasedFertiliserComponentsVariation(AD237, $E237,AE237)+
Scope3_Equations.VEERG_15_4_1_1__2_EmissionsFromPurchasedFertiliserComponentsVariation(AH237, $E237,AI237)+
Scope3_Equations.VEERG_15_4_1_1__2_EmissionsFromPurchasedFertiliserComponentsVariation(AL237, $E237,AM237)</f>
        <v>9.1618335199999983</v>
      </c>
      <c r="I237" s="74">
        <v>0.9</v>
      </c>
      <c r="J237" s="251" cm="1">
        <f t="array" ref="J237">Scope3_Equations.VEERG_15_4_1_1__1_EmissionsFromPurchasedFertiliser(E237,I237)</f>
        <v>9</v>
      </c>
      <c r="K237" s="251" cm="1">
        <f t="array" ref="K237">Scope3_Equations.VEERG_15_4_1_1__2_EmissionsFromPurchasedFertiliserComponentsVariation(R237, $E237,IF(T237,T237,S237))+
Scope3_Equations.VEERG_15_4_1_1__2_EmissionsFromPurchasedFertiliserComponentsVariation(V237, $E237,IF(X237,X237,W237))+
Scope3_Equations.VEERG_15_4_1_1__2_EmissionsFromPurchasedFertiliserComponentsVariation(Z237, $E237,IF(AB237,AB237,AA237))+
Scope3_Equations.VEERG_15_4_1_1__2_EmissionsFromPurchasedFertiliserComponentsVariation(AD237, $E237,IF(AF237,AF237,AE237))+
Scope3_Equations.VEERG_15_4_1_1__2_EmissionsFromPurchasedFertiliserComponentsVariation(AH237, $E237,IF(AJ237,AJ237,AI237))+
Scope3_Equations.VEERG_15_4_1_1__2_EmissionsFromPurchasedFertiliserComponentsVariation(AL237, $E237,IF(AN237,AN237,AM237))</f>
        <v>9.1618335199999983</v>
      </c>
      <c r="L237" s="33"/>
      <c r="M237" s="13"/>
      <c r="N237" s="33"/>
      <c r="O237" s="15" t="str">
        <v/>
      </c>
      <c r="P237" s="15" t="str">
        <v/>
      </c>
      <c r="Q237" s="15" t="str">
        <v>Urea</v>
      </c>
      <c r="R237" s="15">
        <v>0.52173899999999995</v>
      </c>
      <c r="S237" s="15" cm="1">
        <f t="array" ref="S237">_xlfn.LET(_xlpm.result, Common_InputFunctions.Utility_LookupValueInTableTwoColumns(Q237, _xlfn.IFS(Q237="Urea",IF($O237="", "Global", $O237), Q237="Ammonia", IF($P237="", "Global", $P237), TRUE, "Global"), Table_SourceData_Scope3_InorganicFertiliser[Chemical compound],Table_SourceData_Scope3_InorganicFertiliser[Region of origin],Table_SourceData_Scope3_InorganicFertiliser[Emissions intensity]), IF(_xlpm.result="", 0, _xlpm.result))</f>
        <v>0.96799999999999997</v>
      </c>
      <c r="T237" s="74"/>
      <c r="U237" s="15" t="str">
        <v>Potassium - Generic</v>
      </c>
      <c r="V237" s="15">
        <v>0.08</v>
      </c>
      <c r="W237" s="15" cm="1">
        <f t="array" ref="W237">_xlfn.LET(_xlpm.result, Common_InputFunctions.Utility_LookupValueInTableTwoColumns(U237, _xlfn.IFS(U237="Urea",IF($O237="", "Global", $O237), U237="Ammonia", IF($P237="", "Global", $P237), TRUE, "Global"), Table_SourceData_Scope3_InorganicFertiliser[Chemical compound],Table_SourceData_Scope3_InorganicFertiliser[Region of origin],Table_SourceData_Scope3_InorganicFertiliser[Emissions intensity]), IF(_xlpm.result="", 0, _xlpm.result))</f>
        <v>0.90900000000000003</v>
      </c>
      <c r="X237" s="74"/>
      <c r="Y237" s="15" t="str">
        <v>Sulfur - Generic</v>
      </c>
      <c r="Z237" s="15">
        <v>5.2999999999999999E-2</v>
      </c>
      <c r="AA237" s="15" cm="1">
        <f t="array" ref="AA237">_xlfn.LET(_xlpm.result, Common_InputFunctions.Utility_LookupValueInTableTwoColumns(Y237, _xlfn.IFS(Y237="Urea",IF($O237="", "Global", $O237), Y237="Ammonia", IF($P237="", "Global", $P237), TRUE, "Global"), Table_SourceData_Scope3_InorganicFertiliser[Chemical compound],Table_SourceData_Scope3_InorganicFertiliser[Region of origin],Table_SourceData_Scope3_InorganicFertiliser[Emissions intensity]), IF(_xlpm.result="", 0, _xlpm.result))</f>
        <v>2.5</v>
      </c>
      <c r="AB237" s="74"/>
      <c r="AC237" s="15" t="str">
        <v>Phosphorus - Generic</v>
      </c>
      <c r="AD237" s="15">
        <v>5.1999999999999998E-2</v>
      </c>
      <c r="AE237" s="15" cm="1">
        <f t="array" ref="AE237">_xlfn.LET(_xlpm.result, Common_InputFunctions.Utility_LookupValueInTableTwoColumns(AC237, _xlfn.IFS(AC237="Urea",IF($O237="", "Global", $O237), AC237="Ammonia", IF($P237="", "Global", $P237), TRUE, "Global"), Table_SourceData_Scope3_InorganicFertiliser[Chemical compound],Table_SourceData_Scope3_InorganicFertiliser[Region of origin],Table_SourceData_Scope3_InorganicFertiliser[Emissions intensity]), IF(_xlpm.result="", 0, _xlpm.result))</f>
        <v>3.96</v>
      </c>
      <c r="AF237" s="74"/>
      <c r="AG237" s="15" t="str">
        <v>Magnesium</v>
      </c>
      <c r="AH237" s="15">
        <v>1.2999999999999999E-2</v>
      </c>
      <c r="AI237" s="15" cm="1">
        <f t="array" ref="AI237">_xlfn.LET(_xlpm.result, Common_InputFunctions.Utility_LookupValueInTableTwoColumns(AG237, _xlfn.IFS(AG237="Urea",IF($O237="", "Global", $O237), AG237="Ammonia", IF($P237="", "Global", $P237), TRUE, "Global"), Table_SourceData_Scope3_InorganicFertiliser[Chemical compound],Table_SourceData_Scope3_InorganicFertiliser[Region of origin],Table_SourceData_Scope3_InorganicFertiliser[Emissions intensity]), IF(_xlpm.result="", 0, _xlpm.result))</f>
        <v>0</v>
      </c>
      <c r="AJ237" s="74"/>
      <c r="AK237" s="15" t="str">
        <v>Zinc</v>
      </c>
      <c r="AL237" s="15">
        <v>2E-3</v>
      </c>
      <c r="AM237" s="15" cm="1">
        <f t="array" ref="AM237">_xlfn.LET(_xlpm.result, Common_InputFunctions.Utility_LookupValueInTableTwoColumns(AK237, _xlfn.IFS(AK237="Urea",IF($O237="", "Global", $O237), AK237="Ammonia", IF($P237="", "Global", $P237), TRUE, "Global"), Table_SourceData_Scope3_InorganicFertiliser[Chemical compound],Table_SourceData_Scope3_InorganicFertiliser[Region of origin],Table_SourceData_Scope3_InorganicFertiliser[Emissions intensity]), IF(_xlpm.result="", 0, _xlpm.result))</f>
        <v>0</v>
      </c>
      <c r="AN237" s="74"/>
    </row>
    <row r="238" spans="4:40" ht="20.100000000000001" customHeight="1" x14ac:dyDescent="0.2">
      <c r="D238" s="15" t="str">
        <v>Cal-Gran 50/50</v>
      </c>
      <c r="E238" s="15">
        <v>10000</v>
      </c>
      <c r="F238" s="15" cm="1">
        <f t="array" ref="F238">Scope3_Equations.VEERG_15_4_1_1__X_EmissionFactorFromPurchasedFertiliserComponents(R238,S238)+
Scope3_Equations.VEERG_15_4_1_1__X_EmissionFactorFromPurchasedFertiliserComponents(V238,W238)+
Scope3_Equations.VEERG_15_4_1_1__X_EmissionFactorFromPurchasedFertiliserComponents(Z238,AA238)+
Scope3_Equations.VEERG_15_4_1_1__X_EmissionFactorFromPurchasedFertiliserComponents(AD238,AE238)+
Scope3_Equations.VEERG_15_4_1_1__X_EmissionFactorFromPurchasedFertiliserComponents(AH238,AI238)+
Scope3_Equations.VEERG_15_4_1_1__X_EmissionFactorFromPurchasedFertiliserComponents(AL238,AM238)</f>
        <v>0.8781199999999999</v>
      </c>
      <c r="G238" s="251" cm="1">
        <f t="array" ref="G238">Scope3_Equations.VEERG_15_4_1_1__1_EmissionsFromPurchasedFertiliser(E238,F238)</f>
        <v>8.7811999999999983</v>
      </c>
      <c r="H238" s="15" cm="1">
        <f t="array" ref="H238">Scope3_Equations.VEERG_15_4_1_1__2_EmissionsFromPurchasedFertiliserComponentsVariation(R238, $E238,S238)+
Scope3_Equations.VEERG_15_4_1_1__2_EmissionsFromPurchasedFertiliserComponentsVariation(V238, $E238,W238)+
Scope3_Equations.VEERG_15_4_1_1__2_EmissionsFromPurchasedFertiliserComponentsVariation(Z238, $E238,AA238)+
Scope3_Equations.VEERG_15_4_1_1__2_EmissionsFromPurchasedFertiliserComponentsVariation(AD238, $E238,AE238)+
Scope3_Equations.VEERG_15_4_1_1__2_EmissionsFromPurchasedFertiliserComponentsVariation(AH238, $E238,AI238)+
Scope3_Equations.VEERG_15_4_1_1__2_EmissionsFromPurchasedFertiliserComponentsVariation(AL238, $E238,AM238)</f>
        <v>8.7812000000000001</v>
      </c>
      <c r="I238" s="74">
        <v>0.4</v>
      </c>
      <c r="J238" s="251" cm="1">
        <f t="array" ref="J238">Scope3_Equations.VEERG_15_4_1_1__1_EmissionsFromPurchasedFertiliser(E238,I238)</f>
        <v>4</v>
      </c>
      <c r="K238" s="251" cm="1">
        <f t="array" ref="K238">Scope3_Equations.VEERG_15_4_1_1__2_EmissionsFromPurchasedFertiliserComponentsVariation(R238, $E238,IF(T238,T238,S238))+
Scope3_Equations.VEERG_15_4_1_1__2_EmissionsFromPurchasedFertiliserComponentsVariation(V238, $E238,IF(X238,X238,W238))+
Scope3_Equations.VEERG_15_4_1_1__2_EmissionsFromPurchasedFertiliserComponentsVariation(Z238, $E238,IF(AB238,AB238,AA238))+
Scope3_Equations.VEERG_15_4_1_1__2_EmissionsFromPurchasedFertiliserComponentsVariation(AD238, $E238,IF(AF238,AF238,AE238))+
Scope3_Equations.VEERG_15_4_1_1__2_EmissionsFromPurchasedFertiliserComponentsVariation(AH238, $E238,IF(AJ238,AJ238,AI238))+
Scope3_Equations.VEERG_15_4_1_1__2_EmissionsFromPurchasedFertiliserComponentsVariation(AL238, $E238,IF(AN238,AN238,AM238))</f>
        <v>8.7812000000000001</v>
      </c>
      <c r="L238" s="33"/>
      <c r="M238" s="13"/>
      <c r="N238" s="33"/>
      <c r="O238" s="15" t="str">
        <v/>
      </c>
      <c r="P238" s="15" t="str">
        <v/>
      </c>
      <c r="Q238" s="15" t="str">
        <v>Nitrogen - Nitrate</v>
      </c>
      <c r="R238" s="15">
        <v>5.5E-2</v>
      </c>
      <c r="S238" s="15" cm="1">
        <f t="array" ref="S238">_xlfn.LET(_xlpm.result, Common_InputFunctions.Utility_LookupValueInTableTwoColumns(Q238, _xlfn.IFS(Q238="Urea",IF($O238="", "Global", $O238), Q238="Ammonia", IF($P238="", "Global", $P238), TRUE, "Global"), Table_SourceData_Scope3_InorganicFertiliser[Chemical compound],Table_SourceData_Scope3_InorganicFertiliser[Region of origin],Table_SourceData_Scope3_InorganicFertiliser[Emissions intensity]), IF(_xlpm.result="", 0, _xlpm.result))</f>
        <v>5.47</v>
      </c>
      <c r="T238" s="74"/>
      <c r="U238" s="15" t="str">
        <v>Nitrogen - Ammoniacal</v>
      </c>
      <c r="V238" s="15">
        <v>0.124</v>
      </c>
      <c r="W238" s="15" cm="1">
        <f t="array" ref="W238">_xlfn.LET(_xlpm.result, Common_InputFunctions.Utility_LookupValueInTableTwoColumns(U238, _xlfn.IFS(U238="Urea",IF($O238="", "Global", $O238), U238="Ammonia", IF($P238="", "Global", $P238), TRUE, "Global"), Table_SourceData_Scope3_InorganicFertiliser[Chemical compound],Table_SourceData_Scope3_InorganicFertiliser[Region of origin],Table_SourceData_Scope3_InorganicFertiliser[Emissions intensity]), IF(_xlpm.result="", 0, _xlpm.result))</f>
        <v>2.83</v>
      </c>
      <c r="X238" s="74"/>
      <c r="Y238" s="15" t="str">
        <v>Potassium - Generic</v>
      </c>
      <c r="Z238" s="15">
        <v>0.15</v>
      </c>
      <c r="AA238" s="15" cm="1">
        <f t="array" ref="AA238">_xlfn.LET(_xlpm.result, Common_InputFunctions.Utility_LookupValueInTableTwoColumns(Y238, _xlfn.IFS(Y238="Urea",IF($O238="", "Global", $O238), Y238="Ammonia", IF($P238="", "Global", $P238), TRUE, "Global"), Table_SourceData_Scope3_InorganicFertiliser[Chemical compound],Table_SourceData_Scope3_InorganicFertiliser[Region of origin],Table_SourceData_Scope3_InorganicFertiliser[Emissions intensity]), IF(_xlpm.result="", 0, _xlpm.result))</f>
        <v>0.90900000000000003</v>
      </c>
      <c r="AB238" s="74"/>
      <c r="AC238" s="15" t="str">
        <v>Sulfur - Generic</v>
      </c>
      <c r="AD238" s="15">
        <v>3.5999999999999997E-2</v>
      </c>
      <c r="AE238" s="15" cm="1">
        <f t="array" ref="AE238">_xlfn.LET(_xlpm.result, Common_InputFunctions.Utility_LookupValueInTableTwoColumns(AC238, _xlfn.IFS(AC238="Urea",IF($O238="", "Global", $O238), AC238="Ammonia", IF($P238="", "Global", $P238), TRUE, "Global"), Table_SourceData_Scope3_InorganicFertiliser[Chemical compound],Table_SourceData_Scope3_InorganicFertiliser[Region of origin],Table_SourceData_Scope3_InorganicFertiliser[Emissions intensity]), IF(_xlpm.result="", 0, _xlpm.result))</f>
        <v>2.5</v>
      </c>
      <c r="AF238" s="74"/>
      <c r="AG238" s="15" t="str">
        <v>Calcium</v>
      </c>
      <c r="AH238" s="15">
        <v>4.3999999999999997E-2</v>
      </c>
      <c r="AI238" s="15" cm="1">
        <f t="array" ref="AI238">_xlfn.LET(_xlpm.result, Common_InputFunctions.Utility_LookupValueInTableTwoColumns(AG238, _xlfn.IFS(AG238="Urea",IF($O238="", "Global", $O238), AG238="Ammonia", IF($P238="", "Global", $P238), TRUE, "Global"), Table_SourceData_Scope3_InorganicFertiliser[Chemical compound],Table_SourceData_Scope3_InorganicFertiliser[Region of origin],Table_SourceData_Scope3_InorganicFertiliser[Emissions intensity]), IF(_xlpm.result="", 0, _xlpm.result))</f>
        <v>0</v>
      </c>
      <c r="AJ238" s="74"/>
      <c r="AK238" s="15" t="str">
        <v/>
      </c>
      <c r="AL238" s="15">
        <v>0</v>
      </c>
      <c r="AM238" s="15" cm="1">
        <f t="array" ref="AM238">_xlfn.LET(_xlpm.result, Common_InputFunctions.Utility_LookupValueInTableTwoColumns(AK238, _xlfn.IFS(AK238="Urea",IF($O238="", "Global", $O238), AK238="Ammonia", IF($P238="", "Global", $P238), TRUE, "Global"), Table_SourceData_Scope3_InorganicFertiliser[Chemical compound],Table_SourceData_Scope3_InorganicFertiliser[Region of origin],Table_SourceData_Scope3_InorganicFertiliser[Emissions intensity]), IF(_xlpm.result="", 0, _xlpm.result))</f>
        <v>0</v>
      </c>
      <c r="AN238" s="74"/>
    </row>
    <row r="239" spans="4:40" ht="20.100000000000001" customHeight="1" x14ac:dyDescent="0.2">
      <c r="D239" s="15">
        <v>0</v>
      </c>
      <c r="E239" s="15">
        <v>0</v>
      </c>
      <c r="F239" s="15" cm="1">
        <f t="array" ref="F239">Scope3_Equations.VEERG_15_4_1_1__X_EmissionFactorFromPurchasedFertiliserComponents(R239,S239)+
Scope3_Equations.VEERG_15_4_1_1__X_EmissionFactorFromPurchasedFertiliserComponents(V239,W239)+
Scope3_Equations.VEERG_15_4_1_1__X_EmissionFactorFromPurchasedFertiliserComponents(Z239,AA239)+
Scope3_Equations.VEERG_15_4_1_1__X_EmissionFactorFromPurchasedFertiliserComponents(AD239,AE239)+
Scope3_Equations.VEERG_15_4_1_1__X_EmissionFactorFromPurchasedFertiliserComponents(AH239,AI239)+
Scope3_Equations.VEERG_15_4_1_1__X_EmissionFactorFromPurchasedFertiliserComponents(AL239,AM239)</f>
        <v>0</v>
      </c>
      <c r="G239" s="251" cm="1">
        <f t="array" ref="G239">Scope3_Equations.VEERG_15_4_1_1__1_EmissionsFromPurchasedFertiliser(E239,F239)</f>
        <v>0</v>
      </c>
      <c r="H239" s="15" cm="1">
        <f t="array" ref="H239">Scope3_Equations.VEERG_15_4_1_1__2_EmissionsFromPurchasedFertiliserComponentsVariation(R239, $E239,S239)+
Scope3_Equations.VEERG_15_4_1_1__2_EmissionsFromPurchasedFertiliserComponentsVariation(V239, $E239,W239)+
Scope3_Equations.VEERG_15_4_1_1__2_EmissionsFromPurchasedFertiliserComponentsVariation(Z239, $E239,AA239)+
Scope3_Equations.VEERG_15_4_1_1__2_EmissionsFromPurchasedFertiliserComponentsVariation(AD239, $E239,AE239)+
Scope3_Equations.VEERG_15_4_1_1__2_EmissionsFromPurchasedFertiliserComponentsVariation(AH239, $E239,AI239)+
Scope3_Equations.VEERG_15_4_1_1__2_EmissionsFromPurchasedFertiliserComponentsVariation(AL239, $E239,AM239)</f>
        <v>0</v>
      </c>
      <c r="I239" s="74"/>
      <c r="J239" s="251" cm="1">
        <f t="array" ref="J239">Scope3_Equations.VEERG_15_4_1_1__1_EmissionsFromPurchasedFertiliser(E239,I239)</f>
        <v>0</v>
      </c>
      <c r="K239" s="251" cm="1">
        <f t="array" ref="K239">Scope3_Equations.VEERG_15_4_1_1__2_EmissionsFromPurchasedFertiliserComponentsVariation(R239, $E239,IF(T239,T239,S239))+
Scope3_Equations.VEERG_15_4_1_1__2_EmissionsFromPurchasedFertiliserComponentsVariation(V239, $E239,IF(X239,X239,W239))+
Scope3_Equations.VEERG_15_4_1_1__2_EmissionsFromPurchasedFertiliserComponentsVariation(Z239, $E239,IF(AB239,AB239,AA239))+
Scope3_Equations.VEERG_15_4_1_1__2_EmissionsFromPurchasedFertiliserComponentsVariation(AD239, $E239,IF(AF239,AF239,AE239))+
Scope3_Equations.VEERG_15_4_1_1__2_EmissionsFromPurchasedFertiliserComponentsVariation(AH239, $E239,IF(AJ239,AJ239,AI239))+
Scope3_Equations.VEERG_15_4_1_1__2_EmissionsFromPurchasedFertiliserComponentsVariation(AL239, $E239,IF(AN239,AN239,AM239))</f>
        <v>0</v>
      </c>
      <c r="L239" s="33"/>
      <c r="M239" s="13"/>
      <c r="N239" s="33"/>
      <c r="O239" s="15" t="str">
        <v/>
      </c>
      <c r="P239" s="15" t="str">
        <v/>
      </c>
      <c r="Q239" s="15" t="str">
        <v/>
      </c>
      <c r="R239" s="15">
        <v>0</v>
      </c>
      <c r="S239" s="15" cm="1">
        <f t="array" ref="S239">_xlfn.LET(_xlpm.result, Common_InputFunctions.Utility_LookupValueInTableTwoColumns(Q239, _xlfn.IFS(Q239="Urea",IF($O239="", "Global", $O239), Q239="Ammonia", IF($P239="", "Global", $P239), TRUE, "Global"), Table_SourceData_Scope3_InorganicFertiliser[Chemical compound],Table_SourceData_Scope3_InorganicFertiliser[Region of origin],Table_SourceData_Scope3_InorganicFertiliser[Emissions intensity]), IF(_xlpm.result="", 0, _xlpm.result))</f>
        <v>0</v>
      </c>
      <c r="T239" s="74"/>
      <c r="U239" s="15" t="str">
        <v/>
      </c>
      <c r="V239" s="15">
        <v>0</v>
      </c>
      <c r="W239" s="15" cm="1">
        <f t="array" ref="W239">_xlfn.LET(_xlpm.result, Common_InputFunctions.Utility_LookupValueInTableTwoColumns(U239, _xlfn.IFS(U239="Urea",IF($O239="", "Global", $O239), U239="Ammonia", IF($P239="", "Global", $P239), TRUE, "Global"), Table_SourceData_Scope3_InorganicFertiliser[Chemical compound],Table_SourceData_Scope3_InorganicFertiliser[Region of origin],Table_SourceData_Scope3_InorganicFertiliser[Emissions intensity]), IF(_xlpm.result="", 0, _xlpm.result))</f>
        <v>0</v>
      </c>
      <c r="X239" s="74"/>
      <c r="Y239" s="15" t="str">
        <v/>
      </c>
      <c r="Z239" s="15">
        <v>0</v>
      </c>
      <c r="AA239" s="15" cm="1">
        <f t="array" ref="AA239">_xlfn.LET(_xlpm.result, Common_InputFunctions.Utility_LookupValueInTableTwoColumns(Y239, _xlfn.IFS(Y239="Urea",IF($O239="", "Global", $O239), Y239="Ammonia", IF($P239="", "Global", $P239), TRUE, "Global"), Table_SourceData_Scope3_InorganicFertiliser[Chemical compound],Table_SourceData_Scope3_InorganicFertiliser[Region of origin],Table_SourceData_Scope3_InorganicFertiliser[Emissions intensity]), IF(_xlpm.result="", 0, _xlpm.result))</f>
        <v>0</v>
      </c>
      <c r="AB239" s="74"/>
      <c r="AC239" s="15" t="str">
        <v/>
      </c>
      <c r="AD239" s="15">
        <v>0</v>
      </c>
      <c r="AE239" s="15" cm="1">
        <f t="array" ref="AE239">_xlfn.LET(_xlpm.result, Common_InputFunctions.Utility_LookupValueInTableTwoColumns(AC239, _xlfn.IFS(AC239="Urea",IF($O239="", "Global", $O239), AC239="Ammonia", IF($P239="", "Global", $P239), TRUE, "Global"), Table_SourceData_Scope3_InorganicFertiliser[Chemical compound],Table_SourceData_Scope3_InorganicFertiliser[Region of origin],Table_SourceData_Scope3_InorganicFertiliser[Emissions intensity]), IF(_xlpm.result="", 0, _xlpm.result))</f>
        <v>0</v>
      </c>
      <c r="AF239" s="74"/>
      <c r="AG239" s="15" t="str">
        <v/>
      </c>
      <c r="AH239" s="15">
        <v>0</v>
      </c>
      <c r="AI239" s="15" cm="1">
        <f t="array" ref="AI239">_xlfn.LET(_xlpm.result, Common_InputFunctions.Utility_LookupValueInTableTwoColumns(AG239, _xlfn.IFS(AG239="Urea",IF($O239="", "Global", $O239), AG239="Ammonia", IF($P239="", "Global", $P239), TRUE, "Global"), Table_SourceData_Scope3_InorganicFertiliser[Chemical compound],Table_SourceData_Scope3_InorganicFertiliser[Region of origin],Table_SourceData_Scope3_InorganicFertiliser[Emissions intensity]), IF(_xlpm.result="", 0, _xlpm.result))</f>
        <v>0</v>
      </c>
      <c r="AJ239" s="74"/>
      <c r="AK239" s="15" t="str">
        <v/>
      </c>
      <c r="AL239" s="15">
        <v>0</v>
      </c>
      <c r="AM239" s="15" cm="1">
        <f t="array" ref="AM239">_xlfn.LET(_xlpm.result, Common_InputFunctions.Utility_LookupValueInTableTwoColumns(AK239, _xlfn.IFS(AK239="Urea",IF($O239="", "Global", $O239), AK239="Ammonia", IF($P239="", "Global", $P239), TRUE, "Global"), Table_SourceData_Scope3_InorganicFertiliser[Chemical compound],Table_SourceData_Scope3_InorganicFertiliser[Region of origin],Table_SourceData_Scope3_InorganicFertiliser[Emissions intensity]), IF(_xlpm.result="", 0, _xlpm.result))</f>
        <v>0</v>
      </c>
      <c r="AN239" s="74"/>
    </row>
    <row r="240" spans="4:40" ht="20.100000000000001" customHeight="1" x14ac:dyDescent="0.2">
      <c r="D240" s="15">
        <v>0</v>
      </c>
      <c r="E240" s="15">
        <v>0</v>
      </c>
      <c r="F240" s="15" cm="1">
        <f t="array" ref="F240">Scope3_Equations.VEERG_15_4_1_1__X_EmissionFactorFromPurchasedFertiliserComponents(R240,S240)+
Scope3_Equations.VEERG_15_4_1_1__X_EmissionFactorFromPurchasedFertiliserComponents(V240,W240)+
Scope3_Equations.VEERG_15_4_1_1__X_EmissionFactorFromPurchasedFertiliserComponents(Z240,AA240)+
Scope3_Equations.VEERG_15_4_1_1__X_EmissionFactorFromPurchasedFertiliserComponents(AD240,AE240)+
Scope3_Equations.VEERG_15_4_1_1__X_EmissionFactorFromPurchasedFertiliserComponents(AH240,AI240)+
Scope3_Equations.VEERG_15_4_1_1__X_EmissionFactorFromPurchasedFertiliserComponents(AL240,AM240)</f>
        <v>0</v>
      </c>
      <c r="G240" s="251" cm="1">
        <f t="array" ref="G240">Scope3_Equations.VEERG_15_4_1_1__1_EmissionsFromPurchasedFertiliser(E240,F240)</f>
        <v>0</v>
      </c>
      <c r="H240" s="15" cm="1">
        <f t="array" ref="H240">Scope3_Equations.VEERG_15_4_1_1__2_EmissionsFromPurchasedFertiliserComponentsVariation(R240, $E240,S240)+
Scope3_Equations.VEERG_15_4_1_1__2_EmissionsFromPurchasedFertiliserComponentsVariation(V240, $E240,W240)+
Scope3_Equations.VEERG_15_4_1_1__2_EmissionsFromPurchasedFertiliserComponentsVariation(Z240, $E240,AA240)+
Scope3_Equations.VEERG_15_4_1_1__2_EmissionsFromPurchasedFertiliserComponentsVariation(AD240, $E240,AE240)+
Scope3_Equations.VEERG_15_4_1_1__2_EmissionsFromPurchasedFertiliserComponentsVariation(AH240, $E240,AI240)+
Scope3_Equations.VEERG_15_4_1_1__2_EmissionsFromPurchasedFertiliserComponentsVariation(AL240, $E240,AM240)</f>
        <v>0</v>
      </c>
      <c r="I240" s="74"/>
      <c r="J240" s="251" cm="1">
        <f t="array" ref="J240">Scope3_Equations.VEERG_15_4_1_1__1_EmissionsFromPurchasedFertiliser(E240,I240)</f>
        <v>0</v>
      </c>
      <c r="K240" s="251" cm="1">
        <f t="array" ref="K240">Scope3_Equations.VEERG_15_4_1_1__2_EmissionsFromPurchasedFertiliserComponentsVariation(R240, $E240,IF(T240,T240,S240))+
Scope3_Equations.VEERG_15_4_1_1__2_EmissionsFromPurchasedFertiliserComponentsVariation(V240, $E240,IF(X240,X240,W240))+
Scope3_Equations.VEERG_15_4_1_1__2_EmissionsFromPurchasedFertiliserComponentsVariation(Z240, $E240,IF(AB240,AB240,AA240))+
Scope3_Equations.VEERG_15_4_1_1__2_EmissionsFromPurchasedFertiliserComponentsVariation(AD240, $E240,IF(AF240,AF240,AE240))+
Scope3_Equations.VEERG_15_4_1_1__2_EmissionsFromPurchasedFertiliserComponentsVariation(AH240, $E240,IF(AJ240,AJ240,AI240))+
Scope3_Equations.VEERG_15_4_1_1__2_EmissionsFromPurchasedFertiliserComponentsVariation(AL240, $E240,IF(AN240,AN240,AM240))</f>
        <v>0</v>
      </c>
      <c r="L240" s="33"/>
      <c r="M240" s="13"/>
      <c r="N240" s="33"/>
      <c r="O240" s="15" t="str">
        <v/>
      </c>
      <c r="P240" s="15" t="str">
        <v/>
      </c>
      <c r="Q240" s="15" t="str">
        <v/>
      </c>
      <c r="R240" s="15">
        <v>0</v>
      </c>
      <c r="S240" s="15" cm="1">
        <f t="array" ref="S240">_xlfn.LET(_xlpm.result, Common_InputFunctions.Utility_LookupValueInTableTwoColumns(Q240, _xlfn.IFS(Q240="Urea",IF($O240="", "Global", $O240), Q240="Ammonia", IF($P240="", "Global", $P240), TRUE, "Global"), Table_SourceData_Scope3_InorganicFertiliser[Chemical compound],Table_SourceData_Scope3_InorganicFertiliser[Region of origin],Table_SourceData_Scope3_InorganicFertiliser[Emissions intensity]), IF(_xlpm.result="", 0, _xlpm.result))</f>
        <v>0</v>
      </c>
      <c r="T240" s="74"/>
      <c r="U240" s="15" t="str">
        <v/>
      </c>
      <c r="V240" s="15">
        <v>0</v>
      </c>
      <c r="W240" s="15" cm="1">
        <f t="array" ref="W240">_xlfn.LET(_xlpm.result, Common_InputFunctions.Utility_LookupValueInTableTwoColumns(U240, _xlfn.IFS(U240="Urea",IF($O240="", "Global", $O240), U240="Ammonia", IF($P240="", "Global", $P240), TRUE, "Global"), Table_SourceData_Scope3_InorganicFertiliser[Chemical compound],Table_SourceData_Scope3_InorganicFertiliser[Region of origin],Table_SourceData_Scope3_InorganicFertiliser[Emissions intensity]), IF(_xlpm.result="", 0, _xlpm.result))</f>
        <v>0</v>
      </c>
      <c r="X240" s="74"/>
      <c r="Y240" s="15" t="str">
        <v/>
      </c>
      <c r="Z240" s="15">
        <v>0</v>
      </c>
      <c r="AA240" s="15" cm="1">
        <f t="array" ref="AA240">_xlfn.LET(_xlpm.result, Common_InputFunctions.Utility_LookupValueInTableTwoColumns(Y240, _xlfn.IFS(Y240="Urea",IF($O240="", "Global", $O240), Y240="Ammonia", IF($P240="", "Global", $P240), TRUE, "Global"), Table_SourceData_Scope3_InorganicFertiliser[Chemical compound],Table_SourceData_Scope3_InorganicFertiliser[Region of origin],Table_SourceData_Scope3_InorganicFertiliser[Emissions intensity]), IF(_xlpm.result="", 0, _xlpm.result))</f>
        <v>0</v>
      </c>
      <c r="AB240" s="74"/>
      <c r="AC240" s="15" t="str">
        <v/>
      </c>
      <c r="AD240" s="15">
        <v>0</v>
      </c>
      <c r="AE240" s="15" cm="1">
        <f t="array" ref="AE240">_xlfn.LET(_xlpm.result, Common_InputFunctions.Utility_LookupValueInTableTwoColumns(AC240, _xlfn.IFS(AC240="Urea",IF($O240="", "Global", $O240), AC240="Ammonia", IF($P240="", "Global", $P240), TRUE, "Global"), Table_SourceData_Scope3_InorganicFertiliser[Chemical compound],Table_SourceData_Scope3_InorganicFertiliser[Region of origin],Table_SourceData_Scope3_InorganicFertiliser[Emissions intensity]), IF(_xlpm.result="", 0, _xlpm.result))</f>
        <v>0</v>
      </c>
      <c r="AF240" s="74"/>
      <c r="AG240" s="15" t="str">
        <v/>
      </c>
      <c r="AH240" s="15">
        <v>0</v>
      </c>
      <c r="AI240" s="15" cm="1">
        <f t="array" ref="AI240">_xlfn.LET(_xlpm.result, Common_InputFunctions.Utility_LookupValueInTableTwoColumns(AG240, _xlfn.IFS(AG240="Urea",IF($O240="", "Global", $O240), AG240="Ammonia", IF($P240="", "Global", $P240), TRUE, "Global"), Table_SourceData_Scope3_InorganicFertiliser[Chemical compound],Table_SourceData_Scope3_InorganicFertiliser[Region of origin],Table_SourceData_Scope3_InorganicFertiliser[Emissions intensity]), IF(_xlpm.result="", 0, _xlpm.result))</f>
        <v>0</v>
      </c>
      <c r="AJ240" s="74"/>
      <c r="AK240" s="15" t="str">
        <v/>
      </c>
      <c r="AL240" s="15">
        <v>0</v>
      </c>
      <c r="AM240" s="15" cm="1">
        <f t="array" ref="AM240">_xlfn.LET(_xlpm.result, Common_InputFunctions.Utility_LookupValueInTableTwoColumns(AK240, _xlfn.IFS(AK240="Urea",IF($O240="", "Global", $O240), AK240="Ammonia", IF($P240="", "Global", $P240), TRUE, "Global"), Table_SourceData_Scope3_InorganicFertiliser[Chemical compound],Table_SourceData_Scope3_InorganicFertiliser[Region of origin],Table_SourceData_Scope3_InorganicFertiliser[Emissions intensity]), IF(_xlpm.result="", 0, _xlpm.result))</f>
        <v>0</v>
      </c>
      <c r="AN240" s="74"/>
    </row>
    <row r="241" spans="1:40" ht="20.100000000000001" customHeight="1" x14ac:dyDescent="0.2">
      <c r="D241" s="15">
        <v>0</v>
      </c>
      <c r="E241" s="15">
        <v>0</v>
      </c>
      <c r="F241" s="15" cm="1">
        <f t="array" ref="F241">Scope3_Equations.VEERG_15_4_1_1__X_EmissionFactorFromPurchasedFertiliserComponents(R241,S241)+
Scope3_Equations.VEERG_15_4_1_1__X_EmissionFactorFromPurchasedFertiliserComponents(V241,W241)+
Scope3_Equations.VEERG_15_4_1_1__X_EmissionFactorFromPurchasedFertiliserComponents(Z241,AA241)+
Scope3_Equations.VEERG_15_4_1_1__X_EmissionFactorFromPurchasedFertiliserComponents(AD241,AE241)+
Scope3_Equations.VEERG_15_4_1_1__X_EmissionFactorFromPurchasedFertiliserComponents(AH241,AI241)+
Scope3_Equations.VEERG_15_4_1_1__X_EmissionFactorFromPurchasedFertiliserComponents(AL241,AM241)</f>
        <v>0</v>
      </c>
      <c r="G241" s="251" cm="1">
        <f t="array" ref="G241">Scope3_Equations.VEERG_15_4_1_1__1_EmissionsFromPurchasedFertiliser(E241,F241)</f>
        <v>0</v>
      </c>
      <c r="H241" s="15" cm="1">
        <f t="array" ref="H241">Scope3_Equations.VEERG_15_4_1_1__2_EmissionsFromPurchasedFertiliserComponentsVariation(R241, $E241,S241)+
Scope3_Equations.VEERG_15_4_1_1__2_EmissionsFromPurchasedFertiliserComponentsVariation(V241, $E241,W241)+
Scope3_Equations.VEERG_15_4_1_1__2_EmissionsFromPurchasedFertiliserComponentsVariation(Z241, $E241,AA241)+
Scope3_Equations.VEERG_15_4_1_1__2_EmissionsFromPurchasedFertiliserComponentsVariation(AD241, $E241,AE241)+
Scope3_Equations.VEERG_15_4_1_1__2_EmissionsFromPurchasedFertiliserComponentsVariation(AH241, $E241,AI241)+
Scope3_Equations.VEERG_15_4_1_1__2_EmissionsFromPurchasedFertiliserComponentsVariation(AL241, $E241,AM241)</f>
        <v>0</v>
      </c>
      <c r="I241" s="74"/>
      <c r="J241" s="251" cm="1">
        <f t="array" ref="J241">Scope3_Equations.VEERG_15_4_1_1__1_EmissionsFromPurchasedFertiliser(E241,I241)</f>
        <v>0</v>
      </c>
      <c r="K241" s="251" cm="1">
        <f t="array" ref="K241">Scope3_Equations.VEERG_15_4_1_1__2_EmissionsFromPurchasedFertiliserComponentsVariation(R241, $E241,IF(T241,T241,S241))+
Scope3_Equations.VEERG_15_4_1_1__2_EmissionsFromPurchasedFertiliserComponentsVariation(V241, $E241,IF(X241,X241,W241))+
Scope3_Equations.VEERG_15_4_1_1__2_EmissionsFromPurchasedFertiliserComponentsVariation(Z241, $E241,IF(AB241,AB241,AA241))+
Scope3_Equations.VEERG_15_4_1_1__2_EmissionsFromPurchasedFertiliserComponentsVariation(AD241, $E241,IF(AF241,AF241,AE241))+
Scope3_Equations.VEERG_15_4_1_1__2_EmissionsFromPurchasedFertiliserComponentsVariation(AH241, $E241,IF(AJ241,AJ241,AI241))+
Scope3_Equations.VEERG_15_4_1_1__2_EmissionsFromPurchasedFertiliserComponentsVariation(AL241, $E241,IF(AN241,AN241,AM241))</f>
        <v>0</v>
      </c>
      <c r="L241" s="33"/>
      <c r="M241" s="13"/>
      <c r="N241" s="33"/>
      <c r="O241" s="15" t="str">
        <v/>
      </c>
      <c r="P241" s="15" t="str">
        <v/>
      </c>
      <c r="Q241" s="15" t="str">
        <v/>
      </c>
      <c r="R241" s="15">
        <v>0</v>
      </c>
      <c r="S241" s="15" cm="1">
        <f t="array" ref="S241">_xlfn.LET(_xlpm.result, Common_InputFunctions.Utility_LookupValueInTableTwoColumns(Q241, _xlfn.IFS(Q241="Urea",IF($O241="", "Global", $O241), Q241="Ammonia", IF($P241="", "Global", $P241), TRUE, "Global"), Table_SourceData_Scope3_InorganicFertiliser[Chemical compound],Table_SourceData_Scope3_InorganicFertiliser[Region of origin],Table_SourceData_Scope3_InorganicFertiliser[Emissions intensity]), IF(_xlpm.result="", 0, _xlpm.result))</f>
        <v>0</v>
      </c>
      <c r="T241" s="74"/>
      <c r="U241" s="15" t="str">
        <v/>
      </c>
      <c r="V241" s="15">
        <v>0</v>
      </c>
      <c r="W241" s="15" cm="1">
        <f t="array" ref="W241">_xlfn.LET(_xlpm.result, Common_InputFunctions.Utility_LookupValueInTableTwoColumns(U241, _xlfn.IFS(U241="Urea",IF($O241="", "Global", $O241), U241="Ammonia", IF($P241="", "Global", $P241), TRUE, "Global"), Table_SourceData_Scope3_InorganicFertiliser[Chemical compound],Table_SourceData_Scope3_InorganicFertiliser[Region of origin],Table_SourceData_Scope3_InorganicFertiliser[Emissions intensity]), IF(_xlpm.result="", 0, _xlpm.result))</f>
        <v>0</v>
      </c>
      <c r="X241" s="74"/>
      <c r="Y241" s="15" t="str">
        <v/>
      </c>
      <c r="Z241" s="15">
        <v>0</v>
      </c>
      <c r="AA241" s="15" cm="1">
        <f t="array" ref="AA241">_xlfn.LET(_xlpm.result, Common_InputFunctions.Utility_LookupValueInTableTwoColumns(Y241, _xlfn.IFS(Y241="Urea",IF($O241="", "Global", $O241), Y241="Ammonia", IF($P241="", "Global", $P241), TRUE, "Global"), Table_SourceData_Scope3_InorganicFertiliser[Chemical compound],Table_SourceData_Scope3_InorganicFertiliser[Region of origin],Table_SourceData_Scope3_InorganicFertiliser[Emissions intensity]), IF(_xlpm.result="", 0, _xlpm.result))</f>
        <v>0</v>
      </c>
      <c r="AB241" s="74"/>
      <c r="AC241" s="15" t="str">
        <v/>
      </c>
      <c r="AD241" s="15">
        <v>0</v>
      </c>
      <c r="AE241" s="15" cm="1">
        <f t="array" ref="AE241">_xlfn.LET(_xlpm.result, Common_InputFunctions.Utility_LookupValueInTableTwoColumns(AC241, _xlfn.IFS(AC241="Urea",IF($O241="", "Global", $O241), AC241="Ammonia", IF($P241="", "Global", $P241), TRUE, "Global"), Table_SourceData_Scope3_InorganicFertiliser[Chemical compound],Table_SourceData_Scope3_InorganicFertiliser[Region of origin],Table_SourceData_Scope3_InorganicFertiliser[Emissions intensity]), IF(_xlpm.result="", 0, _xlpm.result))</f>
        <v>0</v>
      </c>
      <c r="AF241" s="74"/>
      <c r="AG241" s="15" t="str">
        <v/>
      </c>
      <c r="AH241" s="15">
        <v>0</v>
      </c>
      <c r="AI241" s="15" cm="1">
        <f t="array" ref="AI241">_xlfn.LET(_xlpm.result, Common_InputFunctions.Utility_LookupValueInTableTwoColumns(AG241, _xlfn.IFS(AG241="Urea",IF($O241="", "Global", $O241), AG241="Ammonia", IF($P241="", "Global", $P241), TRUE, "Global"), Table_SourceData_Scope3_InorganicFertiliser[Chemical compound],Table_SourceData_Scope3_InorganicFertiliser[Region of origin],Table_SourceData_Scope3_InorganicFertiliser[Emissions intensity]), IF(_xlpm.result="", 0, _xlpm.result))</f>
        <v>0</v>
      </c>
      <c r="AJ241" s="74"/>
      <c r="AK241" s="15" t="str">
        <v/>
      </c>
      <c r="AL241" s="15">
        <v>0</v>
      </c>
      <c r="AM241" s="15" cm="1">
        <f t="array" ref="AM241">_xlfn.LET(_xlpm.result, Common_InputFunctions.Utility_LookupValueInTableTwoColumns(AK241, _xlfn.IFS(AK241="Urea",IF($O241="", "Global", $O241), AK241="Ammonia", IF($P241="", "Global", $P241), TRUE, "Global"), Table_SourceData_Scope3_InorganicFertiliser[Chemical compound],Table_SourceData_Scope3_InorganicFertiliser[Region of origin],Table_SourceData_Scope3_InorganicFertiliser[Emissions intensity]), IF(_xlpm.result="", 0, _xlpm.result))</f>
        <v>0</v>
      </c>
      <c r="AN241" s="74"/>
    </row>
    <row r="242" spans="1:40" ht="20.100000000000001" customHeight="1" x14ac:dyDescent="0.2">
      <c r="D242" s="15">
        <v>0</v>
      </c>
      <c r="E242" s="15">
        <v>0</v>
      </c>
      <c r="F242" s="15" cm="1">
        <f t="array" ref="F242">Scope3_Equations.VEERG_15_4_1_1__X_EmissionFactorFromPurchasedFertiliserComponents(R242,S242)+
Scope3_Equations.VEERG_15_4_1_1__X_EmissionFactorFromPurchasedFertiliserComponents(V242,W242)+
Scope3_Equations.VEERG_15_4_1_1__X_EmissionFactorFromPurchasedFertiliserComponents(Z242,AA242)+
Scope3_Equations.VEERG_15_4_1_1__X_EmissionFactorFromPurchasedFertiliserComponents(AD242,AE242)+
Scope3_Equations.VEERG_15_4_1_1__X_EmissionFactorFromPurchasedFertiliserComponents(AH242,AI242)+
Scope3_Equations.VEERG_15_4_1_1__X_EmissionFactorFromPurchasedFertiliserComponents(AL242,AM242)</f>
        <v>0</v>
      </c>
      <c r="G242" s="251" cm="1">
        <f t="array" ref="G242">Scope3_Equations.VEERG_15_4_1_1__1_EmissionsFromPurchasedFertiliser(E242,F242)</f>
        <v>0</v>
      </c>
      <c r="H242" s="15" cm="1">
        <f t="array" ref="H242">Scope3_Equations.VEERG_15_4_1_1__2_EmissionsFromPurchasedFertiliserComponentsVariation(R242, $E242,S242)+
Scope3_Equations.VEERG_15_4_1_1__2_EmissionsFromPurchasedFertiliserComponentsVariation(V242, $E242,W242)+
Scope3_Equations.VEERG_15_4_1_1__2_EmissionsFromPurchasedFertiliserComponentsVariation(Z242, $E242,AA242)+
Scope3_Equations.VEERG_15_4_1_1__2_EmissionsFromPurchasedFertiliserComponentsVariation(AD242, $E242,AE242)+
Scope3_Equations.VEERG_15_4_1_1__2_EmissionsFromPurchasedFertiliserComponentsVariation(AH242, $E242,AI242)+
Scope3_Equations.VEERG_15_4_1_1__2_EmissionsFromPurchasedFertiliserComponentsVariation(AL242, $E242,AM242)</f>
        <v>0</v>
      </c>
      <c r="I242" s="74"/>
      <c r="J242" s="251" cm="1">
        <f t="array" ref="J242">Scope3_Equations.VEERG_15_4_1_1__1_EmissionsFromPurchasedFertiliser(E242,I242)</f>
        <v>0</v>
      </c>
      <c r="K242" s="251" cm="1">
        <f t="array" ref="K242">Scope3_Equations.VEERG_15_4_1_1__2_EmissionsFromPurchasedFertiliserComponentsVariation(R242, $E242,IF(T242,T242,S242))+
Scope3_Equations.VEERG_15_4_1_1__2_EmissionsFromPurchasedFertiliserComponentsVariation(V242, $E242,IF(X242,X242,W242))+
Scope3_Equations.VEERG_15_4_1_1__2_EmissionsFromPurchasedFertiliserComponentsVariation(Z242, $E242,IF(AB242,AB242,AA242))+
Scope3_Equations.VEERG_15_4_1_1__2_EmissionsFromPurchasedFertiliserComponentsVariation(AD242, $E242,IF(AF242,AF242,AE242))+
Scope3_Equations.VEERG_15_4_1_1__2_EmissionsFromPurchasedFertiliserComponentsVariation(AH242, $E242,IF(AJ242,AJ242,AI242))+
Scope3_Equations.VEERG_15_4_1_1__2_EmissionsFromPurchasedFertiliserComponentsVariation(AL242, $E242,IF(AN242,AN242,AM242))</f>
        <v>0</v>
      </c>
      <c r="L242" s="33"/>
      <c r="M242" s="13"/>
      <c r="N242" s="33"/>
      <c r="O242" s="15" t="str">
        <v/>
      </c>
      <c r="P242" s="15" t="str">
        <v/>
      </c>
      <c r="Q242" s="15" t="str">
        <v/>
      </c>
      <c r="R242" s="15">
        <v>0</v>
      </c>
      <c r="S242" s="15" cm="1">
        <f t="array" ref="S242">_xlfn.LET(_xlpm.result, Common_InputFunctions.Utility_LookupValueInTableTwoColumns(Q242, _xlfn.IFS(Q242="Urea",IF($O242="", "Global", $O242), Q242="Ammonia", IF($P242="", "Global", $P242), TRUE, "Global"), Table_SourceData_Scope3_InorganicFertiliser[Chemical compound],Table_SourceData_Scope3_InorganicFertiliser[Region of origin],Table_SourceData_Scope3_InorganicFertiliser[Emissions intensity]), IF(_xlpm.result="", 0, _xlpm.result))</f>
        <v>0</v>
      </c>
      <c r="T242" s="74"/>
      <c r="U242" s="15" t="str">
        <v/>
      </c>
      <c r="V242" s="15">
        <v>0</v>
      </c>
      <c r="W242" s="15" cm="1">
        <f t="array" ref="W242">_xlfn.LET(_xlpm.result, Common_InputFunctions.Utility_LookupValueInTableTwoColumns(U242, _xlfn.IFS(U242="Urea",IF($O242="", "Global", $O242), U242="Ammonia", IF($P242="", "Global", $P242), TRUE, "Global"), Table_SourceData_Scope3_InorganicFertiliser[Chemical compound],Table_SourceData_Scope3_InorganicFertiliser[Region of origin],Table_SourceData_Scope3_InorganicFertiliser[Emissions intensity]), IF(_xlpm.result="", 0, _xlpm.result))</f>
        <v>0</v>
      </c>
      <c r="X242" s="74"/>
      <c r="Y242" s="15" t="str">
        <v/>
      </c>
      <c r="Z242" s="15">
        <v>0</v>
      </c>
      <c r="AA242" s="15" cm="1">
        <f t="array" ref="AA242">_xlfn.LET(_xlpm.result, Common_InputFunctions.Utility_LookupValueInTableTwoColumns(Y242, _xlfn.IFS(Y242="Urea",IF($O242="", "Global", $O242), Y242="Ammonia", IF($P242="", "Global", $P242), TRUE, "Global"), Table_SourceData_Scope3_InorganicFertiliser[Chemical compound],Table_SourceData_Scope3_InorganicFertiliser[Region of origin],Table_SourceData_Scope3_InorganicFertiliser[Emissions intensity]), IF(_xlpm.result="", 0, _xlpm.result))</f>
        <v>0</v>
      </c>
      <c r="AB242" s="74"/>
      <c r="AC242" s="15" t="str">
        <v/>
      </c>
      <c r="AD242" s="15">
        <v>0</v>
      </c>
      <c r="AE242" s="15" cm="1">
        <f t="array" ref="AE242">_xlfn.LET(_xlpm.result, Common_InputFunctions.Utility_LookupValueInTableTwoColumns(AC242, _xlfn.IFS(AC242="Urea",IF($O242="", "Global", $O242), AC242="Ammonia", IF($P242="", "Global", $P242), TRUE, "Global"), Table_SourceData_Scope3_InorganicFertiliser[Chemical compound],Table_SourceData_Scope3_InorganicFertiliser[Region of origin],Table_SourceData_Scope3_InorganicFertiliser[Emissions intensity]), IF(_xlpm.result="", 0, _xlpm.result))</f>
        <v>0</v>
      </c>
      <c r="AF242" s="74"/>
      <c r="AG242" s="15" t="str">
        <v/>
      </c>
      <c r="AH242" s="15">
        <v>0</v>
      </c>
      <c r="AI242" s="15" cm="1">
        <f t="array" ref="AI242">_xlfn.LET(_xlpm.result, Common_InputFunctions.Utility_LookupValueInTableTwoColumns(AG242, _xlfn.IFS(AG242="Urea",IF($O242="", "Global", $O242), AG242="Ammonia", IF($P242="", "Global", $P242), TRUE, "Global"), Table_SourceData_Scope3_InorganicFertiliser[Chemical compound],Table_SourceData_Scope3_InorganicFertiliser[Region of origin],Table_SourceData_Scope3_InorganicFertiliser[Emissions intensity]), IF(_xlpm.result="", 0, _xlpm.result))</f>
        <v>0</v>
      </c>
      <c r="AJ242" s="74"/>
      <c r="AK242" s="15" t="str">
        <v/>
      </c>
      <c r="AL242" s="15">
        <v>0</v>
      </c>
      <c r="AM242" s="15" cm="1">
        <f t="array" ref="AM242">_xlfn.LET(_xlpm.result, Common_InputFunctions.Utility_LookupValueInTableTwoColumns(AK242, _xlfn.IFS(AK242="Urea",IF($O242="", "Global", $O242), AK242="Ammonia", IF($P242="", "Global", $P242), TRUE, "Global"), Table_SourceData_Scope3_InorganicFertiliser[Chemical compound],Table_SourceData_Scope3_InorganicFertiliser[Region of origin],Table_SourceData_Scope3_InorganicFertiliser[Emissions intensity]), IF(_xlpm.result="", 0, _xlpm.result))</f>
        <v>0</v>
      </c>
      <c r="AN242" s="74"/>
    </row>
    <row r="243" spans="1:40" ht="20.100000000000001" customHeight="1" x14ac:dyDescent="0.2">
      <c r="D243" s="15">
        <v>0</v>
      </c>
      <c r="E243" s="15">
        <v>0</v>
      </c>
      <c r="F243" s="15" cm="1">
        <f t="array" ref="F243">Scope3_Equations.VEERG_15_4_1_1__X_EmissionFactorFromPurchasedFertiliserComponents(R243,S243)+
Scope3_Equations.VEERG_15_4_1_1__X_EmissionFactorFromPurchasedFertiliserComponents(V243,W243)+
Scope3_Equations.VEERG_15_4_1_1__X_EmissionFactorFromPurchasedFertiliserComponents(Z243,AA243)+
Scope3_Equations.VEERG_15_4_1_1__X_EmissionFactorFromPurchasedFertiliserComponents(AD243,AE243)+
Scope3_Equations.VEERG_15_4_1_1__X_EmissionFactorFromPurchasedFertiliserComponents(AH243,AI243)+
Scope3_Equations.VEERG_15_4_1_1__X_EmissionFactorFromPurchasedFertiliserComponents(AL243,AM243)</f>
        <v>0</v>
      </c>
      <c r="G243" s="251" cm="1">
        <f t="array" ref="G243">Scope3_Equations.VEERG_15_4_1_1__1_EmissionsFromPurchasedFertiliser(E243,F243)</f>
        <v>0</v>
      </c>
      <c r="H243" s="15" cm="1">
        <f t="array" ref="H243">Scope3_Equations.VEERG_15_4_1_1__2_EmissionsFromPurchasedFertiliserComponentsVariation(R243, $E243,S243)+
Scope3_Equations.VEERG_15_4_1_1__2_EmissionsFromPurchasedFertiliserComponentsVariation(V243, $E243,W243)+
Scope3_Equations.VEERG_15_4_1_1__2_EmissionsFromPurchasedFertiliserComponentsVariation(Z243, $E243,AA243)+
Scope3_Equations.VEERG_15_4_1_1__2_EmissionsFromPurchasedFertiliserComponentsVariation(AD243, $E243,AE243)+
Scope3_Equations.VEERG_15_4_1_1__2_EmissionsFromPurchasedFertiliserComponentsVariation(AH243, $E243,AI243)+
Scope3_Equations.VEERG_15_4_1_1__2_EmissionsFromPurchasedFertiliserComponentsVariation(AL243, $E243,AM243)</f>
        <v>0</v>
      </c>
      <c r="I243" s="74"/>
      <c r="J243" s="251" cm="1">
        <f t="array" ref="J243">Scope3_Equations.VEERG_15_4_1_1__1_EmissionsFromPurchasedFertiliser(E243,I243)</f>
        <v>0</v>
      </c>
      <c r="K243" s="251" cm="1">
        <f t="array" ref="K243">Scope3_Equations.VEERG_15_4_1_1__2_EmissionsFromPurchasedFertiliserComponentsVariation(R243, $E243,IF(T243,T243,S243))+
Scope3_Equations.VEERG_15_4_1_1__2_EmissionsFromPurchasedFertiliserComponentsVariation(V243, $E243,IF(X243,X243,W243))+
Scope3_Equations.VEERG_15_4_1_1__2_EmissionsFromPurchasedFertiliserComponentsVariation(Z243, $E243,IF(AB243,AB243,AA243))+
Scope3_Equations.VEERG_15_4_1_1__2_EmissionsFromPurchasedFertiliserComponentsVariation(AD243, $E243,IF(AF243,AF243,AE243))+
Scope3_Equations.VEERG_15_4_1_1__2_EmissionsFromPurchasedFertiliserComponentsVariation(AH243, $E243,IF(AJ243,AJ243,AI243))+
Scope3_Equations.VEERG_15_4_1_1__2_EmissionsFromPurchasedFertiliserComponentsVariation(AL243, $E243,IF(AN243,AN243,AM243))</f>
        <v>0</v>
      </c>
      <c r="L243" s="33"/>
      <c r="M243" s="13"/>
      <c r="N243" s="33"/>
      <c r="O243" s="15" t="str">
        <v/>
      </c>
      <c r="P243" s="15" t="str">
        <v/>
      </c>
      <c r="Q243" s="15" t="str">
        <v/>
      </c>
      <c r="R243" s="15">
        <v>0</v>
      </c>
      <c r="S243" s="15" cm="1">
        <f t="array" ref="S243">_xlfn.LET(_xlpm.result, Common_InputFunctions.Utility_LookupValueInTableTwoColumns(Q243, _xlfn.IFS(Q243="Urea",IF($O243="", "Global", $O243), Q243="Ammonia", IF($P243="", "Global", $P243), TRUE, "Global"), Table_SourceData_Scope3_InorganicFertiliser[Chemical compound],Table_SourceData_Scope3_InorganicFertiliser[Region of origin],Table_SourceData_Scope3_InorganicFertiliser[Emissions intensity]), IF(_xlpm.result="", 0, _xlpm.result))</f>
        <v>0</v>
      </c>
      <c r="T243" s="74"/>
      <c r="U243" s="15" t="str">
        <v/>
      </c>
      <c r="V243" s="15">
        <v>0</v>
      </c>
      <c r="W243" s="15" cm="1">
        <f t="array" ref="W243">_xlfn.LET(_xlpm.result, Common_InputFunctions.Utility_LookupValueInTableTwoColumns(U243, _xlfn.IFS(U243="Urea",IF($O243="", "Global", $O243), U243="Ammonia", IF($P243="", "Global", $P243), TRUE, "Global"), Table_SourceData_Scope3_InorganicFertiliser[Chemical compound],Table_SourceData_Scope3_InorganicFertiliser[Region of origin],Table_SourceData_Scope3_InorganicFertiliser[Emissions intensity]), IF(_xlpm.result="", 0, _xlpm.result))</f>
        <v>0</v>
      </c>
      <c r="X243" s="74"/>
      <c r="Y243" s="15" t="str">
        <v/>
      </c>
      <c r="Z243" s="15">
        <v>0</v>
      </c>
      <c r="AA243" s="15" cm="1">
        <f t="array" ref="AA243">_xlfn.LET(_xlpm.result, Common_InputFunctions.Utility_LookupValueInTableTwoColumns(Y243, _xlfn.IFS(Y243="Urea",IF($O243="", "Global", $O243), Y243="Ammonia", IF($P243="", "Global", $P243), TRUE, "Global"), Table_SourceData_Scope3_InorganicFertiliser[Chemical compound],Table_SourceData_Scope3_InorganicFertiliser[Region of origin],Table_SourceData_Scope3_InorganicFertiliser[Emissions intensity]), IF(_xlpm.result="", 0, _xlpm.result))</f>
        <v>0</v>
      </c>
      <c r="AB243" s="74"/>
      <c r="AC243" s="15" t="str">
        <v/>
      </c>
      <c r="AD243" s="15">
        <v>0</v>
      </c>
      <c r="AE243" s="15" cm="1">
        <f t="array" ref="AE243">_xlfn.LET(_xlpm.result, Common_InputFunctions.Utility_LookupValueInTableTwoColumns(AC243, _xlfn.IFS(AC243="Urea",IF($O243="", "Global", $O243), AC243="Ammonia", IF($P243="", "Global", $P243), TRUE, "Global"), Table_SourceData_Scope3_InorganicFertiliser[Chemical compound],Table_SourceData_Scope3_InorganicFertiliser[Region of origin],Table_SourceData_Scope3_InorganicFertiliser[Emissions intensity]), IF(_xlpm.result="", 0, _xlpm.result))</f>
        <v>0</v>
      </c>
      <c r="AF243" s="74"/>
      <c r="AG243" s="15" t="str">
        <v/>
      </c>
      <c r="AH243" s="15">
        <v>0</v>
      </c>
      <c r="AI243" s="15" cm="1">
        <f t="array" ref="AI243">_xlfn.LET(_xlpm.result, Common_InputFunctions.Utility_LookupValueInTableTwoColumns(AG243, _xlfn.IFS(AG243="Urea",IF($O243="", "Global", $O243), AG243="Ammonia", IF($P243="", "Global", $P243), TRUE, "Global"), Table_SourceData_Scope3_InorganicFertiliser[Chemical compound],Table_SourceData_Scope3_InorganicFertiliser[Region of origin],Table_SourceData_Scope3_InorganicFertiliser[Emissions intensity]), IF(_xlpm.result="", 0, _xlpm.result))</f>
        <v>0</v>
      </c>
      <c r="AJ243" s="74"/>
      <c r="AK243" s="15" t="str">
        <v/>
      </c>
      <c r="AL243" s="15">
        <v>0</v>
      </c>
      <c r="AM243" s="15" cm="1">
        <f t="array" ref="AM243">_xlfn.LET(_xlpm.result, Common_InputFunctions.Utility_LookupValueInTableTwoColumns(AK243, _xlfn.IFS(AK243="Urea",IF($O243="", "Global", $O243), AK243="Ammonia", IF($P243="", "Global", $P243), TRUE, "Global"), Table_SourceData_Scope3_InorganicFertiliser[Chemical compound],Table_SourceData_Scope3_InorganicFertiliser[Region of origin],Table_SourceData_Scope3_InorganicFertiliser[Emissions intensity]), IF(_xlpm.result="", 0, _xlpm.result))</f>
        <v>0</v>
      </c>
      <c r="AN243" s="74"/>
    </row>
    <row r="244" spans="1:40" ht="20.100000000000001" customHeight="1" x14ac:dyDescent="0.2">
      <c r="D244" s="15">
        <v>0</v>
      </c>
      <c r="E244" s="15">
        <v>0</v>
      </c>
      <c r="F244" s="15" cm="1">
        <f t="array" ref="F244">Scope3_Equations.VEERG_15_4_1_1__X_EmissionFactorFromPurchasedFertiliserComponents(R244,S244)+
Scope3_Equations.VEERG_15_4_1_1__X_EmissionFactorFromPurchasedFertiliserComponents(V244,W244)+
Scope3_Equations.VEERG_15_4_1_1__X_EmissionFactorFromPurchasedFertiliserComponents(Z244,AA244)+
Scope3_Equations.VEERG_15_4_1_1__X_EmissionFactorFromPurchasedFertiliserComponents(AD244,AE244)+
Scope3_Equations.VEERG_15_4_1_1__X_EmissionFactorFromPurchasedFertiliserComponents(AH244,AI244)+
Scope3_Equations.VEERG_15_4_1_1__X_EmissionFactorFromPurchasedFertiliserComponents(AL244,AM244)</f>
        <v>0</v>
      </c>
      <c r="G244" s="251" cm="1">
        <f t="array" ref="G244">Scope3_Equations.VEERG_15_4_1_1__1_EmissionsFromPurchasedFertiliser(E244,F244)</f>
        <v>0</v>
      </c>
      <c r="H244" s="15" cm="1">
        <f t="array" ref="H244">Scope3_Equations.VEERG_15_4_1_1__2_EmissionsFromPurchasedFertiliserComponentsVariation(R244, $E244,S244)+
Scope3_Equations.VEERG_15_4_1_1__2_EmissionsFromPurchasedFertiliserComponentsVariation(V244, $E244,W244)+
Scope3_Equations.VEERG_15_4_1_1__2_EmissionsFromPurchasedFertiliserComponentsVariation(Z244, $E244,AA244)+
Scope3_Equations.VEERG_15_4_1_1__2_EmissionsFromPurchasedFertiliserComponentsVariation(AD244, $E244,AE244)+
Scope3_Equations.VEERG_15_4_1_1__2_EmissionsFromPurchasedFertiliserComponentsVariation(AH244, $E244,AI244)+
Scope3_Equations.VEERG_15_4_1_1__2_EmissionsFromPurchasedFertiliserComponentsVariation(AL244, $E244,AM244)</f>
        <v>0</v>
      </c>
      <c r="I244" s="74"/>
      <c r="J244" s="251" cm="1">
        <f t="array" ref="J244">Scope3_Equations.VEERG_15_4_1_1__1_EmissionsFromPurchasedFertiliser(E244,I244)</f>
        <v>0</v>
      </c>
      <c r="K244" s="251" cm="1">
        <f t="array" ref="K244">Scope3_Equations.VEERG_15_4_1_1__2_EmissionsFromPurchasedFertiliserComponentsVariation(R244, $E244,IF(T244,T244,S244))+
Scope3_Equations.VEERG_15_4_1_1__2_EmissionsFromPurchasedFertiliserComponentsVariation(V244, $E244,IF(X244,X244,W244))+
Scope3_Equations.VEERG_15_4_1_1__2_EmissionsFromPurchasedFertiliserComponentsVariation(Z244, $E244,IF(AB244,AB244,AA244))+
Scope3_Equations.VEERG_15_4_1_1__2_EmissionsFromPurchasedFertiliserComponentsVariation(AD244, $E244,IF(AF244,AF244,AE244))+
Scope3_Equations.VEERG_15_4_1_1__2_EmissionsFromPurchasedFertiliserComponentsVariation(AH244, $E244,IF(AJ244,AJ244,AI244))+
Scope3_Equations.VEERG_15_4_1_1__2_EmissionsFromPurchasedFertiliserComponentsVariation(AL244, $E244,IF(AN244,AN244,AM244))</f>
        <v>0</v>
      </c>
      <c r="L244" s="33"/>
      <c r="M244" s="13"/>
      <c r="N244" s="33"/>
      <c r="O244" s="15" t="str">
        <v/>
      </c>
      <c r="P244" s="15" t="str">
        <v/>
      </c>
      <c r="Q244" s="15" t="str">
        <v/>
      </c>
      <c r="R244" s="15">
        <v>0</v>
      </c>
      <c r="S244" s="15" cm="1">
        <f t="array" ref="S244">_xlfn.LET(_xlpm.result, Common_InputFunctions.Utility_LookupValueInTableTwoColumns(Q244, _xlfn.IFS(Q244="Urea",IF($O244="", "Global", $O244), Q244="Ammonia", IF($P244="", "Global", $P244), TRUE, "Global"), Table_SourceData_Scope3_InorganicFertiliser[Chemical compound],Table_SourceData_Scope3_InorganicFertiliser[Region of origin],Table_SourceData_Scope3_InorganicFertiliser[Emissions intensity]), IF(_xlpm.result="", 0, _xlpm.result))</f>
        <v>0</v>
      </c>
      <c r="T244" s="74"/>
      <c r="U244" s="15" t="str">
        <v/>
      </c>
      <c r="V244" s="15">
        <v>0</v>
      </c>
      <c r="W244" s="15" cm="1">
        <f t="array" ref="W244">_xlfn.LET(_xlpm.result, Common_InputFunctions.Utility_LookupValueInTableTwoColumns(U244, _xlfn.IFS(U244="Urea",IF($O244="", "Global", $O244), U244="Ammonia", IF($P244="", "Global", $P244), TRUE, "Global"), Table_SourceData_Scope3_InorganicFertiliser[Chemical compound],Table_SourceData_Scope3_InorganicFertiliser[Region of origin],Table_SourceData_Scope3_InorganicFertiliser[Emissions intensity]), IF(_xlpm.result="", 0, _xlpm.result))</f>
        <v>0</v>
      </c>
      <c r="X244" s="74"/>
      <c r="Y244" s="15" t="str">
        <v/>
      </c>
      <c r="Z244" s="15">
        <v>0</v>
      </c>
      <c r="AA244" s="15" cm="1">
        <f t="array" ref="AA244">_xlfn.LET(_xlpm.result, Common_InputFunctions.Utility_LookupValueInTableTwoColumns(Y244, _xlfn.IFS(Y244="Urea",IF($O244="", "Global", $O244), Y244="Ammonia", IF($P244="", "Global", $P244), TRUE, "Global"), Table_SourceData_Scope3_InorganicFertiliser[Chemical compound],Table_SourceData_Scope3_InorganicFertiliser[Region of origin],Table_SourceData_Scope3_InorganicFertiliser[Emissions intensity]), IF(_xlpm.result="", 0, _xlpm.result))</f>
        <v>0</v>
      </c>
      <c r="AB244" s="74"/>
      <c r="AC244" s="15" t="str">
        <v/>
      </c>
      <c r="AD244" s="15">
        <v>0</v>
      </c>
      <c r="AE244" s="15" cm="1">
        <f t="array" ref="AE244">_xlfn.LET(_xlpm.result, Common_InputFunctions.Utility_LookupValueInTableTwoColumns(AC244, _xlfn.IFS(AC244="Urea",IF($O244="", "Global", $O244), AC244="Ammonia", IF($P244="", "Global", $P244), TRUE, "Global"), Table_SourceData_Scope3_InorganicFertiliser[Chemical compound],Table_SourceData_Scope3_InorganicFertiliser[Region of origin],Table_SourceData_Scope3_InorganicFertiliser[Emissions intensity]), IF(_xlpm.result="", 0, _xlpm.result))</f>
        <v>0</v>
      </c>
      <c r="AF244" s="74"/>
      <c r="AG244" s="15" t="str">
        <v/>
      </c>
      <c r="AH244" s="15">
        <v>0</v>
      </c>
      <c r="AI244" s="15" cm="1">
        <f t="array" ref="AI244">_xlfn.LET(_xlpm.result, Common_InputFunctions.Utility_LookupValueInTableTwoColumns(AG244, _xlfn.IFS(AG244="Urea",IF($O244="", "Global", $O244), AG244="Ammonia", IF($P244="", "Global", $P244), TRUE, "Global"), Table_SourceData_Scope3_InorganicFertiliser[Chemical compound],Table_SourceData_Scope3_InorganicFertiliser[Region of origin],Table_SourceData_Scope3_InorganicFertiliser[Emissions intensity]), IF(_xlpm.result="", 0, _xlpm.result))</f>
        <v>0</v>
      </c>
      <c r="AJ244" s="74"/>
      <c r="AK244" s="15" t="str">
        <v/>
      </c>
      <c r="AL244" s="15">
        <v>0</v>
      </c>
      <c r="AM244" s="15" cm="1">
        <f t="array" ref="AM244">_xlfn.LET(_xlpm.result, Common_InputFunctions.Utility_LookupValueInTableTwoColumns(AK244, _xlfn.IFS(AK244="Urea",IF($O244="", "Global", $O244), AK244="Ammonia", IF($P244="", "Global", $P244), TRUE, "Global"), Table_SourceData_Scope3_InorganicFertiliser[Chemical compound],Table_SourceData_Scope3_InorganicFertiliser[Region of origin],Table_SourceData_Scope3_InorganicFertiliser[Emissions intensity]), IF(_xlpm.result="", 0, _xlpm.result))</f>
        <v>0</v>
      </c>
      <c r="AN244" s="74"/>
    </row>
    <row r="245" spans="1:40" ht="20.100000000000001" customHeight="1" x14ac:dyDescent="0.2">
      <c r="D245" s="15">
        <v>0</v>
      </c>
      <c r="E245" s="15">
        <v>0</v>
      </c>
      <c r="F245" s="15" cm="1">
        <f t="array" ref="F245">Scope3_Equations.VEERG_15_4_1_1__X_EmissionFactorFromPurchasedFertiliserComponents(R245,S245)+
Scope3_Equations.VEERG_15_4_1_1__X_EmissionFactorFromPurchasedFertiliserComponents(V245,W245)+
Scope3_Equations.VEERG_15_4_1_1__X_EmissionFactorFromPurchasedFertiliserComponents(Z245,AA245)+
Scope3_Equations.VEERG_15_4_1_1__X_EmissionFactorFromPurchasedFertiliserComponents(AD245,AE245)+
Scope3_Equations.VEERG_15_4_1_1__X_EmissionFactorFromPurchasedFertiliserComponents(AH245,AI245)+
Scope3_Equations.VEERG_15_4_1_1__X_EmissionFactorFromPurchasedFertiliserComponents(AL245,AM245)</f>
        <v>0</v>
      </c>
      <c r="G245" s="251" cm="1">
        <f t="array" ref="G245">Scope3_Equations.VEERG_15_4_1_1__1_EmissionsFromPurchasedFertiliser(E245,F245)</f>
        <v>0</v>
      </c>
      <c r="H245" s="15" cm="1">
        <f t="array" ref="H245">Scope3_Equations.VEERG_15_4_1_1__2_EmissionsFromPurchasedFertiliserComponentsVariation(R245, $E245,S245)+
Scope3_Equations.VEERG_15_4_1_1__2_EmissionsFromPurchasedFertiliserComponentsVariation(V245, $E245,W245)+
Scope3_Equations.VEERG_15_4_1_1__2_EmissionsFromPurchasedFertiliserComponentsVariation(Z245, $E245,AA245)+
Scope3_Equations.VEERG_15_4_1_1__2_EmissionsFromPurchasedFertiliserComponentsVariation(AD245, $E245,AE245)+
Scope3_Equations.VEERG_15_4_1_1__2_EmissionsFromPurchasedFertiliserComponentsVariation(AH245, $E245,AI245)+
Scope3_Equations.VEERG_15_4_1_1__2_EmissionsFromPurchasedFertiliserComponentsVariation(AL245, $E245,AM245)</f>
        <v>0</v>
      </c>
      <c r="I245" s="74"/>
      <c r="J245" s="251" cm="1">
        <f t="array" ref="J245">Scope3_Equations.VEERG_15_4_1_1__1_EmissionsFromPurchasedFertiliser(E245,I245)</f>
        <v>0</v>
      </c>
      <c r="K245" s="251" cm="1">
        <f t="array" ref="K245">Scope3_Equations.VEERG_15_4_1_1__2_EmissionsFromPurchasedFertiliserComponentsVariation(R245, $E245,IF(T245,T245,S245))+
Scope3_Equations.VEERG_15_4_1_1__2_EmissionsFromPurchasedFertiliserComponentsVariation(V245, $E245,IF(X245,X245,W245))+
Scope3_Equations.VEERG_15_4_1_1__2_EmissionsFromPurchasedFertiliserComponentsVariation(Z245, $E245,IF(AB245,AB245,AA245))+
Scope3_Equations.VEERG_15_4_1_1__2_EmissionsFromPurchasedFertiliserComponentsVariation(AD245, $E245,IF(AF245,AF245,AE245))+
Scope3_Equations.VEERG_15_4_1_1__2_EmissionsFromPurchasedFertiliserComponentsVariation(AH245, $E245,IF(AJ245,AJ245,AI245))+
Scope3_Equations.VEERG_15_4_1_1__2_EmissionsFromPurchasedFertiliserComponentsVariation(AL245, $E245,IF(AN245,AN245,AM245))</f>
        <v>0</v>
      </c>
      <c r="L245" s="33"/>
      <c r="M245" s="13"/>
      <c r="N245" s="33"/>
      <c r="O245" s="15" t="str">
        <v/>
      </c>
      <c r="P245" s="15" t="str">
        <v/>
      </c>
      <c r="Q245" s="15" t="str">
        <v/>
      </c>
      <c r="R245" s="15">
        <v>0</v>
      </c>
      <c r="S245" s="15" cm="1">
        <f t="array" ref="S245">_xlfn.LET(_xlpm.result, Common_InputFunctions.Utility_LookupValueInTableTwoColumns(Q245, _xlfn.IFS(Q245="Urea",IF($O245="", "Global", $O245), Q245="Ammonia", IF($P245="", "Global", $P245), TRUE, "Global"), Table_SourceData_Scope3_InorganicFertiliser[Chemical compound],Table_SourceData_Scope3_InorganicFertiliser[Region of origin],Table_SourceData_Scope3_InorganicFertiliser[Emissions intensity]), IF(_xlpm.result="", 0, _xlpm.result))</f>
        <v>0</v>
      </c>
      <c r="T245" s="74"/>
      <c r="U245" s="15" t="str">
        <v/>
      </c>
      <c r="V245" s="15">
        <v>0</v>
      </c>
      <c r="W245" s="15" cm="1">
        <f t="array" ref="W245">_xlfn.LET(_xlpm.result, Common_InputFunctions.Utility_LookupValueInTableTwoColumns(U245, _xlfn.IFS(U245="Urea",IF($O245="", "Global", $O245), U245="Ammonia", IF($P245="", "Global", $P245), TRUE, "Global"), Table_SourceData_Scope3_InorganicFertiliser[Chemical compound],Table_SourceData_Scope3_InorganicFertiliser[Region of origin],Table_SourceData_Scope3_InorganicFertiliser[Emissions intensity]), IF(_xlpm.result="", 0, _xlpm.result))</f>
        <v>0</v>
      </c>
      <c r="X245" s="74"/>
      <c r="Y245" s="15" t="str">
        <v/>
      </c>
      <c r="Z245" s="15">
        <v>0</v>
      </c>
      <c r="AA245" s="15" cm="1">
        <f t="array" ref="AA245">_xlfn.LET(_xlpm.result, Common_InputFunctions.Utility_LookupValueInTableTwoColumns(Y245, _xlfn.IFS(Y245="Urea",IF($O245="", "Global", $O245), Y245="Ammonia", IF($P245="", "Global", $P245), TRUE, "Global"), Table_SourceData_Scope3_InorganicFertiliser[Chemical compound],Table_SourceData_Scope3_InorganicFertiliser[Region of origin],Table_SourceData_Scope3_InorganicFertiliser[Emissions intensity]), IF(_xlpm.result="", 0, _xlpm.result))</f>
        <v>0</v>
      </c>
      <c r="AB245" s="74"/>
      <c r="AC245" s="15" t="str">
        <v/>
      </c>
      <c r="AD245" s="15">
        <v>0</v>
      </c>
      <c r="AE245" s="15" cm="1">
        <f t="array" ref="AE245">_xlfn.LET(_xlpm.result, Common_InputFunctions.Utility_LookupValueInTableTwoColumns(AC245, _xlfn.IFS(AC245="Urea",IF($O245="", "Global", $O245), AC245="Ammonia", IF($P245="", "Global", $P245), TRUE, "Global"), Table_SourceData_Scope3_InorganicFertiliser[Chemical compound],Table_SourceData_Scope3_InorganicFertiliser[Region of origin],Table_SourceData_Scope3_InorganicFertiliser[Emissions intensity]), IF(_xlpm.result="", 0, _xlpm.result))</f>
        <v>0</v>
      </c>
      <c r="AF245" s="74"/>
      <c r="AG245" s="15" t="str">
        <v/>
      </c>
      <c r="AH245" s="15">
        <v>0</v>
      </c>
      <c r="AI245" s="15" cm="1">
        <f t="array" ref="AI245">_xlfn.LET(_xlpm.result, Common_InputFunctions.Utility_LookupValueInTableTwoColumns(AG245, _xlfn.IFS(AG245="Urea",IF($O245="", "Global", $O245), AG245="Ammonia", IF($P245="", "Global", $P245), TRUE, "Global"), Table_SourceData_Scope3_InorganicFertiliser[Chemical compound],Table_SourceData_Scope3_InorganicFertiliser[Region of origin],Table_SourceData_Scope3_InorganicFertiliser[Emissions intensity]), IF(_xlpm.result="", 0, _xlpm.result))</f>
        <v>0</v>
      </c>
      <c r="AJ245" s="74"/>
      <c r="AK245" s="15" t="str">
        <v/>
      </c>
      <c r="AL245" s="15">
        <v>0</v>
      </c>
      <c r="AM245" s="15" cm="1">
        <f t="array" ref="AM245">_xlfn.LET(_xlpm.result, Common_InputFunctions.Utility_LookupValueInTableTwoColumns(AK245, _xlfn.IFS(AK245="Urea",IF($O245="", "Global", $O245), AK245="Ammonia", IF($P245="", "Global", $P245), TRUE, "Global"), Table_SourceData_Scope3_InorganicFertiliser[Chemical compound],Table_SourceData_Scope3_InorganicFertiliser[Region of origin],Table_SourceData_Scope3_InorganicFertiliser[Emissions intensity]), IF(_xlpm.result="", 0, _xlpm.result))</f>
        <v>0</v>
      </c>
      <c r="AN245" s="74"/>
    </row>
    <row r="247" spans="1:40" ht="20.100000000000001" customHeight="1" x14ac:dyDescent="0.2">
      <c r="D247" s="244" t="s">
        <v>1105</v>
      </c>
    </row>
    <row r="248" spans="1:40" ht="20.100000000000001" customHeight="1" x14ac:dyDescent="0.2">
      <c r="A248" s="79" t="str">
        <f>HYPERLINK("#A1", "▲ Back to top")</f>
        <v>▲ Back to top</v>
      </c>
    </row>
    <row r="249" spans="1:40" ht="20.100000000000001" customHeight="1" x14ac:dyDescent="0.2">
      <c r="D249" s="35" t="s">
        <v>1106</v>
      </c>
      <c r="E249" s="37"/>
      <c r="F249" s="38"/>
    </row>
    <row r="251" spans="1:40" ht="20.100000000000001" customHeight="1" x14ac:dyDescent="0.2">
      <c r="D251" s="78" t="s">
        <v>1068</v>
      </c>
      <c r="E251" s="78" t="s">
        <v>1086</v>
      </c>
      <c r="F251" s="120" t="s">
        <v>1087</v>
      </c>
      <c r="G251" s="120" t="s">
        <v>1088</v>
      </c>
      <c r="H251" s="120" t="s">
        <v>1089</v>
      </c>
      <c r="I251" s="78" t="s">
        <v>1090</v>
      </c>
      <c r="J251" s="120" t="s">
        <v>1091</v>
      </c>
      <c r="K251" s="120" t="s">
        <v>1092</v>
      </c>
      <c r="L251" s="78" t="s">
        <v>1045</v>
      </c>
      <c r="M251" s="78" t="s">
        <v>1046</v>
      </c>
      <c r="N251" s="78" t="s">
        <v>1047</v>
      </c>
      <c r="O251" s="120" t="s">
        <v>712</v>
      </c>
      <c r="P251" s="120" t="s">
        <v>713</v>
      </c>
      <c r="Q251" s="120" t="s">
        <v>697</v>
      </c>
      <c r="R251" s="120" t="s">
        <v>698</v>
      </c>
      <c r="S251" s="120" t="s">
        <v>1093</v>
      </c>
      <c r="T251" s="78" t="s">
        <v>1094</v>
      </c>
      <c r="U251" s="120" t="s">
        <v>699</v>
      </c>
      <c r="V251" s="120" t="s">
        <v>700</v>
      </c>
      <c r="W251" s="120" t="s">
        <v>1095</v>
      </c>
      <c r="X251" s="78" t="s">
        <v>1096</v>
      </c>
      <c r="Y251" s="120" t="s">
        <v>701</v>
      </c>
      <c r="Z251" s="120" t="s">
        <v>702</v>
      </c>
      <c r="AA251" s="120" t="s">
        <v>1097</v>
      </c>
      <c r="AB251" s="78" t="s">
        <v>1098</v>
      </c>
      <c r="AC251" s="120" t="s">
        <v>703</v>
      </c>
      <c r="AD251" s="120" t="s">
        <v>704</v>
      </c>
      <c r="AE251" s="120" t="s">
        <v>1099</v>
      </c>
      <c r="AF251" s="78" t="s">
        <v>1100</v>
      </c>
    </row>
    <row r="252" spans="1:40" ht="20.100000000000001" customHeight="1" x14ac:dyDescent="0.2">
      <c r="D252" s="15" t="str" cm="1">
        <f t="array" ref="D252:D261">IFERROR(INDEX(Table_Input_InorganicFertiliser_Custom[Custom blend name], _xlfn.SEQUENCE(10)), "")</f>
        <v>My first custom blend</v>
      </c>
      <c r="E252" s="15" cm="1">
        <f t="array" ref="E252:E261">IFERROR(INDEX(Table_Input_InorganicFertiliser_Custom[Total applied (kg)], _xlfn.SEQUENCE(10)), 0)</f>
        <v>10000</v>
      </c>
      <c r="F252" s="15" cm="1">
        <f t="array" ref="F252">Scope3_Equations.VEERG_15_4_1_1__X_EmissionFactorFromPurchasedFertiliserComponents(R252,S252)+
Scope3_Equations.VEERG_15_4_1_1__X_EmissionFactorFromPurchasedFertiliserComponents(V252,W252)+
Scope3_Equations.VEERG_15_4_1_1__X_EmissionFactorFromPurchasedFertiliserComponents(Z252,AA252)+
Scope3_Equations.VEERG_15_4_1_1__X_EmissionFactorFromPurchasedFertiliserComponents(AD252,AE252)</f>
        <v>1.7707999999999999</v>
      </c>
      <c r="G252" s="251" cm="1">
        <f t="array" ref="G252">Scope3_Equations.VEERG_15_4_1_1__1_EmissionsFromPurchasedFertiliser(E252,F252)</f>
        <v>17.708000000000002</v>
      </c>
      <c r="H252" s="15" cm="1">
        <f t="array" ref="H252">Scope3_Equations.VEERG_15_4_1_1__2_EmissionsFromPurchasedFertiliserComponentsVariation(R252, $E252,S252)+
Scope3_Equations.VEERG_15_4_1_1__2_EmissionsFromPurchasedFertiliserComponentsVariation(V252, $E252,W252)+
Scope3_Equations.VEERG_15_4_1_1__2_EmissionsFromPurchasedFertiliserComponentsVariation(Z252, $E252,AA252)+
Scope3_Equations.VEERG_15_4_1_1__2_EmissionsFromPurchasedFertiliserComponentsVariation(AD252, $E252,AE252)</f>
        <v>17.707999999999998</v>
      </c>
      <c r="I252" s="74">
        <v>0.4</v>
      </c>
      <c r="J252" s="251" cm="1">
        <f t="array" ref="J252">Scope3_Equations.VEERG_15_4_1_1__1_EmissionsFromPurchasedFertiliser(E252,I252)</f>
        <v>4</v>
      </c>
      <c r="K252" s="251" cm="1">
        <f t="array" ref="K252">Scope3_Equations.VEERG_15_4_1_1__2_EmissionsFromPurchasedFertiliserComponentsVariation(R252, $E252,IF(T252,T252,S252))+
Scope3_Equations.VEERG_15_4_1_1__2_EmissionsFromPurchasedFertiliserComponentsVariation(V252, $E252,IF(X252,X252,W252))+
Scope3_Equations.VEERG_15_4_1_1__2_EmissionsFromPurchasedFertiliserComponentsVariation(Z252, $E252,IF(AB252,AB252,AA252))+
Scope3_Equations.VEERG_15_4_1_1__2_EmissionsFromPurchasedFertiliserComponentsVariation(AD252, $E252,IF(AF252,AF252,AE252))</f>
        <v>16.8</v>
      </c>
      <c r="L252" s="33"/>
      <c r="M252" s="13"/>
      <c r="N252"/>
      <c r="O252" s="15" t="str" cm="1">
        <f t="array" ref="O252:O261">_xlfn.LET(_xlpm.v, INDEX(Table_Input_InorganicFertiliser_Custom[Urea source (Select)], _xlfn.SEQUENCE(10)), IFERROR(IF(_xlpm.v=0, "", _xlpm.v), ""))</f>
        <v/>
      </c>
      <c r="P252" s="15" t="str" cm="1">
        <f t="array" ref="P252:P261">_xlfn.LET(_xlpm.v, INDEX(Table_Input_InorganicFertiliser_Custom[Ammonia source (select)], _xlfn.SEQUENCE(10)), IFERROR(IF(_xlpm.v=0, "", _xlpm.v), ""))</f>
        <v/>
      </c>
      <c r="Q252" s="15" t="str" cm="1">
        <f t="array" ref="Q252:Q261">IFERROR(INDEX(Table_Input_InorganicFertiliser_Custom[Ingredient 1 (select)], _xlfn.SEQUENCE(10)), "")</f>
        <v>Calcium nitrate</v>
      </c>
      <c r="R252" s="15" cm="1">
        <f t="array" ref="R252:R261">IFERROR(INDEX(_xlfn.LET(_xlpm.result, Table_Input_InorganicFertiliser_Custom[Ingredient 1 percent], IF(_xlpm.result="", 0, _xlpm.result)), _xlfn.SEQUENCE(10)), 0)</f>
        <v>0.5</v>
      </c>
      <c r="S252" s="15" cm="1">
        <f t="array" ref="S252">_xlfn.LET(_xlpm.result, Common_InputFunctions.Utility_LookupValueInTableTwoColumns(Q252, _xlfn.IFS(Q252="Urea",IF($O252="", "Global", $O252), Q252="Ammonia", IF($P252="", "Global", $P252), TRUE, "Global"), Table_SourceData_Scope3_InorganicFertiliser[Chemical compound],Table_SourceData_Scope3_InorganicFertiliser[Region of origin],Table_SourceData_Scope3_InorganicFertiliser[Emissions intensity]), IF(_xlpm.result="", 0, _xlpm.result))</f>
        <v>0.75</v>
      </c>
      <c r="T252" s="74">
        <v>0.9</v>
      </c>
      <c r="U252" s="15" t="str" cm="1">
        <f t="array" ref="U252:U261">IFERROR(INDEX(Table_Input_InorganicFertiliser_Custom[Ingredient 2], _xlfn.SEQUENCE(10)), "")</f>
        <v>Zinc - Generic</v>
      </c>
      <c r="V252" s="15" cm="1">
        <f t="array" ref="V252:V261">IFERROR(INDEX(_xlfn.LET(_xlpm.result, Table_Input_InorganicFertiliser_Custom[Ingredient 2 percent], IF(_xlpm.result="", 0, _xlpm.result)), _xlfn.SEQUENCE(10)), 0)</f>
        <v>0.2</v>
      </c>
      <c r="W252" s="15" cm="1">
        <f t="array" ref="W252">_xlfn.LET(_xlpm.result, Common_InputFunctions.Utility_LookupValueInTableTwoColumns(U252, _xlfn.IFS(U252="Urea",IF($O252="", "Global", $O252), U252="Ammonia", IF($P252="", "Global", $P252), TRUE, "Global"), Table_SourceData_Scope3_InorganicFertiliser[Chemical compound],Table_SourceData_Scope3_InorganicFertiliser[Region of origin],Table_SourceData_Scope3_InorganicFertiliser[Emissions intensity]), IF(_xlpm.result="", 0, _xlpm.result))</f>
        <v>4.82</v>
      </c>
      <c r="X252" s="74">
        <v>0.9</v>
      </c>
      <c r="Y252" s="15" t="str" cm="1">
        <f t="array" ref="Y252:Y261">IFERROR(INDEX(Table_Input_InorganicFertiliser_Custom[Ingredient 3], _xlfn.SEQUENCE(10)), "")</f>
        <v>Potassium - Generic</v>
      </c>
      <c r="Z252" s="15" cm="1">
        <f t="array" ref="Z252:Z261">IFERROR(INDEX(_xlfn.LET(_xlpm.result, Table_Input_InorganicFertiliser_Custom[Ingredient 3 percent], IF(_xlpm.result="", 0, _xlpm.result)), _xlfn.SEQUENCE(10)), 0)</f>
        <v>0.2</v>
      </c>
      <c r="AA252" s="15" cm="1">
        <f t="array" ref="AA252">_xlfn.LET(_xlpm.result, Common_InputFunctions.Utility_LookupValueInTableTwoColumns(Y252, _xlfn.IFS(Y252="Urea",IF($O252="", "Global", $O252), Y252="Ammonia", IF($P252="", "Global", $P252), TRUE, "Global"), Table_SourceData_Scope3_InorganicFertiliser[Chemical compound],Table_SourceData_Scope3_InorganicFertiliser[Region of origin],Table_SourceData_Scope3_InorganicFertiliser[Emissions intensity]), IF(_xlpm.result="", 0, _xlpm.result))</f>
        <v>0.90900000000000003</v>
      </c>
      <c r="AB252" s="74">
        <v>4</v>
      </c>
      <c r="AC252" s="15" t="str" cm="1">
        <f t="array" ref="AC252:AC261">IFERROR(INDEX(Table_Input_InorganicFertiliser_Custom[Ingredient 4], _xlfn.SEQUENCE(10)), "")</f>
        <v>Sulfur - Generic</v>
      </c>
      <c r="AD252" s="15" cm="1">
        <f t="array" ref="AD252:AD261">IFERROR(INDEX(_xlfn.LET(_xlpm.result, Table_Input_InorganicFertiliser_Custom[Ingredient 4 percent], IF(_xlpm.result="", 0, _xlpm.result)), _xlfn.SEQUENCE(10)), 0)</f>
        <v>0.1</v>
      </c>
      <c r="AE252" s="15" cm="1">
        <f t="array" ref="AE252">_xlfn.LET(_xlpm.result, Common_InputFunctions.Utility_LookupValueInTableTwoColumns(AC252, _xlfn.IFS(AC252="Urea",IF($O252="", "Global", $O252), AC252="Ammonia", IF($P252="", "Global", $P252), TRUE, "Global"), Table_SourceData_Scope3_InorganicFertiliser[Chemical compound],Table_SourceData_Scope3_InorganicFertiliser[Region of origin],Table_SourceData_Scope3_InorganicFertiliser[Emissions intensity]), IF(_xlpm.result="", 0, _xlpm.result))</f>
        <v>2.5</v>
      </c>
      <c r="AF252" s="74">
        <v>0</v>
      </c>
    </row>
    <row r="253" spans="1:40" ht="20.100000000000001" customHeight="1" x14ac:dyDescent="0.2">
      <c r="D253" s="15" t="str">
        <v>My second custom blend</v>
      </c>
      <c r="E253" s="15">
        <v>10000</v>
      </c>
      <c r="F253" s="15" cm="1">
        <f t="array" ref="F253">Scope3_Equations.VEERG_15_4_1_1__X_EmissionFactorFromPurchasedFertiliserComponents(R253,S253)+
Scope3_Equations.VEERG_15_4_1_1__X_EmissionFactorFromPurchasedFertiliserComponents(V253,W253)+
Scope3_Equations.VEERG_15_4_1_1__X_EmissionFactorFromPurchasedFertiliserComponents(Z253,AA253)+
Scope3_Equations.VEERG_15_4_1_1__X_EmissionFactorFromPurchasedFertiliserComponents(AD253,AE253)</f>
        <v>0.96799999999999997</v>
      </c>
      <c r="G253" s="251" cm="1">
        <f t="array" ref="G253">Scope3_Equations.VEERG_15_4_1_1__1_EmissionsFromPurchasedFertiliser(E253,F253)</f>
        <v>9.68</v>
      </c>
      <c r="H253" s="15" cm="1">
        <f t="array" ref="H253">Scope3_Equations.VEERG_15_4_1_1__2_EmissionsFromPurchasedFertiliserComponentsVariation(R253, $E253,S253)+
Scope3_Equations.VEERG_15_4_1_1__2_EmissionsFromPurchasedFertiliserComponentsVariation(V253, $E253,W253)+
Scope3_Equations.VEERG_15_4_1_1__2_EmissionsFromPurchasedFertiliserComponentsVariation(Z253, $E253,AA253)+
Scope3_Equations.VEERG_15_4_1_1__2_EmissionsFromPurchasedFertiliserComponentsVariation(AD253, $E253,AE253)</f>
        <v>9.68</v>
      </c>
      <c r="I253" s="74">
        <v>0.9</v>
      </c>
      <c r="J253" s="251" cm="1">
        <f t="array" ref="J253">Scope3_Equations.VEERG_15_4_1_1__1_EmissionsFromPurchasedFertiliser(E253,I253)</f>
        <v>9</v>
      </c>
      <c r="K253" s="251" cm="1">
        <f t="array" ref="K253">Scope3_Equations.VEERG_15_4_1_1__2_EmissionsFromPurchasedFertiliserComponentsVariation(R253, $E253,IF(T253,T253,S253))+
Scope3_Equations.VEERG_15_4_1_1__2_EmissionsFromPurchasedFertiliserComponentsVariation(V253, $E253,IF(X253,X253,W253))+
Scope3_Equations.VEERG_15_4_1_1__2_EmissionsFromPurchasedFertiliserComponentsVariation(Z253, $E253,IF(AB253,AB253,AA253))+
Scope3_Equations.VEERG_15_4_1_1__2_EmissionsFromPurchasedFertiliserComponentsVariation(AD253, $E253,IF(AF253,AF253,AE253))</f>
        <v>9.68</v>
      </c>
      <c r="L253" s="33"/>
      <c r="M253" s="13"/>
      <c r="N253" s="33"/>
      <c r="O253" s="252" t="str">
        <v/>
      </c>
      <c r="P253" s="252" t="str">
        <v/>
      </c>
      <c r="Q253" s="15" t="str">
        <v>Urea</v>
      </c>
      <c r="R253" s="15">
        <v>1</v>
      </c>
      <c r="S253" s="15" cm="1">
        <f t="array" ref="S253">_xlfn.LET(_xlpm.result, Common_InputFunctions.Utility_LookupValueInTableTwoColumns(Q253, _xlfn.IFS(Q253="Urea",IF($O253="", "Global", $O253), Q253="Ammonia", IF($P253="", "Global", $P253), TRUE, "Global"), Table_SourceData_Scope3_InorganicFertiliser[Chemical compound],Table_SourceData_Scope3_InorganicFertiliser[Region of origin],Table_SourceData_Scope3_InorganicFertiliser[Emissions intensity]), IF(_xlpm.result="", 0, _xlpm.result))</f>
        <v>0.96799999999999997</v>
      </c>
      <c r="T253" s="74"/>
      <c r="U253" s="15">
        <v>0</v>
      </c>
      <c r="V253" s="15">
        <v>0</v>
      </c>
      <c r="W253" s="15" cm="1">
        <f t="array" ref="W253">_xlfn.LET(_xlpm.result, Common_InputFunctions.Utility_LookupValueInTableTwoColumns(U253, _xlfn.IFS(U253="Urea",IF($O253="", "Global", $O253), U253="Ammonia", IF($P253="", "Global", $P253), TRUE, "Global"), Table_SourceData_Scope3_InorganicFertiliser[Chemical compound],Table_SourceData_Scope3_InorganicFertiliser[Region of origin],Table_SourceData_Scope3_InorganicFertiliser[Emissions intensity]), IF(_xlpm.result="", 0, _xlpm.result))</f>
        <v>0</v>
      </c>
      <c r="X253" s="74"/>
      <c r="Y253" s="15">
        <v>0</v>
      </c>
      <c r="Z253" s="15">
        <v>0</v>
      </c>
      <c r="AA253" s="15" cm="1">
        <f t="array" ref="AA253">_xlfn.LET(_xlpm.result, Common_InputFunctions.Utility_LookupValueInTableTwoColumns(Y253, _xlfn.IFS(Y253="Urea",IF($O253="", "Global", $O253), Y253="Ammonia", IF($P253="", "Global", $P253), TRUE, "Global"), Table_SourceData_Scope3_InorganicFertiliser[Chemical compound],Table_SourceData_Scope3_InorganicFertiliser[Region of origin],Table_SourceData_Scope3_InorganicFertiliser[Emissions intensity]), IF(_xlpm.result="", 0, _xlpm.result))</f>
        <v>0</v>
      </c>
      <c r="AB253" s="74"/>
      <c r="AC253" s="15">
        <v>0</v>
      </c>
      <c r="AD253" s="15">
        <v>0</v>
      </c>
      <c r="AE253" s="15" cm="1">
        <f t="array" ref="AE253">_xlfn.LET(_xlpm.result, Common_InputFunctions.Utility_LookupValueInTableTwoColumns(AC253, _xlfn.IFS(AC253="Urea",IF($O253="", "Global", $O253), AC253="Ammonia", IF($P253="", "Global", $P253), TRUE, "Global"), Table_SourceData_Scope3_InorganicFertiliser[Chemical compound],Table_SourceData_Scope3_InorganicFertiliser[Region of origin],Table_SourceData_Scope3_InorganicFertiliser[Emissions intensity]), IF(_xlpm.result="", 0, _xlpm.result))</f>
        <v>0</v>
      </c>
      <c r="AF253" s="74"/>
    </row>
    <row r="254" spans="1:40" ht="20.100000000000001" customHeight="1" x14ac:dyDescent="0.2">
      <c r="D254" s="15" t="str">
        <v>My third custom blend</v>
      </c>
      <c r="E254" s="15">
        <v>10000</v>
      </c>
      <c r="F254" s="15" cm="1">
        <f t="array" ref="F254">Scope3_Equations.VEERG_15_4_1_1__X_EmissionFactorFromPurchasedFertiliserComponents(R254,S254)+
Scope3_Equations.VEERG_15_4_1_1__X_EmissionFactorFromPurchasedFertiliserComponents(V254,W254)+
Scope3_Equations.VEERG_15_4_1_1__X_EmissionFactorFromPurchasedFertiliserComponents(Z254,AA254)+
Scope3_Equations.VEERG_15_4_1_1__X_EmissionFactorFromPurchasedFertiliserComponents(AD254,AE254)</f>
        <v>1.1599999999999999</v>
      </c>
      <c r="G254" s="251" cm="1">
        <f t="array" ref="G254">Scope3_Equations.VEERG_15_4_1_1__1_EmissionsFromPurchasedFertiliser(E254,F254)</f>
        <v>11.6</v>
      </c>
      <c r="H254" s="15" cm="1">
        <f t="array" ref="H254">Scope3_Equations.VEERG_15_4_1_1__2_EmissionsFromPurchasedFertiliserComponentsVariation(R254, $E254,S254)+
Scope3_Equations.VEERG_15_4_1_1__2_EmissionsFromPurchasedFertiliserComponentsVariation(V254, $E254,W254)+
Scope3_Equations.VEERG_15_4_1_1__2_EmissionsFromPurchasedFertiliserComponentsVariation(Z254, $E254,AA254)+
Scope3_Equations.VEERG_15_4_1_1__2_EmissionsFromPurchasedFertiliserComponentsVariation(AD254, $E254,AE254)</f>
        <v>11.6</v>
      </c>
      <c r="I254" s="74">
        <v>0.4</v>
      </c>
      <c r="J254" s="251" cm="1">
        <f t="array" ref="J254">Scope3_Equations.VEERG_15_4_1_1__1_EmissionsFromPurchasedFertiliser(E254,I254)</f>
        <v>4</v>
      </c>
      <c r="K254" s="251" cm="1">
        <f t="array" ref="K254">Scope3_Equations.VEERG_15_4_1_1__2_EmissionsFromPurchasedFertiliserComponentsVariation(R254, $E254,IF(T254,T254,S254))+
Scope3_Equations.VEERG_15_4_1_1__2_EmissionsFromPurchasedFertiliserComponentsVariation(V254, $E254,IF(X254,X254,W254))+
Scope3_Equations.VEERG_15_4_1_1__2_EmissionsFromPurchasedFertiliserComponentsVariation(Z254, $E254,IF(AB254,AB254,AA254))+
Scope3_Equations.VEERG_15_4_1_1__2_EmissionsFromPurchasedFertiliserComponentsVariation(AD254, $E254,IF(AF254,AF254,AE254))</f>
        <v>11.6</v>
      </c>
      <c r="L254" s="33"/>
      <c r="M254" s="13"/>
      <c r="N254" s="33"/>
      <c r="O254" s="252" t="str">
        <v/>
      </c>
      <c r="P254" s="252" t="str">
        <v/>
      </c>
      <c r="Q254" s="15" t="str">
        <v>Ammonia</v>
      </c>
      <c r="R254" s="15">
        <v>0.5</v>
      </c>
      <c r="S254" s="15" cm="1">
        <f t="array" ref="S254">_xlfn.LET(_xlpm.result, Common_InputFunctions.Utility_LookupValueInTableTwoColumns(Q254, _xlfn.IFS(Q254="Urea",IF($O254="", "Global", $O254), Q254="Ammonia", IF($P254="", "Global", $P254), TRUE, "Global"), Table_SourceData_Scope3_InorganicFertiliser[Chemical compound],Table_SourceData_Scope3_InorganicFertiliser[Region of origin],Table_SourceData_Scope3_InorganicFertiliser[Emissions intensity]), IF(_xlpm.result="", 0, _xlpm.result))</f>
        <v>2.3199999999999998</v>
      </c>
      <c r="T254" s="74"/>
      <c r="U254" s="15">
        <v>0</v>
      </c>
      <c r="V254" s="15">
        <v>0</v>
      </c>
      <c r="W254" s="15" cm="1">
        <f t="array" ref="W254">_xlfn.LET(_xlpm.result, Common_InputFunctions.Utility_LookupValueInTableTwoColumns(U254, _xlfn.IFS(U254="Urea",IF($O254="", "Global", $O254), U254="Ammonia", IF($P254="", "Global", $P254), TRUE, "Global"), Table_SourceData_Scope3_InorganicFertiliser[Chemical compound],Table_SourceData_Scope3_InorganicFertiliser[Region of origin],Table_SourceData_Scope3_InorganicFertiliser[Emissions intensity]), IF(_xlpm.result="", 0, _xlpm.result))</f>
        <v>0</v>
      </c>
      <c r="X254" s="74"/>
      <c r="Y254" s="15">
        <v>0</v>
      </c>
      <c r="Z254" s="15">
        <v>0</v>
      </c>
      <c r="AA254" s="15" cm="1">
        <f t="array" ref="AA254">_xlfn.LET(_xlpm.result, Common_InputFunctions.Utility_LookupValueInTableTwoColumns(Y254, _xlfn.IFS(Y254="Urea",IF($O254="", "Global", $O254), Y254="Ammonia", IF($P254="", "Global", $P254), TRUE, "Global"), Table_SourceData_Scope3_InorganicFertiliser[Chemical compound],Table_SourceData_Scope3_InorganicFertiliser[Region of origin],Table_SourceData_Scope3_InorganicFertiliser[Emissions intensity]), IF(_xlpm.result="", 0, _xlpm.result))</f>
        <v>0</v>
      </c>
      <c r="AB254" s="74"/>
      <c r="AC254" s="15">
        <v>0</v>
      </c>
      <c r="AD254" s="15">
        <v>0</v>
      </c>
      <c r="AE254" s="15" cm="1">
        <f t="array" ref="AE254">_xlfn.LET(_xlpm.result, Common_InputFunctions.Utility_LookupValueInTableTwoColumns(AC254, _xlfn.IFS(AC254="Urea",IF($O254="", "Global", $O254), AC254="Ammonia", IF($P254="", "Global", $P254), TRUE, "Global"), Table_SourceData_Scope3_InorganicFertiliser[Chemical compound],Table_SourceData_Scope3_InorganicFertiliser[Region of origin],Table_SourceData_Scope3_InorganicFertiliser[Emissions intensity]), IF(_xlpm.result="", 0, _xlpm.result))</f>
        <v>0</v>
      </c>
      <c r="AF254" s="74"/>
    </row>
    <row r="255" spans="1:40" ht="20.100000000000001" customHeight="1" x14ac:dyDescent="0.2">
      <c r="D255" s="15">
        <v>0</v>
      </c>
      <c r="E255" s="15">
        <v>0</v>
      </c>
      <c r="F255" s="15" cm="1">
        <f t="array" ref="F255">Scope3_Equations.VEERG_15_4_1_1__X_EmissionFactorFromPurchasedFertiliserComponents(R255,S255)+
Scope3_Equations.VEERG_15_4_1_1__X_EmissionFactorFromPurchasedFertiliserComponents(V255,W255)+
Scope3_Equations.VEERG_15_4_1_1__X_EmissionFactorFromPurchasedFertiliserComponents(Z255,AA255)+
Scope3_Equations.VEERG_15_4_1_1__X_EmissionFactorFromPurchasedFertiliserComponents(AD255,AE255)</f>
        <v>0</v>
      </c>
      <c r="G255" s="251" cm="1">
        <f t="array" ref="G255">Scope3_Equations.VEERG_15_4_1_1__1_EmissionsFromPurchasedFertiliser(E255,F255)</f>
        <v>0</v>
      </c>
      <c r="H255" s="15" cm="1">
        <f t="array" ref="H255">Scope3_Equations.VEERG_15_4_1_1__2_EmissionsFromPurchasedFertiliserComponentsVariation(R255, $E255,S255)+
Scope3_Equations.VEERG_15_4_1_1__2_EmissionsFromPurchasedFertiliserComponentsVariation(V255, $E255,W255)+
Scope3_Equations.VEERG_15_4_1_1__2_EmissionsFromPurchasedFertiliserComponentsVariation(Z255, $E255,AA255)+
Scope3_Equations.VEERG_15_4_1_1__2_EmissionsFromPurchasedFertiliserComponentsVariation(AD255, $E255,AE255)</f>
        <v>0</v>
      </c>
      <c r="I255" s="74"/>
      <c r="J255" s="251" cm="1">
        <f t="array" ref="J255">Scope3_Equations.VEERG_15_4_1_1__1_EmissionsFromPurchasedFertiliser(E255,I255)</f>
        <v>0</v>
      </c>
      <c r="K255" s="251" cm="1">
        <f t="array" ref="K255">Scope3_Equations.VEERG_15_4_1_1__2_EmissionsFromPurchasedFertiliserComponentsVariation(R255, $E255,IF(T255,T255,S255))+
Scope3_Equations.VEERG_15_4_1_1__2_EmissionsFromPurchasedFertiliserComponentsVariation(V255, $E255,IF(X255,X255,W255))+
Scope3_Equations.VEERG_15_4_1_1__2_EmissionsFromPurchasedFertiliserComponentsVariation(Z255, $E255,IF(AB255,AB255,AA255))+
Scope3_Equations.VEERG_15_4_1_1__2_EmissionsFromPurchasedFertiliserComponentsVariation(AD255, $E255,IF(AF255,AF255,AE255))</f>
        <v>0</v>
      </c>
      <c r="L255" s="33"/>
      <c r="M255" s="13"/>
      <c r="N255" s="33"/>
      <c r="O255" s="252" t="str">
        <v/>
      </c>
      <c r="P255" s="252" t="str">
        <v/>
      </c>
      <c r="Q255" s="15">
        <v>0</v>
      </c>
      <c r="R255" s="15">
        <v>0</v>
      </c>
      <c r="S255" s="15" cm="1">
        <f t="array" ref="S255">_xlfn.LET(_xlpm.result, Common_InputFunctions.Utility_LookupValueInTableTwoColumns(Q255, _xlfn.IFS(Q255="Urea",IF($O255="", "Global", $O255), Q255="Ammonia", IF($P255="", "Global", $P255), TRUE, "Global"), Table_SourceData_Scope3_InorganicFertiliser[Chemical compound],Table_SourceData_Scope3_InorganicFertiliser[Region of origin],Table_SourceData_Scope3_InorganicFertiliser[Emissions intensity]), IF(_xlpm.result="", 0, _xlpm.result))</f>
        <v>0</v>
      </c>
      <c r="T255" s="74"/>
      <c r="U255" s="15">
        <v>0</v>
      </c>
      <c r="V255" s="15">
        <v>0</v>
      </c>
      <c r="W255" s="15" cm="1">
        <f t="array" ref="W255">_xlfn.LET(_xlpm.result, Common_InputFunctions.Utility_LookupValueInTableTwoColumns(U255, _xlfn.IFS(U255="Urea",IF($O255="", "Global", $O255), U255="Ammonia", IF($P255="", "Global", $P255), TRUE, "Global"), Table_SourceData_Scope3_InorganicFertiliser[Chemical compound],Table_SourceData_Scope3_InorganicFertiliser[Region of origin],Table_SourceData_Scope3_InorganicFertiliser[Emissions intensity]), IF(_xlpm.result="", 0, _xlpm.result))</f>
        <v>0</v>
      </c>
      <c r="X255" s="74"/>
      <c r="Y255" s="15">
        <v>0</v>
      </c>
      <c r="Z255" s="15">
        <v>0</v>
      </c>
      <c r="AA255" s="15" cm="1">
        <f t="array" ref="AA255">_xlfn.LET(_xlpm.result, Common_InputFunctions.Utility_LookupValueInTableTwoColumns(Y255, _xlfn.IFS(Y255="Urea",IF($O255="", "Global", $O255), Y255="Ammonia", IF($P255="", "Global", $P255), TRUE, "Global"), Table_SourceData_Scope3_InorganicFertiliser[Chemical compound],Table_SourceData_Scope3_InorganicFertiliser[Region of origin],Table_SourceData_Scope3_InorganicFertiliser[Emissions intensity]), IF(_xlpm.result="", 0, _xlpm.result))</f>
        <v>0</v>
      </c>
      <c r="AB255" s="74"/>
      <c r="AC255" s="15">
        <v>0</v>
      </c>
      <c r="AD255" s="15">
        <v>0</v>
      </c>
      <c r="AE255" s="15" cm="1">
        <f t="array" ref="AE255">_xlfn.LET(_xlpm.result, Common_InputFunctions.Utility_LookupValueInTableTwoColumns(AC255, _xlfn.IFS(AC255="Urea",IF($O255="", "Global", $O255), AC255="Ammonia", IF($P255="", "Global", $P255), TRUE, "Global"), Table_SourceData_Scope3_InorganicFertiliser[Chemical compound],Table_SourceData_Scope3_InorganicFertiliser[Region of origin],Table_SourceData_Scope3_InorganicFertiliser[Emissions intensity]), IF(_xlpm.result="", 0, _xlpm.result))</f>
        <v>0</v>
      </c>
      <c r="AF255" s="74"/>
    </row>
    <row r="256" spans="1:40" ht="20.100000000000001" customHeight="1" x14ac:dyDescent="0.2">
      <c r="D256" s="15">
        <v>0</v>
      </c>
      <c r="E256" s="15">
        <v>0</v>
      </c>
      <c r="F256" s="15" cm="1">
        <f t="array" ref="F256">Scope3_Equations.VEERG_15_4_1_1__X_EmissionFactorFromPurchasedFertiliserComponents(R256,S256)+
Scope3_Equations.VEERG_15_4_1_1__X_EmissionFactorFromPurchasedFertiliserComponents(V256,W256)+
Scope3_Equations.VEERG_15_4_1_1__X_EmissionFactorFromPurchasedFertiliserComponents(Z256,AA256)+
Scope3_Equations.VEERG_15_4_1_1__X_EmissionFactorFromPurchasedFertiliserComponents(AD256,AE256)</f>
        <v>0</v>
      </c>
      <c r="G256" s="251" cm="1">
        <f t="array" ref="G256">Scope3_Equations.VEERG_15_4_1_1__1_EmissionsFromPurchasedFertiliser(E256,F256)</f>
        <v>0</v>
      </c>
      <c r="H256" s="15" cm="1">
        <f t="array" ref="H256">Scope3_Equations.VEERG_15_4_1_1__2_EmissionsFromPurchasedFertiliserComponentsVariation(R256, $E256,S256)+
Scope3_Equations.VEERG_15_4_1_1__2_EmissionsFromPurchasedFertiliserComponentsVariation(V256, $E256,W256)+
Scope3_Equations.VEERG_15_4_1_1__2_EmissionsFromPurchasedFertiliserComponentsVariation(Z256, $E256,AA256)+
Scope3_Equations.VEERG_15_4_1_1__2_EmissionsFromPurchasedFertiliserComponentsVariation(AD256, $E256,AE256)</f>
        <v>0</v>
      </c>
      <c r="I256" s="74"/>
      <c r="J256" s="251" cm="1">
        <f t="array" ref="J256">Scope3_Equations.VEERG_15_4_1_1__1_EmissionsFromPurchasedFertiliser(E256,I256)</f>
        <v>0</v>
      </c>
      <c r="K256" s="251" cm="1">
        <f t="array" ref="K256">Scope3_Equations.VEERG_15_4_1_1__2_EmissionsFromPurchasedFertiliserComponentsVariation(R256, $E256,IF(T256,T256,S256))+
Scope3_Equations.VEERG_15_4_1_1__2_EmissionsFromPurchasedFertiliserComponentsVariation(V256, $E256,IF(X256,X256,W256))+
Scope3_Equations.VEERG_15_4_1_1__2_EmissionsFromPurchasedFertiliserComponentsVariation(Z256, $E256,IF(AB256,AB256,AA256))+
Scope3_Equations.VEERG_15_4_1_1__2_EmissionsFromPurchasedFertiliserComponentsVariation(AD256, $E256,IF(AF256,AF256,AE256))</f>
        <v>0</v>
      </c>
      <c r="L256" s="33"/>
      <c r="M256" s="13"/>
      <c r="N256" s="33"/>
      <c r="O256" s="252" t="str">
        <v/>
      </c>
      <c r="P256" s="252" t="str">
        <v/>
      </c>
      <c r="Q256" s="15">
        <v>0</v>
      </c>
      <c r="R256" s="15">
        <v>0</v>
      </c>
      <c r="S256" s="15" cm="1">
        <f t="array" ref="S256">_xlfn.LET(_xlpm.result, Common_InputFunctions.Utility_LookupValueInTableTwoColumns(Q256, _xlfn.IFS(Q256="Urea",IF($O256="", "Global", $O256), Q256="Ammonia", IF($P256="", "Global", $P256), TRUE, "Global"), Table_SourceData_Scope3_InorganicFertiliser[Chemical compound],Table_SourceData_Scope3_InorganicFertiliser[Region of origin],Table_SourceData_Scope3_InorganicFertiliser[Emissions intensity]), IF(_xlpm.result="", 0, _xlpm.result))</f>
        <v>0</v>
      </c>
      <c r="T256" s="74"/>
      <c r="U256" s="15">
        <v>0</v>
      </c>
      <c r="V256" s="15">
        <v>0</v>
      </c>
      <c r="W256" s="15" cm="1">
        <f t="array" ref="W256">_xlfn.LET(_xlpm.result, Common_InputFunctions.Utility_LookupValueInTableTwoColumns(U256, _xlfn.IFS(U256="Urea",IF($O256="", "Global", $O256), U256="Ammonia", IF($P256="", "Global", $P256), TRUE, "Global"), Table_SourceData_Scope3_InorganicFertiliser[Chemical compound],Table_SourceData_Scope3_InorganicFertiliser[Region of origin],Table_SourceData_Scope3_InorganicFertiliser[Emissions intensity]), IF(_xlpm.result="", 0, _xlpm.result))</f>
        <v>0</v>
      </c>
      <c r="X256" s="74"/>
      <c r="Y256" s="15">
        <v>0</v>
      </c>
      <c r="Z256" s="15">
        <v>0</v>
      </c>
      <c r="AA256" s="15" cm="1">
        <f t="array" ref="AA256">_xlfn.LET(_xlpm.result, Common_InputFunctions.Utility_LookupValueInTableTwoColumns(Y256, _xlfn.IFS(Y256="Urea",IF($O256="", "Global", $O256), Y256="Ammonia", IF($P256="", "Global", $P256), TRUE, "Global"), Table_SourceData_Scope3_InorganicFertiliser[Chemical compound],Table_SourceData_Scope3_InorganicFertiliser[Region of origin],Table_SourceData_Scope3_InorganicFertiliser[Emissions intensity]), IF(_xlpm.result="", 0, _xlpm.result))</f>
        <v>0</v>
      </c>
      <c r="AB256" s="74"/>
      <c r="AC256" s="15">
        <v>0</v>
      </c>
      <c r="AD256" s="15">
        <v>0</v>
      </c>
      <c r="AE256" s="15" cm="1">
        <f t="array" ref="AE256">_xlfn.LET(_xlpm.result, Common_InputFunctions.Utility_LookupValueInTableTwoColumns(AC256, _xlfn.IFS(AC256="Urea",IF($O256="", "Global", $O256), AC256="Ammonia", IF($P256="", "Global", $P256), TRUE, "Global"), Table_SourceData_Scope3_InorganicFertiliser[Chemical compound],Table_SourceData_Scope3_InorganicFertiliser[Region of origin],Table_SourceData_Scope3_InorganicFertiliser[Emissions intensity]), IF(_xlpm.result="", 0, _xlpm.result))</f>
        <v>0</v>
      </c>
      <c r="AF256" s="74"/>
    </row>
    <row r="257" spans="3:41" ht="20.100000000000001" customHeight="1" x14ac:dyDescent="0.2">
      <c r="D257" s="15">
        <v>0</v>
      </c>
      <c r="E257" s="15">
        <v>0</v>
      </c>
      <c r="F257" s="15" cm="1">
        <f t="array" ref="F257">Scope3_Equations.VEERG_15_4_1_1__X_EmissionFactorFromPurchasedFertiliserComponents(R257,S257)+
Scope3_Equations.VEERG_15_4_1_1__X_EmissionFactorFromPurchasedFertiliserComponents(V257,W257)+
Scope3_Equations.VEERG_15_4_1_1__X_EmissionFactorFromPurchasedFertiliserComponents(Z257,AA257)+
Scope3_Equations.VEERG_15_4_1_1__X_EmissionFactorFromPurchasedFertiliserComponents(AD257,AE257)</f>
        <v>0</v>
      </c>
      <c r="G257" s="251" cm="1">
        <f t="array" ref="G257">Scope3_Equations.VEERG_15_4_1_1__1_EmissionsFromPurchasedFertiliser(E257,F257)</f>
        <v>0</v>
      </c>
      <c r="H257" s="15" cm="1">
        <f t="array" ref="H257">Scope3_Equations.VEERG_15_4_1_1__2_EmissionsFromPurchasedFertiliserComponentsVariation(R257, $E257,S257)+
Scope3_Equations.VEERG_15_4_1_1__2_EmissionsFromPurchasedFertiliserComponentsVariation(V257, $E257,W257)+
Scope3_Equations.VEERG_15_4_1_1__2_EmissionsFromPurchasedFertiliserComponentsVariation(Z257, $E257,AA257)+
Scope3_Equations.VEERG_15_4_1_1__2_EmissionsFromPurchasedFertiliserComponentsVariation(AD257, $E257,AE257)</f>
        <v>0</v>
      </c>
      <c r="I257" s="74"/>
      <c r="J257" s="251" cm="1">
        <f t="array" ref="J257">Scope3_Equations.VEERG_15_4_1_1__1_EmissionsFromPurchasedFertiliser(E257,I257)</f>
        <v>0</v>
      </c>
      <c r="K257" s="251" cm="1">
        <f t="array" ref="K257">Scope3_Equations.VEERG_15_4_1_1__2_EmissionsFromPurchasedFertiliserComponentsVariation(R257, $E257,IF(T257,T257,S257))+
Scope3_Equations.VEERG_15_4_1_1__2_EmissionsFromPurchasedFertiliserComponentsVariation(V257, $E257,IF(X257,X257,W257))+
Scope3_Equations.VEERG_15_4_1_1__2_EmissionsFromPurchasedFertiliserComponentsVariation(Z257, $E257,IF(AB257,AB257,AA257))+
Scope3_Equations.VEERG_15_4_1_1__2_EmissionsFromPurchasedFertiliserComponentsVariation(AD257, $E257,IF(AF257,AF257,AE257))</f>
        <v>0</v>
      </c>
      <c r="L257" s="33"/>
      <c r="M257" s="13"/>
      <c r="N257" s="33"/>
      <c r="O257" s="252" t="str">
        <v/>
      </c>
      <c r="P257" s="252" t="str">
        <v/>
      </c>
      <c r="Q257" s="15">
        <v>0</v>
      </c>
      <c r="R257" s="15">
        <v>0</v>
      </c>
      <c r="S257" s="15" cm="1">
        <f t="array" ref="S257">_xlfn.LET(_xlpm.result, Common_InputFunctions.Utility_LookupValueInTableTwoColumns(Q257, _xlfn.IFS(Q257="Urea",IF($O257="", "Global", $O257), Q257="Ammonia", IF($P257="", "Global", $P257), TRUE, "Global"), Table_SourceData_Scope3_InorganicFertiliser[Chemical compound],Table_SourceData_Scope3_InorganicFertiliser[Region of origin],Table_SourceData_Scope3_InorganicFertiliser[Emissions intensity]), IF(_xlpm.result="", 0, _xlpm.result))</f>
        <v>0</v>
      </c>
      <c r="T257" s="74"/>
      <c r="U257" s="15">
        <v>0</v>
      </c>
      <c r="V257" s="15">
        <v>0</v>
      </c>
      <c r="W257" s="15" cm="1">
        <f t="array" ref="W257">_xlfn.LET(_xlpm.result, Common_InputFunctions.Utility_LookupValueInTableTwoColumns(U257, _xlfn.IFS(U257="Urea",IF($O257="", "Global", $O257), U257="Ammonia", IF($P257="", "Global", $P257), TRUE, "Global"), Table_SourceData_Scope3_InorganicFertiliser[Chemical compound],Table_SourceData_Scope3_InorganicFertiliser[Region of origin],Table_SourceData_Scope3_InorganicFertiliser[Emissions intensity]), IF(_xlpm.result="", 0, _xlpm.result))</f>
        <v>0</v>
      </c>
      <c r="X257" s="74"/>
      <c r="Y257" s="15">
        <v>0</v>
      </c>
      <c r="Z257" s="15">
        <v>0</v>
      </c>
      <c r="AA257" s="15" cm="1">
        <f t="array" ref="AA257">_xlfn.LET(_xlpm.result, Common_InputFunctions.Utility_LookupValueInTableTwoColumns(Y257, _xlfn.IFS(Y257="Urea",IF($O257="", "Global", $O257), Y257="Ammonia", IF($P257="", "Global", $P257), TRUE, "Global"), Table_SourceData_Scope3_InorganicFertiliser[Chemical compound],Table_SourceData_Scope3_InorganicFertiliser[Region of origin],Table_SourceData_Scope3_InorganicFertiliser[Emissions intensity]), IF(_xlpm.result="", 0, _xlpm.result))</f>
        <v>0</v>
      </c>
      <c r="AB257" s="74"/>
      <c r="AC257" s="15">
        <v>0</v>
      </c>
      <c r="AD257" s="15">
        <v>0</v>
      </c>
      <c r="AE257" s="15" cm="1">
        <f t="array" ref="AE257">_xlfn.LET(_xlpm.result, Common_InputFunctions.Utility_LookupValueInTableTwoColumns(AC257, _xlfn.IFS(AC257="Urea",IF($O257="", "Global", $O257), AC257="Ammonia", IF($P257="", "Global", $P257), TRUE, "Global"), Table_SourceData_Scope3_InorganicFertiliser[Chemical compound],Table_SourceData_Scope3_InorganicFertiliser[Region of origin],Table_SourceData_Scope3_InorganicFertiliser[Emissions intensity]), IF(_xlpm.result="", 0, _xlpm.result))</f>
        <v>0</v>
      </c>
      <c r="AF257" s="74"/>
    </row>
    <row r="258" spans="3:41" ht="20.100000000000001" customHeight="1" x14ac:dyDescent="0.2">
      <c r="D258" s="15">
        <v>0</v>
      </c>
      <c r="E258" s="15">
        <v>0</v>
      </c>
      <c r="F258" s="15" cm="1">
        <f t="array" ref="F258">Scope3_Equations.VEERG_15_4_1_1__X_EmissionFactorFromPurchasedFertiliserComponents(R258,S258)+
Scope3_Equations.VEERG_15_4_1_1__X_EmissionFactorFromPurchasedFertiliserComponents(V258,W258)+
Scope3_Equations.VEERG_15_4_1_1__X_EmissionFactorFromPurchasedFertiliserComponents(Z258,AA258)+
Scope3_Equations.VEERG_15_4_1_1__X_EmissionFactorFromPurchasedFertiliserComponents(AD258,AE258)</f>
        <v>0</v>
      </c>
      <c r="G258" s="251" cm="1">
        <f t="array" ref="G258">Scope3_Equations.VEERG_15_4_1_1__1_EmissionsFromPurchasedFertiliser(E258,F258)</f>
        <v>0</v>
      </c>
      <c r="H258" s="15" cm="1">
        <f t="array" ref="H258">Scope3_Equations.VEERG_15_4_1_1__2_EmissionsFromPurchasedFertiliserComponentsVariation(R258, $E258,S258)+
Scope3_Equations.VEERG_15_4_1_1__2_EmissionsFromPurchasedFertiliserComponentsVariation(V258, $E258,W258)+
Scope3_Equations.VEERG_15_4_1_1__2_EmissionsFromPurchasedFertiliserComponentsVariation(Z258, $E258,AA258)+
Scope3_Equations.VEERG_15_4_1_1__2_EmissionsFromPurchasedFertiliserComponentsVariation(AD258, $E258,AE258)</f>
        <v>0</v>
      </c>
      <c r="I258" s="74"/>
      <c r="J258" s="251" cm="1">
        <f t="array" ref="J258">Scope3_Equations.VEERG_15_4_1_1__1_EmissionsFromPurchasedFertiliser(E258,I258)</f>
        <v>0</v>
      </c>
      <c r="K258" s="251" cm="1">
        <f t="array" ref="K258">Scope3_Equations.VEERG_15_4_1_1__2_EmissionsFromPurchasedFertiliserComponentsVariation(R258, $E258,IF(T258,T258,S258))+
Scope3_Equations.VEERG_15_4_1_1__2_EmissionsFromPurchasedFertiliserComponentsVariation(V258, $E258,IF(X258,X258,W258))+
Scope3_Equations.VEERG_15_4_1_1__2_EmissionsFromPurchasedFertiliserComponentsVariation(Z258, $E258,IF(AB258,AB258,AA258))+
Scope3_Equations.VEERG_15_4_1_1__2_EmissionsFromPurchasedFertiliserComponentsVariation(AD258, $E258,IF(AF258,AF258,AE258))</f>
        <v>0</v>
      </c>
      <c r="L258" s="33"/>
      <c r="M258" s="13"/>
      <c r="N258" s="33"/>
      <c r="O258" s="252" t="str">
        <v/>
      </c>
      <c r="P258" s="252" t="str">
        <v/>
      </c>
      <c r="Q258" s="15">
        <v>0</v>
      </c>
      <c r="R258" s="15">
        <v>0</v>
      </c>
      <c r="S258" s="15" cm="1">
        <f t="array" ref="S258">_xlfn.LET(_xlpm.result, Common_InputFunctions.Utility_LookupValueInTableTwoColumns(Q258, _xlfn.IFS(Q258="Urea",IF($O258="", "Global", $O258), Q258="Ammonia", IF($P258="", "Global", $P258), TRUE, "Global"), Table_SourceData_Scope3_InorganicFertiliser[Chemical compound],Table_SourceData_Scope3_InorganicFertiliser[Region of origin],Table_SourceData_Scope3_InorganicFertiliser[Emissions intensity]), IF(_xlpm.result="", 0, _xlpm.result))</f>
        <v>0</v>
      </c>
      <c r="T258" s="74"/>
      <c r="U258" s="15">
        <v>0</v>
      </c>
      <c r="V258" s="15">
        <v>0</v>
      </c>
      <c r="W258" s="15" cm="1">
        <f t="array" ref="W258">_xlfn.LET(_xlpm.result, Common_InputFunctions.Utility_LookupValueInTableTwoColumns(U258, _xlfn.IFS(U258="Urea",IF($O258="", "Global", $O258), U258="Ammonia", IF($P258="", "Global", $P258), TRUE, "Global"), Table_SourceData_Scope3_InorganicFertiliser[Chemical compound],Table_SourceData_Scope3_InorganicFertiliser[Region of origin],Table_SourceData_Scope3_InorganicFertiliser[Emissions intensity]), IF(_xlpm.result="", 0, _xlpm.result))</f>
        <v>0</v>
      </c>
      <c r="X258" s="74"/>
      <c r="Y258" s="15">
        <v>0</v>
      </c>
      <c r="Z258" s="15">
        <v>0</v>
      </c>
      <c r="AA258" s="15" cm="1">
        <f t="array" ref="AA258">_xlfn.LET(_xlpm.result, Common_InputFunctions.Utility_LookupValueInTableTwoColumns(Y258, _xlfn.IFS(Y258="Urea",IF($O258="", "Global", $O258), Y258="Ammonia", IF($P258="", "Global", $P258), TRUE, "Global"), Table_SourceData_Scope3_InorganicFertiliser[Chemical compound],Table_SourceData_Scope3_InorganicFertiliser[Region of origin],Table_SourceData_Scope3_InorganicFertiliser[Emissions intensity]), IF(_xlpm.result="", 0, _xlpm.result))</f>
        <v>0</v>
      </c>
      <c r="AB258" s="74"/>
      <c r="AC258" s="15">
        <v>0</v>
      </c>
      <c r="AD258" s="15">
        <v>0</v>
      </c>
      <c r="AE258" s="15" cm="1">
        <f t="array" ref="AE258">_xlfn.LET(_xlpm.result, Common_InputFunctions.Utility_LookupValueInTableTwoColumns(AC258, _xlfn.IFS(AC258="Urea",IF($O258="", "Global", $O258), AC258="Ammonia", IF($P258="", "Global", $P258), TRUE, "Global"), Table_SourceData_Scope3_InorganicFertiliser[Chemical compound],Table_SourceData_Scope3_InorganicFertiliser[Region of origin],Table_SourceData_Scope3_InorganicFertiliser[Emissions intensity]), IF(_xlpm.result="", 0, _xlpm.result))</f>
        <v>0</v>
      </c>
      <c r="AF258" s="74"/>
    </row>
    <row r="259" spans="3:41" ht="20.100000000000001" customHeight="1" x14ac:dyDescent="0.2">
      <c r="D259" s="15">
        <v>0</v>
      </c>
      <c r="E259" s="15">
        <v>0</v>
      </c>
      <c r="F259" s="15" cm="1">
        <f t="array" ref="F259">Scope3_Equations.VEERG_15_4_1_1__X_EmissionFactorFromPurchasedFertiliserComponents(R259,S259)+
Scope3_Equations.VEERG_15_4_1_1__X_EmissionFactorFromPurchasedFertiliserComponents(V259,W259)+
Scope3_Equations.VEERG_15_4_1_1__X_EmissionFactorFromPurchasedFertiliserComponents(Z259,AA259)+
Scope3_Equations.VEERG_15_4_1_1__X_EmissionFactorFromPurchasedFertiliserComponents(AD259,AE259)</f>
        <v>0</v>
      </c>
      <c r="G259" s="251" cm="1">
        <f t="array" ref="G259">Scope3_Equations.VEERG_15_4_1_1__1_EmissionsFromPurchasedFertiliser(E259,F259)</f>
        <v>0</v>
      </c>
      <c r="H259" s="15" cm="1">
        <f t="array" ref="H259">Scope3_Equations.VEERG_15_4_1_1__2_EmissionsFromPurchasedFertiliserComponentsVariation(R259, $E259,S259)+
Scope3_Equations.VEERG_15_4_1_1__2_EmissionsFromPurchasedFertiliserComponentsVariation(V259, $E259,W259)+
Scope3_Equations.VEERG_15_4_1_1__2_EmissionsFromPurchasedFertiliserComponentsVariation(Z259, $E259,AA259)+
Scope3_Equations.VEERG_15_4_1_1__2_EmissionsFromPurchasedFertiliserComponentsVariation(AD259, $E259,AE259)</f>
        <v>0</v>
      </c>
      <c r="I259" s="74"/>
      <c r="J259" s="251" cm="1">
        <f t="array" ref="J259">Scope3_Equations.VEERG_15_4_1_1__1_EmissionsFromPurchasedFertiliser(E259,I259)</f>
        <v>0</v>
      </c>
      <c r="K259" s="251" cm="1">
        <f t="array" ref="K259">Scope3_Equations.VEERG_15_4_1_1__2_EmissionsFromPurchasedFertiliserComponentsVariation(R259, $E259,IF(T259,T259,S259))+
Scope3_Equations.VEERG_15_4_1_1__2_EmissionsFromPurchasedFertiliserComponentsVariation(V259, $E259,IF(X259,X259,W259))+
Scope3_Equations.VEERG_15_4_1_1__2_EmissionsFromPurchasedFertiliserComponentsVariation(Z259, $E259,IF(AB259,AB259,AA259))+
Scope3_Equations.VEERG_15_4_1_1__2_EmissionsFromPurchasedFertiliserComponentsVariation(AD259, $E259,IF(AF259,AF259,AE259))</f>
        <v>0</v>
      </c>
      <c r="L259" s="33"/>
      <c r="M259" s="13"/>
      <c r="N259" s="33"/>
      <c r="O259" s="252" t="str">
        <v/>
      </c>
      <c r="P259" s="252" t="str">
        <v/>
      </c>
      <c r="Q259" s="15">
        <v>0</v>
      </c>
      <c r="R259" s="15">
        <v>0</v>
      </c>
      <c r="S259" s="15" cm="1">
        <f t="array" ref="S259">_xlfn.LET(_xlpm.result, Common_InputFunctions.Utility_LookupValueInTableTwoColumns(Q259, _xlfn.IFS(Q259="Urea",IF($O259="", "Global", $O259), Q259="Ammonia", IF($P259="", "Global", $P259), TRUE, "Global"), Table_SourceData_Scope3_InorganicFertiliser[Chemical compound],Table_SourceData_Scope3_InorganicFertiliser[Region of origin],Table_SourceData_Scope3_InorganicFertiliser[Emissions intensity]), IF(_xlpm.result="", 0, _xlpm.result))</f>
        <v>0</v>
      </c>
      <c r="T259" s="74"/>
      <c r="U259" s="15">
        <v>0</v>
      </c>
      <c r="V259" s="15">
        <v>0</v>
      </c>
      <c r="W259" s="15" cm="1">
        <f t="array" ref="W259">_xlfn.LET(_xlpm.result, Common_InputFunctions.Utility_LookupValueInTableTwoColumns(U259, _xlfn.IFS(U259="Urea",IF($O259="", "Global", $O259), U259="Ammonia", IF($P259="", "Global", $P259), TRUE, "Global"), Table_SourceData_Scope3_InorganicFertiliser[Chemical compound],Table_SourceData_Scope3_InorganicFertiliser[Region of origin],Table_SourceData_Scope3_InorganicFertiliser[Emissions intensity]), IF(_xlpm.result="", 0, _xlpm.result))</f>
        <v>0</v>
      </c>
      <c r="X259" s="74"/>
      <c r="Y259" s="15">
        <v>0</v>
      </c>
      <c r="Z259" s="15">
        <v>0</v>
      </c>
      <c r="AA259" s="15" cm="1">
        <f t="array" ref="AA259">_xlfn.LET(_xlpm.result, Common_InputFunctions.Utility_LookupValueInTableTwoColumns(Y259, _xlfn.IFS(Y259="Urea",IF($O259="", "Global", $O259), Y259="Ammonia", IF($P259="", "Global", $P259), TRUE, "Global"), Table_SourceData_Scope3_InorganicFertiliser[Chemical compound],Table_SourceData_Scope3_InorganicFertiliser[Region of origin],Table_SourceData_Scope3_InorganicFertiliser[Emissions intensity]), IF(_xlpm.result="", 0, _xlpm.result))</f>
        <v>0</v>
      </c>
      <c r="AB259" s="74"/>
      <c r="AC259" s="15">
        <v>0</v>
      </c>
      <c r="AD259" s="15">
        <v>0</v>
      </c>
      <c r="AE259" s="15" cm="1">
        <f t="array" ref="AE259">_xlfn.LET(_xlpm.result, Common_InputFunctions.Utility_LookupValueInTableTwoColumns(AC259, _xlfn.IFS(AC259="Urea",IF($O259="", "Global", $O259), AC259="Ammonia", IF($P259="", "Global", $P259), TRUE, "Global"), Table_SourceData_Scope3_InorganicFertiliser[Chemical compound],Table_SourceData_Scope3_InorganicFertiliser[Region of origin],Table_SourceData_Scope3_InorganicFertiliser[Emissions intensity]), IF(_xlpm.result="", 0, _xlpm.result))</f>
        <v>0</v>
      </c>
      <c r="AF259" s="74"/>
    </row>
    <row r="260" spans="3:41" ht="20.100000000000001" customHeight="1" x14ac:dyDescent="0.2">
      <c r="D260" s="15">
        <v>0</v>
      </c>
      <c r="E260" s="15">
        <v>0</v>
      </c>
      <c r="F260" s="15" cm="1">
        <f t="array" ref="F260">Scope3_Equations.VEERG_15_4_1_1__X_EmissionFactorFromPurchasedFertiliserComponents(R260,S260)+
Scope3_Equations.VEERG_15_4_1_1__X_EmissionFactorFromPurchasedFertiliserComponents(V260,W260)+
Scope3_Equations.VEERG_15_4_1_1__X_EmissionFactorFromPurchasedFertiliserComponents(Z260,AA260)+
Scope3_Equations.VEERG_15_4_1_1__X_EmissionFactorFromPurchasedFertiliserComponents(AD260,AE260)</f>
        <v>0</v>
      </c>
      <c r="G260" s="251" cm="1">
        <f t="array" ref="G260">Scope3_Equations.VEERG_15_4_1_1__1_EmissionsFromPurchasedFertiliser(E260,F260)</f>
        <v>0</v>
      </c>
      <c r="H260" s="15" cm="1">
        <f t="array" ref="H260">Scope3_Equations.VEERG_15_4_1_1__2_EmissionsFromPurchasedFertiliserComponentsVariation(R260, $E260,S260)+
Scope3_Equations.VEERG_15_4_1_1__2_EmissionsFromPurchasedFertiliserComponentsVariation(V260, $E260,W260)+
Scope3_Equations.VEERG_15_4_1_1__2_EmissionsFromPurchasedFertiliserComponentsVariation(Z260, $E260,AA260)+
Scope3_Equations.VEERG_15_4_1_1__2_EmissionsFromPurchasedFertiliserComponentsVariation(AD260, $E260,AE260)</f>
        <v>0</v>
      </c>
      <c r="I260" s="74"/>
      <c r="J260" s="251" cm="1">
        <f t="array" ref="J260">Scope3_Equations.VEERG_15_4_1_1__1_EmissionsFromPurchasedFertiliser(E260,I260)</f>
        <v>0</v>
      </c>
      <c r="K260" s="251" cm="1">
        <f t="array" ref="K260">Scope3_Equations.VEERG_15_4_1_1__2_EmissionsFromPurchasedFertiliserComponentsVariation(R260, $E260,IF(T260,T260,S260))+
Scope3_Equations.VEERG_15_4_1_1__2_EmissionsFromPurchasedFertiliserComponentsVariation(V260, $E260,IF(X260,X260,W260))+
Scope3_Equations.VEERG_15_4_1_1__2_EmissionsFromPurchasedFertiliserComponentsVariation(Z260, $E260,IF(AB260,AB260,AA260))+
Scope3_Equations.VEERG_15_4_1_1__2_EmissionsFromPurchasedFertiliserComponentsVariation(AD260, $E260,IF(AF260,AF260,AE260))</f>
        <v>0</v>
      </c>
      <c r="L260" s="33"/>
      <c r="M260" s="13"/>
      <c r="N260" s="33"/>
      <c r="O260" s="252" t="str">
        <v/>
      </c>
      <c r="P260" s="252" t="str">
        <v/>
      </c>
      <c r="Q260" s="15">
        <v>0</v>
      </c>
      <c r="R260" s="15">
        <v>0</v>
      </c>
      <c r="S260" s="15" cm="1">
        <f t="array" ref="S260">_xlfn.LET(_xlpm.result, Common_InputFunctions.Utility_LookupValueInTableTwoColumns(Q260, _xlfn.IFS(Q260="Urea",IF($O260="", "Global", $O260), Q260="Ammonia", IF($P260="", "Global", $P260), TRUE, "Global"), Table_SourceData_Scope3_InorganicFertiliser[Chemical compound],Table_SourceData_Scope3_InorganicFertiliser[Region of origin],Table_SourceData_Scope3_InorganicFertiliser[Emissions intensity]), IF(_xlpm.result="", 0, _xlpm.result))</f>
        <v>0</v>
      </c>
      <c r="T260" s="74"/>
      <c r="U260" s="15">
        <v>0</v>
      </c>
      <c r="V260" s="15">
        <v>0</v>
      </c>
      <c r="W260" s="15" cm="1">
        <f t="array" ref="W260">_xlfn.LET(_xlpm.result, Common_InputFunctions.Utility_LookupValueInTableTwoColumns(U260, _xlfn.IFS(U260="Urea",IF($O260="", "Global", $O260), U260="Ammonia", IF($P260="", "Global", $P260), TRUE, "Global"), Table_SourceData_Scope3_InorganicFertiliser[Chemical compound],Table_SourceData_Scope3_InorganicFertiliser[Region of origin],Table_SourceData_Scope3_InorganicFertiliser[Emissions intensity]), IF(_xlpm.result="", 0, _xlpm.result))</f>
        <v>0</v>
      </c>
      <c r="X260" s="74"/>
      <c r="Y260" s="15">
        <v>0</v>
      </c>
      <c r="Z260" s="15">
        <v>0</v>
      </c>
      <c r="AA260" s="15" cm="1">
        <f t="array" ref="AA260">_xlfn.LET(_xlpm.result, Common_InputFunctions.Utility_LookupValueInTableTwoColumns(Y260, _xlfn.IFS(Y260="Urea",IF($O260="", "Global", $O260), Y260="Ammonia", IF($P260="", "Global", $P260), TRUE, "Global"), Table_SourceData_Scope3_InorganicFertiliser[Chemical compound],Table_SourceData_Scope3_InorganicFertiliser[Region of origin],Table_SourceData_Scope3_InorganicFertiliser[Emissions intensity]), IF(_xlpm.result="", 0, _xlpm.result))</f>
        <v>0</v>
      </c>
      <c r="AB260" s="74"/>
      <c r="AC260" s="15">
        <v>0</v>
      </c>
      <c r="AD260" s="15">
        <v>0</v>
      </c>
      <c r="AE260" s="15" cm="1">
        <f t="array" ref="AE260">_xlfn.LET(_xlpm.result, Common_InputFunctions.Utility_LookupValueInTableTwoColumns(AC260, _xlfn.IFS(AC260="Urea",IF($O260="", "Global", $O260), AC260="Ammonia", IF($P260="", "Global", $P260), TRUE, "Global"), Table_SourceData_Scope3_InorganicFertiliser[Chemical compound],Table_SourceData_Scope3_InorganicFertiliser[Region of origin],Table_SourceData_Scope3_InorganicFertiliser[Emissions intensity]), IF(_xlpm.result="", 0, _xlpm.result))</f>
        <v>0</v>
      </c>
      <c r="AF260" s="74"/>
    </row>
    <row r="261" spans="3:41" ht="20.100000000000001" customHeight="1" x14ac:dyDescent="0.2">
      <c r="D261" s="15">
        <v>0</v>
      </c>
      <c r="E261" s="15">
        <v>0</v>
      </c>
      <c r="F261" s="15" cm="1">
        <f t="array" ref="F261">Scope3_Equations.VEERG_15_4_1_1__X_EmissionFactorFromPurchasedFertiliserComponents(R261,S261)+
Scope3_Equations.VEERG_15_4_1_1__X_EmissionFactorFromPurchasedFertiliserComponents(V261,W261)+
Scope3_Equations.VEERG_15_4_1_1__X_EmissionFactorFromPurchasedFertiliserComponents(Z261,AA261)+
Scope3_Equations.VEERG_15_4_1_1__X_EmissionFactorFromPurchasedFertiliserComponents(AD261,AE261)</f>
        <v>0</v>
      </c>
      <c r="G261" s="251" cm="1">
        <f t="array" ref="G261">Scope3_Equations.VEERG_15_4_1_1__1_EmissionsFromPurchasedFertiliser(E261,F261)</f>
        <v>0</v>
      </c>
      <c r="H261" s="15" cm="1">
        <f t="array" ref="H261">Scope3_Equations.VEERG_15_4_1_1__2_EmissionsFromPurchasedFertiliserComponentsVariation(R261, $E261,S261)+
Scope3_Equations.VEERG_15_4_1_1__2_EmissionsFromPurchasedFertiliserComponentsVariation(V261, $E261,W261)+
Scope3_Equations.VEERG_15_4_1_1__2_EmissionsFromPurchasedFertiliserComponentsVariation(Z261, $E261,AA261)+
Scope3_Equations.VEERG_15_4_1_1__2_EmissionsFromPurchasedFertiliserComponentsVariation(AD261, $E261,AE261)</f>
        <v>0</v>
      </c>
      <c r="I261" s="74"/>
      <c r="J261" s="251" cm="1">
        <f t="array" ref="J261">Scope3_Equations.VEERG_15_4_1_1__1_EmissionsFromPurchasedFertiliser(E261,I261)</f>
        <v>0</v>
      </c>
      <c r="K261" s="251" cm="1">
        <f t="array" ref="K261">Scope3_Equations.VEERG_15_4_1_1__2_EmissionsFromPurchasedFertiliserComponentsVariation(R261, $E261,IF(T261,T261,S261))+
Scope3_Equations.VEERG_15_4_1_1__2_EmissionsFromPurchasedFertiliserComponentsVariation(V261, $E261,IF(X261,X261,W261))+
Scope3_Equations.VEERG_15_4_1_1__2_EmissionsFromPurchasedFertiliserComponentsVariation(Z261, $E261,IF(AB261,AB261,AA261))+
Scope3_Equations.VEERG_15_4_1_1__2_EmissionsFromPurchasedFertiliserComponentsVariation(AD261, $E261,IF(AF261,AF261,AE261))</f>
        <v>0</v>
      </c>
      <c r="L261" s="33"/>
      <c r="M261" s="13"/>
      <c r="N261" s="33"/>
      <c r="O261" s="252" t="str">
        <v/>
      </c>
      <c r="P261" s="252" t="str">
        <v/>
      </c>
      <c r="Q261" s="15">
        <v>0</v>
      </c>
      <c r="R261" s="15">
        <v>0</v>
      </c>
      <c r="S261" s="15" cm="1">
        <f t="array" ref="S261">_xlfn.LET(_xlpm.result, Common_InputFunctions.Utility_LookupValueInTableTwoColumns(Q261, _xlfn.IFS(Q261="Urea",IF($O261="", "Global", $O261), Q261="Ammonia", IF($P261="", "Global", $P261), TRUE, "Global"), Table_SourceData_Scope3_InorganicFertiliser[Chemical compound],Table_SourceData_Scope3_InorganicFertiliser[Region of origin],Table_SourceData_Scope3_InorganicFertiliser[Emissions intensity]), IF(_xlpm.result="", 0, _xlpm.result))</f>
        <v>0</v>
      </c>
      <c r="T261" s="74"/>
      <c r="U261" s="15">
        <v>0</v>
      </c>
      <c r="V261" s="15">
        <v>0</v>
      </c>
      <c r="W261" s="15" cm="1">
        <f t="array" ref="W261">_xlfn.LET(_xlpm.result, Common_InputFunctions.Utility_LookupValueInTableTwoColumns(U261, _xlfn.IFS(U261="Urea",IF($O261="", "Global", $O261), U261="Ammonia", IF($P261="", "Global", $P261), TRUE, "Global"), Table_SourceData_Scope3_InorganicFertiliser[Chemical compound],Table_SourceData_Scope3_InorganicFertiliser[Region of origin],Table_SourceData_Scope3_InorganicFertiliser[Emissions intensity]), IF(_xlpm.result="", 0, _xlpm.result))</f>
        <v>0</v>
      </c>
      <c r="X261" s="74"/>
      <c r="Y261" s="15">
        <v>0</v>
      </c>
      <c r="Z261" s="15">
        <v>0</v>
      </c>
      <c r="AA261" s="15" cm="1">
        <f t="array" ref="AA261">_xlfn.LET(_xlpm.result, Common_InputFunctions.Utility_LookupValueInTableTwoColumns(Y261, _xlfn.IFS(Y261="Urea",IF($O261="", "Global", $O261), Y261="Ammonia", IF($P261="", "Global", $P261), TRUE, "Global"), Table_SourceData_Scope3_InorganicFertiliser[Chemical compound],Table_SourceData_Scope3_InorganicFertiliser[Region of origin],Table_SourceData_Scope3_InorganicFertiliser[Emissions intensity]), IF(_xlpm.result="", 0, _xlpm.result))</f>
        <v>0</v>
      </c>
      <c r="AB261" s="74"/>
      <c r="AC261" s="15">
        <v>0</v>
      </c>
      <c r="AD261" s="15">
        <v>0</v>
      </c>
      <c r="AE261" s="15" cm="1">
        <f t="array" ref="AE261">_xlfn.LET(_xlpm.result, Common_InputFunctions.Utility_LookupValueInTableTwoColumns(AC261, _xlfn.IFS(AC261="Urea",IF($O261="", "Global", $O261), AC261="Ammonia", IF($P261="", "Global", $P261), TRUE, "Global"), Table_SourceData_Scope3_InorganicFertiliser[Chemical compound],Table_SourceData_Scope3_InorganicFertiliser[Region of origin],Table_SourceData_Scope3_InorganicFertiliser[Emissions intensity]), IF(_xlpm.result="", 0, _xlpm.result))</f>
        <v>0</v>
      </c>
      <c r="AF261" s="74"/>
    </row>
    <row r="263" spans="3:41" ht="20.100000000000001" customHeight="1" x14ac:dyDescent="0.2">
      <c r="D263" s="253" t="s">
        <v>1107</v>
      </c>
      <c r="E263" s="86">
        <f>SUM(G236:G245)+SUM(G252:G261)</f>
        <v>66.611033519999992</v>
      </c>
      <c r="F263" s="95" t="str">
        <f>$E$170</f>
        <v>t CO2e</v>
      </c>
    </row>
    <row r="264" spans="3:41" ht="20.100000000000001" customHeight="1" x14ac:dyDescent="0.2">
      <c r="D264" s="253" t="s">
        <v>1108</v>
      </c>
      <c r="E264" s="86">
        <f>SUM(J236:J245)+SUM(J252:J261)</f>
        <v>34</v>
      </c>
      <c r="F264" s="95" t="str">
        <f>$E$170</f>
        <v>t CO2e</v>
      </c>
    </row>
    <row r="266" spans="3:41" ht="20.100000000000001" customHeight="1" x14ac:dyDescent="0.2">
      <c r="D266" s="253" t="s">
        <v>1109</v>
      </c>
      <c r="E266" s="86">
        <f>SUM(H236:H245)+SUM(H252:H261)</f>
        <v>66.611033520000007</v>
      </c>
      <c r="F266" s="95" t="str">
        <f>$E$170</f>
        <v>t CO2e</v>
      </c>
    </row>
    <row r="267" spans="3:41" ht="20.100000000000001" customHeight="1" x14ac:dyDescent="0.2">
      <c r="D267" s="253" t="s">
        <v>1110</v>
      </c>
      <c r="E267" s="86">
        <f>SUM(K236:K245)+SUM(K252:K261)</f>
        <v>65.023033519999998</v>
      </c>
      <c r="F267" s="95" t="str">
        <f>$E$170</f>
        <v>t CO2e</v>
      </c>
    </row>
    <row r="270" spans="3:41" ht="20.100000000000001" customHeight="1" x14ac:dyDescent="0.2">
      <c r="C270" s="83"/>
      <c r="D270" s="83"/>
      <c r="E270" s="83"/>
      <c r="F270" s="83"/>
      <c r="G270" s="83"/>
      <c r="H270" s="83"/>
      <c r="I270" s="83"/>
      <c r="J270" s="83"/>
      <c r="K270" s="83"/>
      <c r="L270" s="83"/>
      <c r="M270" s="83"/>
      <c r="N270" s="83"/>
      <c r="O270" s="83"/>
      <c r="P270" s="83"/>
      <c r="Q270" s="83"/>
      <c r="R270" s="83"/>
      <c r="S270" s="83"/>
      <c r="T270" s="83"/>
      <c r="U270" s="83"/>
      <c r="V270" s="83"/>
      <c r="W270" s="83"/>
      <c r="X270" s="83"/>
      <c r="Y270" s="83"/>
      <c r="Z270" s="83"/>
      <c r="AA270" s="83"/>
      <c r="AB270" s="83"/>
      <c r="AC270" s="83"/>
      <c r="AD270" s="83"/>
      <c r="AE270" s="83"/>
      <c r="AF270" s="83"/>
      <c r="AG270" s="83"/>
      <c r="AH270" s="83"/>
      <c r="AI270" s="83"/>
      <c r="AJ270" s="83"/>
      <c r="AK270" s="83"/>
      <c r="AL270" s="83"/>
      <c r="AM270" s="83"/>
      <c r="AN270" s="83"/>
      <c r="AO270" s="83"/>
    </row>
    <row r="271" spans="3:41" ht="20.100000000000001" customHeight="1" x14ac:dyDescent="0.2">
      <c r="D271" s="2" t="str" cm="1">
        <f t="array" ref="D271">Scope3_Equations.VEERG_15_5_1_1__1_EmissionsFromPurchasedAgrichemicals_Title()</f>
        <v>Total emissions from purchased agrichemicals</v>
      </c>
    </row>
    <row r="272" spans="3:41" ht="20.100000000000001" customHeight="1" x14ac:dyDescent="0.2">
      <c r="D272" s="17" t="str" cm="1">
        <f t="array" ref="D272">Scope3_Equations.VEERG_15_5_1_1__1_EmissionsFromPurchasedAgrichemicals_Source()</f>
        <v>VEERG 2026: 15.5.1.1, Equation (1)</v>
      </c>
    </row>
    <row r="273" spans="1:9" ht="20.100000000000001" customHeight="1" x14ac:dyDescent="0.2">
      <c r="D273" s="112" t="s">
        <v>328</v>
      </c>
      <c r="E273" s="112" t="str" cm="1">
        <f t="array" aca="1" ref="E273" ca="1">Common_InputFunctions.Utility_DisplayFunctionName(G285)</f>
        <v>=Scope3_Equations.VEERG_15_5_1_1__1_EmissionsFromPurchasedAgrichemicals</v>
      </c>
    </row>
    <row r="277" spans="1:9" ht="20.100000000000001" customHeight="1" x14ac:dyDescent="0.2">
      <c r="D277" s="75" t="s">
        <v>329</v>
      </c>
      <c r="E277" s="1" t="str" cm="1">
        <f t="array" ref="E277">Scope3_Equations.VEERG_15_5_1_1__1_EmissionsFromPurchasedAgrichemicals_Variable()</f>
        <v>E</v>
      </c>
    </row>
    <row r="278" spans="1:9" ht="20.100000000000001" customHeight="1" x14ac:dyDescent="0.2">
      <c r="A278" s="79" t="str">
        <f>HYPERLINK("#A1", "▲ Back to top")</f>
        <v>▲ Back to top</v>
      </c>
      <c r="D278" s="75" t="s">
        <v>118</v>
      </c>
      <c r="E278" s="9" t="str" cm="1">
        <f t="array" ref="E278">Scope3_Equations.VEERG_15_5_1_1__1_EmissionsFromPurchasedAgrichemicals_Unit()</f>
        <v>t CO2e</v>
      </c>
    </row>
    <row r="280" spans="1:9" ht="20.100000000000001" customHeight="1" x14ac:dyDescent="0.2">
      <c r="D280" s="113" t="str" cm="1">
        <f t="array" ref="D280:E282">_xlfn.CHOOSECOLS(Scope3_Equations.VEERG_15_5_1_1__1_EmissionsFromPurchasedAgrichemicals_Arguments(),1,2)</f>
        <v>Q_h</v>
      </c>
      <c r="E280" s="122" t="str">
        <v>quantity of active ingredients in agrichemical type h purchased and applied to soils</v>
      </c>
      <c r="F280" s="123"/>
      <c r="G280" s="113" t="str" cm="1">
        <f t="array" ref="G280:H282">_xlfn.CHOOSECOLS(Scope3_Equations.VEERG_15_5_1_1__1_EmissionsFromPurchasedAgrichemicals_Arguments(),3,4)</f>
        <v>kg ai</v>
      </c>
      <c r="H280" s="249" t="str">
        <v>Input</v>
      </c>
    </row>
    <row r="281" spans="1:9" ht="20.100000000000001" customHeight="1" x14ac:dyDescent="0.2">
      <c r="D281" s="113" t="str">
        <v>EF_h</v>
      </c>
      <c r="E281" s="122" t="str">
        <v>emission factor for purchased agrichemical active ingredient</v>
      </c>
      <c r="F281" s="123"/>
      <c r="G281" s="113" t="str">
        <v>kg CO2e/kg ai</v>
      </c>
      <c r="H281" s="115" t="str">
        <v>Constant</v>
      </c>
    </row>
    <row r="282" spans="1:9" ht="20.100000000000001" customHeight="1" x14ac:dyDescent="0.2">
      <c r="D282" s="113" t="str">
        <v>h</v>
      </c>
      <c r="E282" s="122" t="str">
        <v>agrichemical type</v>
      </c>
      <c r="F282" s="123"/>
      <c r="G282" s="113" t="str">
        <v/>
      </c>
      <c r="H282" s="249" t="str">
        <v>Input</v>
      </c>
    </row>
    <row r="284" spans="1:9" ht="20.100000000000001" customHeight="1" x14ac:dyDescent="0.2">
      <c r="D284" s="78" t="s">
        <v>1111</v>
      </c>
      <c r="E284" s="78" t="s">
        <v>696</v>
      </c>
      <c r="F284" s="120" t="s">
        <v>1112</v>
      </c>
      <c r="G284" s="120" t="s">
        <v>1041</v>
      </c>
      <c r="H284" s="78" t="s">
        <v>1113</v>
      </c>
      <c r="I284" s="120" t="s">
        <v>1044</v>
      </c>
    </row>
    <row r="285" spans="1:9" ht="20.100000000000001" customHeight="1" x14ac:dyDescent="0.2">
      <c r="D285" s="15" t="str" cm="1">
        <f t="array" ref="D285:D296">Table_SourceData_Scope3_Pesticides[Product]</f>
        <v>2,4-D</v>
      </c>
      <c r="E285" s="15"/>
      <c r="F285" s="15" cm="1">
        <f t="array" ref="F285">Common_InputFunctions.Utility_LookupValueInTableNumber(D285,Table_SourceData_Scope3_Pesticides[Product],Table_SourceData_Scope3_Pesticides[Emissions intensity])</f>
        <v>5.2</v>
      </c>
      <c r="G285" s="15" cm="1">
        <f t="array" ref="G285">Scope3_Equations.VEERG_15_5_1_1__1_EmissionsFromPurchasedAgrichemicals($E285,F285)</f>
        <v>0</v>
      </c>
      <c r="H285" s="74">
        <v>5</v>
      </c>
      <c r="I285" s="15" cm="1">
        <f t="array" ref="I285">Scope3_Equations.VEERG_15_5_1_1__1_EmissionsFromPurchasedAgrichemicals($E285,IF(H285,H285,F285))</f>
        <v>0</v>
      </c>
    </row>
    <row r="286" spans="1:9" ht="20.100000000000001" customHeight="1" x14ac:dyDescent="0.2">
      <c r="D286" s="15" t="str">
        <v>Atrazine</v>
      </c>
      <c r="E286" s="15"/>
      <c r="F286" s="15" cm="1">
        <f t="array" ref="F286">Common_InputFunctions.Utility_LookupValueInTableNumber(D286,Table_SourceData_Scope3_Pesticides[Product],Table_SourceData_Scope3_Pesticides[Emissions intensity])</f>
        <v>8.3800000000000008</v>
      </c>
      <c r="G286" s="15" cm="1">
        <f t="array" ref="G286">Scope3_Equations.VEERG_15_5_1_1__1_EmissionsFromPurchasedAgrichemicals($E286,F286)</f>
        <v>0</v>
      </c>
      <c r="H286" s="74">
        <v>8</v>
      </c>
      <c r="I286" s="15" cm="1">
        <f t="array" ref="I286">Scope3_Equations.VEERG_15_5_1_1__1_EmissionsFromPurchasedAgrichemicals($E286,IF(H286,H286,F286))</f>
        <v>0</v>
      </c>
    </row>
    <row r="287" spans="1:9" ht="20.100000000000001" customHeight="1" x14ac:dyDescent="0.2">
      <c r="D287" s="15" t="str">
        <v>Diuron</v>
      </c>
      <c r="E287" s="15"/>
      <c r="F287" s="15" cm="1">
        <f t="array" ref="F287">Common_InputFunctions.Utility_LookupValueInTableNumber(D287,Table_SourceData_Scope3_Pesticides[Product],Table_SourceData_Scope3_Pesticides[Emissions intensity])</f>
        <v>8.8000000000000007</v>
      </c>
      <c r="G287" s="15" cm="1">
        <f t="array" ref="G287">Scope3_Equations.VEERG_15_5_1_1__1_EmissionsFromPurchasedAgrichemicals($E287,F287)</f>
        <v>0</v>
      </c>
      <c r="H287" s="74"/>
      <c r="I287" s="15" cm="1">
        <f t="array" ref="I287">Scope3_Equations.VEERG_15_5_1_1__1_EmissionsFromPurchasedAgrichemicals($E287,IF(H287,H287,F287))</f>
        <v>0</v>
      </c>
    </row>
    <row r="288" spans="1:9" ht="20.100000000000001" customHeight="1" x14ac:dyDescent="0.2">
      <c r="D288" s="15" t="str">
        <v>Glyphosate</v>
      </c>
      <c r="E288" s="15"/>
      <c r="F288" s="15" cm="1">
        <f t="array" ref="F288">Common_InputFunctions.Utility_LookupValueInTableNumber(D288,Table_SourceData_Scope3_Pesticides[Product],Table_SourceData_Scope3_Pesticides[Emissions intensity])</f>
        <v>10.3</v>
      </c>
      <c r="G288" s="15" cm="1">
        <f t="array" ref="G288">Scope3_Equations.VEERG_15_5_1_1__1_EmissionsFromPurchasedAgrichemicals($E288,F288)</f>
        <v>0</v>
      </c>
      <c r="H288" s="74"/>
      <c r="I288" s="15" cm="1">
        <f t="array" ref="I288">Scope3_Equations.VEERG_15_5_1_1__1_EmissionsFromPurchasedAgrichemicals($E288,IF(H288,H288,F288))</f>
        <v>0</v>
      </c>
    </row>
    <row r="289" spans="3:41" ht="20.100000000000001" customHeight="1" x14ac:dyDescent="0.2">
      <c r="D289" s="15" t="str">
        <v>Mancozeb</v>
      </c>
      <c r="E289" s="15"/>
      <c r="F289" s="15" cm="1">
        <f t="array" ref="F289">Common_InputFunctions.Utility_LookupValueInTableNumber(D289,Table_SourceData_Scope3_Pesticides[Product],Table_SourceData_Scope3_Pesticides[Emissions intensity])</f>
        <v>4.55</v>
      </c>
      <c r="G289" s="15" cm="1">
        <f t="array" ref="G289">Scope3_Equations.VEERG_15_5_1_1__1_EmissionsFromPurchasedAgrichemicals($E289,F289)</f>
        <v>0</v>
      </c>
      <c r="H289" s="74"/>
      <c r="I289" s="15" cm="1">
        <f t="array" ref="I289">Scope3_Equations.VEERG_15_5_1_1__1_EmissionsFromPurchasedAgrichemicals($E289,IF(H289,H289,F289))</f>
        <v>0</v>
      </c>
    </row>
    <row r="290" spans="3:41" ht="20.100000000000001" customHeight="1" x14ac:dyDescent="0.2">
      <c r="D290" s="15" t="str">
        <v>MCPA</v>
      </c>
      <c r="E290" s="15"/>
      <c r="F290" s="15" cm="1">
        <f t="array" ref="F290">Common_InputFunctions.Utility_LookupValueInTableNumber(D290,Table_SourceData_Scope3_Pesticides[Product],Table_SourceData_Scope3_Pesticides[Emissions intensity])</f>
        <v>5.6</v>
      </c>
      <c r="G290" s="15" cm="1">
        <f t="array" ref="G290">Scope3_Equations.VEERG_15_5_1_1__1_EmissionsFromPurchasedAgrichemicals($E290,F290)</f>
        <v>0</v>
      </c>
      <c r="H290" s="74"/>
      <c r="I290" s="15" cm="1">
        <f t="array" ref="I290">Scope3_Equations.VEERG_15_5_1_1__1_EmissionsFromPurchasedAgrichemicals($E290,IF(H290,H290,F290))</f>
        <v>0</v>
      </c>
    </row>
    <row r="291" spans="3:41" ht="20.100000000000001" customHeight="1" x14ac:dyDescent="0.2">
      <c r="D291" s="15" t="str">
        <v>Metolachlor</v>
      </c>
      <c r="E291" s="15"/>
      <c r="F291" s="15" cm="1">
        <f t="array" ref="F291">Common_InputFunctions.Utility_LookupValueInTableNumber(D291,Table_SourceData_Scope3_Pesticides[Product],Table_SourceData_Scope3_Pesticides[Emissions intensity])</f>
        <v>8.06</v>
      </c>
      <c r="G291" s="15" cm="1">
        <f t="array" ref="G291">Scope3_Equations.VEERG_15_5_1_1__1_EmissionsFromPurchasedAgrichemicals($E291,F291)</f>
        <v>0</v>
      </c>
      <c r="H291" s="74"/>
      <c r="I291" s="15" cm="1">
        <f t="array" ref="I291">Scope3_Equations.VEERG_15_5_1_1__1_EmissionsFromPurchasedAgrichemicals($E291,IF(H291,H291,F291))</f>
        <v>0</v>
      </c>
    </row>
    <row r="292" spans="3:41" ht="20.100000000000001" customHeight="1" x14ac:dyDescent="0.2">
      <c r="D292" s="15" t="str">
        <v>Metsulfuron-methyl</v>
      </c>
      <c r="E292" s="15"/>
      <c r="F292" s="15" cm="1">
        <f t="array" ref="F292">Common_InputFunctions.Utility_LookupValueInTableNumber(D292,Table_SourceData_Scope3_Pesticides[Product],Table_SourceData_Scope3_Pesticides[Emissions intensity])</f>
        <v>8.8000000000000007</v>
      </c>
      <c r="G292" s="15" cm="1">
        <f t="array" ref="G292">Scope3_Equations.VEERG_15_5_1_1__1_EmissionsFromPurchasedAgrichemicals($E292,F292)</f>
        <v>0</v>
      </c>
      <c r="H292" s="74"/>
      <c r="I292" s="15" cm="1">
        <f t="array" ref="I292">Scope3_Equations.VEERG_15_5_1_1__1_EmissionsFromPurchasedAgrichemicals($E292,IF(H292,H292,F292))</f>
        <v>0</v>
      </c>
    </row>
    <row r="293" spans="3:41" ht="20.100000000000001" customHeight="1" x14ac:dyDescent="0.2">
      <c r="D293" s="15" t="str">
        <v>Pesticides (generic)</v>
      </c>
      <c r="E293" s="15"/>
      <c r="F293" s="15" cm="1">
        <f t="array" ref="F293">Common_InputFunctions.Utility_LookupValueInTableNumber(D293,Table_SourceData_Scope3_Pesticides[Product],Table_SourceData_Scope3_Pesticides[Emissions intensity])</f>
        <v>9.16</v>
      </c>
      <c r="G293" s="15" cm="1">
        <f t="array" ref="G293">Scope3_Equations.VEERG_15_5_1_1__1_EmissionsFromPurchasedAgrichemicals($E293,F293)</f>
        <v>0</v>
      </c>
      <c r="H293" s="74"/>
      <c r="I293" s="15" cm="1">
        <f t="array" ref="I293">Scope3_Equations.VEERG_15_5_1_1__1_EmissionsFromPurchasedAgrichemicals($E293,IF(H293,H293,F293))</f>
        <v>0</v>
      </c>
    </row>
    <row r="294" spans="3:41" ht="20.100000000000001" customHeight="1" x14ac:dyDescent="0.2">
      <c r="D294" s="15" t="str">
        <v>Tri-allate</v>
      </c>
      <c r="E294" s="15"/>
      <c r="F294" s="15" cm="1">
        <f t="array" ref="F294">Common_InputFunctions.Utility_LookupValueInTableNumber(D294,Table_SourceData_Scope3_Pesticides[Product],Table_SourceData_Scope3_Pesticides[Emissions intensity])</f>
        <v>8.57</v>
      </c>
      <c r="G294" s="15" cm="1">
        <f t="array" ref="G294">Scope3_Equations.VEERG_15_5_1_1__1_EmissionsFromPurchasedAgrichemicals($E294,F294)</f>
        <v>0</v>
      </c>
      <c r="H294" s="74"/>
      <c r="I294" s="15" cm="1">
        <f t="array" ref="I294">Scope3_Equations.VEERG_15_5_1_1__1_EmissionsFromPurchasedAgrichemicals($E294,IF(H294,H294,F294))</f>
        <v>0</v>
      </c>
    </row>
    <row r="295" spans="3:41" ht="20.100000000000001" customHeight="1" x14ac:dyDescent="0.2">
      <c r="D295" s="15" t="str">
        <v>Tribenuron methyl</v>
      </c>
      <c r="E295" s="15"/>
      <c r="F295" s="15" cm="1">
        <f t="array" ref="F295">Common_InputFunctions.Utility_LookupValueInTableNumber(D295,Table_SourceData_Scope3_Pesticides[Product],Table_SourceData_Scope3_Pesticides[Emissions intensity])</f>
        <v>8.8000000000000007</v>
      </c>
      <c r="G295" s="15" cm="1">
        <f t="array" ref="G295">Scope3_Equations.VEERG_15_5_1_1__1_EmissionsFromPurchasedAgrichemicals($E295,F295)</f>
        <v>0</v>
      </c>
      <c r="H295" s="74"/>
      <c r="I295" s="15" cm="1">
        <f t="array" ref="I295">Scope3_Equations.VEERG_15_5_1_1__1_EmissionsFromPurchasedAgrichemicals($E295,IF(H295,H295,F295))</f>
        <v>0</v>
      </c>
    </row>
    <row r="296" spans="3:41" ht="20.100000000000001" customHeight="1" x14ac:dyDescent="0.2">
      <c r="D296" s="15" t="str">
        <v>Trifluralin</v>
      </c>
      <c r="E296" s="15"/>
      <c r="F296" s="15" cm="1">
        <f t="array" ref="F296">Common_InputFunctions.Utility_LookupValueInTableNumber(D296,Table_SourceData_Scope3_Pesticides[Product],Table_SourceData_Scope3_Pesticides[Emissions intensity])</f>
        <v>6.16</v>
      </c>
      <c r="G296" s="15" cm="1">
        <f t="array" ref="G296">Scope3_Equations.VEERG_15_5_1_1__1_EmissionsFromPurchasedAgrichemicals($E296,F296)</f>
        <v>0</v>
      </c>
      <c r="H296" s="74"/>
      <c r="I296" s="15" cm="1">
        <f t="array" ref="I296">Scope3_Equations.VEERG_15_5_1_1__1_EmissionsFromPurchasedAgrichemicals($E296,IF(H296,H296,F296))</f>
        <v>0</v>
      </c>
    </row>
    <row r="298" spans="3:41" ht="20.100000000000001" customHeight="1" x14ac:dyDescent="0.2">
      <c r="D298" s="253" t="s">
        <v>1041</v>
      </c>
      <c r="E298" s="86">
        <f>SUM(G285:G296)</f>
        <v>0</v>
      </c>
      <c r="F298" s="95" t="str">
        <f>$E$170</f>
        <v>t CO2e</v>
      </c>
    </row>
    <row r="299" spans="3:41" ht="20.100000000000001" customHeight="1" x14ac:dyDescent="0.2">
      <c r="D299" s="253" t="s">
        <v>1044</v>
      </c>
      <c r="E299" s="86">
        <f>SUM(I285:I296)</f>
        <v>0</v>
      </c>
      <c r="F299" s="95" t="str">
        <f>$E$170</f>
        <v>t CO2e</v>
      </c>
    </row>
    <row r="302" spans="3:41" ht="20.100000000000001" customHeight="1" x14ac:dyDescent="0.2">
      <c r="C302" s="83"/>
      <c r="D302" s="83"/>
      <c r="E302" s="83"/>
      <c r="F302" s="83"/>
      <c r="G302" s="83"/>
      <c r="H302" s="83"/>
      <c r="I302" s="83"/>
      <c r="J302" s="83"/>
      <c r="K302" s="83"/>
      <c r="L302" s="83"/>
      <c r="M302" s="83"/>
      <c r="N302" s="83"/>
      <c r="O302" s="83"/>
      <c r="P302" s="83"/>
      <c r="Q302" s="83"/>
      <c r="R302" s="83"/>
      <c r="S302" s="83"/>
      <c r="T302" s="83"/>
      <c r="U302" s="83"/>
      <c r="V302" s="83"/>
      <c r="W302" s="83"/>
      <c r="X302" s="83"/>
      <c r="Y302" s="83"/>
      <c r="Z302" s="83"/>
      <c r="AA302" s="83"/>
      <c r="AB302" s="83"/>
      <c r="AC302" s="83"/>
      <c r="AD302" s="83"/>
      <c r="AE302" s="83"/>
      <c r="AF302" s="83"/>
      <c r="AG302" s="83"/>
      <c r="AH302" s="83"/>
      <c r="AI302" s="83"/>
      <c r="AJ302" s="83"/>
      <c r="AK302" s="83"/>
      <c r="AL302" s="83"/>
      <c r="AM302" s="83"/>
      <c r="AN302" s="83"/>
      <c r="AO302" s="83"/>
    </row>
    <row r="303" spans="3:41" ht="20.100000000000001" customHeight="1" x14ac:dyDescent="0.2">
      <c r="D303" s="2" t="str" cm="1">
        <f t="array" ref="D303">Scope3_Equations.VEERG_15_6_1_1__1_EmissionsFromPurchasedLime_Title()</f>
        <v>Embedded emissions for purchased lime</v>
      </c>
    </row>
    <row r="304" spans="3:41" ht="20.100000000000001" customHeight="1" x14ac:dyDescent="0.2">
      <c r="D304" s="17" t="str" cm="1">
        <f t="array" ref="D304">Scope3_Equations.VEERG_15_6_1_1__1_EmissionsFromPurchasedLime_Source()</f>
        <v>VEERG 2026: 15.6.1.1, Equation (1)</v>
      </c>
    </row>
    <row r="305" spans="1:13" ht="20.100000000000001" customHeight="1" x14ac:dyDescent="0.2">
      <c r="D305" s="112" t="s">
        <v>328</v>
      </c>
      <c r="E305" s="112" t="str" cm="1">
        <f t="array" aca="1" ref="E305" ca="1">Common_InputFunctions.Utility_DisplayFunctionName(I320)</f>
        <v>=Scope3_Equations.VEERG_15_6_1_1__1_EmissionsFromPurchasedLime</v>
      </c>
    </row>
    <row r="308" spans="1:13" ht="20.100000000000001" customHeight="1" x14ac:dyDescent="0.2">
      <c r="A308" s="79" t="str">
        <f>HYPERLINK("#A1", "▲ Back to top")</f>
        <v>▲ Back to top</v>
      </c>
      <c r="D308" s="75" t="s">
        <v>329</v>
      </c>
      <c r="E308" s="1" t="str" cm="1">
        <f t="array" ref="E308">Scope3_Equations.VEERG_15_6_1_1__1_EmissionsFromPurchasedLime_Variable()</f>
        <v>E</v>
      </c>
    </row>
    <row r="309" spans="1:13" ht="20.100000000000001" customHeight="1" x14ac:dyDescent="0.2">
      <c r="D309" s="75" t="s">
        <v>118</v>
      </c>
      <c r="E309" s="1" t="str" cm="1">
        <f t="array" ref="E309">Scope3_Equations.VEERG_15_6_1_1__1_EmissionsFromPurchasedLime_Unit()</f>
        <v>t CO2e</v>
      </c>
    </row>
    <row r="311" spans="1:13" ht="20.100000000000001" customHeight="1" x14ac:dyDescent="0.2">
      <c r="D311" s="113" t="str" cm="1">
        <f t="array" ref="D311:E312">_xlfn.CHOOSECOLS(Scope3_Equations.VEERG_15_6_1_1__1_EmissionsFromPurchasedLime_Arguments(),1,2)</f>
        <v>M_lime</v>
      </c>
      <c r="E311" s="113" t="str">
        <v>total quantity of lime applied to soils</v>
      </c>
      <c r="F311" s="113" t="str" cm="1">
        <f t="array" ref="F311:G312">_xlfn.CHOOSECOLS(Scope3_Equations.VEERG_15_6_1_1__1_EmissionsFromPurchasedLime_Arguments(),3,4)</f>
        <v>t</v>
      </c>
      <c r="G311" s="249" t="str">
        <v>Input</v>
      </c>
    </row>
    <row r="312" spans="1:13" ht="20.100000000000001" customHeight="1" x14ac:dyDescent="0.2">
      <c r="D312" s="113" t="str">
        <v>EF_l</v>
      </c>
      <c r="E312" s="113" t="str">
        <v>emission factor for purchased lime</v>
      </c>
      <c r="F312" s="113" t="str">
        <v>t CO2e/t</v>
      </c>
      <c r="G312" s="115" t="str">
        <v>Constant</v>
      </c>
    </row>
    <row r="314" spans="1:13" ht="20.100000000000001" customHeight="1" x14ac:dyDescent="0.2">
      <c r="E314" s="120" t="s">
        <v>130</v>
      </c>
      <c r="F314" s="78" t="s">
        <v>131</v>
      </c>
    </row>
    <row r="315" spans="1:13" ht="20.100000000000001" customHeight="1" x14ac:dyDescent="0.2">
      <c r="D315" s="1" t="s">
        <v>1114</v>
      </c>
      <c r="E315" s="15" cm="1">
        <f t="array" ref="E315">Common_InputFunctions.Utility_LookupValueInTableNumber("Limestone (crushed)", Table_SourceData_Scope3_SoilAmeliorants[Product],Table_SourceData_Scope3_SoilAmeliorants[Emissions intensity])*10^-3</f>
        <v>4.85E-5</v>
      </c>
      <c r="F315" s="74">
        <v>4.0000000000000003E-5</v>
      </c>
      <c r="G315" s="16" t="str">
        <f>$F$312</f>
        <v>t CO2e/t</v>
      </c>
    </row>
    <row r="316" spans="1:13" ht="20.100000000000001" customHeight="1" x14ac:dyDescent="0.2">
      <c r="D316" s="1" t="s">
        <v>1115</v>
      </c>
      <c r="E316" s="15" cm="1">
        <f t="array" ref="E316">Common_InputFunctions.Utility_LookupValueInTableNumber("Dolomite", Table_SourceData_Scope3_SoilAmeliorants[Product],Table_SourceData_Scope3_SoilAmeliorants[Emissions intensity])*10^-3</f>
        <v>6.5199999999999999E-5</v>
      </c>
      <c r="F316" s="74">
        <v>6.0000000000000002E-5</v>
      </c>
      <c r="G316" s="16"/>
    </row>
    <row r="317" spans="1:13" ht="20.100000000000001" customHeight="1" x14ac:dyDescent="0.2">
      <c r="D317" s="1" t="s">
        <v>1116</v>
      </c>
      <c r="E317" s="15" cm="1">
        <f t="array" ref="E317">Common_InputFunctions.Utility_LookupValueInTableNumber("Gypsum", Table_SourceData_Scope3_SoilAmeliorants[Product],Table_SourceData_Scope3_SoilAmeliorants[Emissions intensity])*10^-3</f>
        <v>6.5199999999999999E-5</v>
      </c>
      <c r="F317" s="74">
        <v>6.0000000000000002E-5</v>
      </c>
      <c r="G317" s="16"/>
    </row>
    <row r="319" spans="1:13" ht="20.100000000000001" customHeight="1" x14ac:dyDescent="0.2">
      <c r="D319" s="78" t="s">
        <v>952</v>
      </c>
      <c r="E319" s="250" t="s">
        <v>1117</v>
      </c>
      <c r="F319" s="78" t="s">
        <v>1118</v>
      </c>
      <c r="G319" s="78" t="s">
        <v>1119</v>
      </c>
      <c r="H319" s="78" t="s">
        <v>1120</v>
      </c>
      <c r="I319" s="120" t="s">
        <v>1041</v>
      </c>
      <c r="J319" s="120" t="s">
        <v>1121</v>
      </c>
      <c r="K319" s="78" t="s">
        <v>1045</v>
      </c>
      <c r="L319" s="78" t="s">
        <v>1046</v>
      </c>
      <c r="M319" s="78" t="s">
        <v>1047</v>
      </c>
    </row>
    <row r="320" spans="1:13" ht="20.100000000000001" customHeight="1" x14ac:dyDescent="0.2">
      <c r="D320" s="15" t="str" cm="1">
        <f t="array" ref="D320:D329">IFERROR(INDEX(Table_Input_Lime[Product], _xlfn.SEQUENCE(10)), "")</f>
        <v>Lime product 1</v>
      </c>
      <c r="E320" s="15" cm="1">
        <f t="array" ref="E320:E329">IFERROR(INDEX(Table_Input_Lime[Total amount applied (t)], _xlfn.SEQUENCE(10)), 0)</f>
        <v>100</v>
      </c>
      <c r="F320" s="15" cm="1">
        <f t="array" ref="F320:F329">IFERROR(INDEX(Table_Input_Lime[Percent Lime CaCO3], _xlfn.SEQUENCE(10)), 0)*E320</f>
        <v>80</v>
      </c>
      <c r="G320" s="15" cm="1">
        <f t="array" ref="G320:G329">IFERROR(INDEX(Table_Input_Lime[Percent Dolomite CaMg(CO3)2], _xlfn.SEQUENCE(10)), 0)*E320</f>
        <v>10</v>
      </c>
      <c r="H320" s="15" cm="1">
        <f t="array" ref="H320:H329">IFERROR(INDEX(Table_Input_Lime[Percent Gypsum], _xlfn.SEQUENCE(10)), 0)*E320</f>
        <v>10</v>
      </c>
      <c r="I320" s="251" cm="1">
        <f t="array" ref="I320">Scope3_Equations.VEERG_15_6_1_1__1_EmissionsFromPurchasedLime(F320,$E$315)+
Scope3_Equations.VEERG_15_6_1_1__1_EmissionsFromPurchasedLime(G320,$E$316)+
Scope3_Equations.VEERG_15_6_1_1__1_EmissionsFromPurchasedLime(H320,$E$317)</f>
        <v>5.1839999999999994E-3</v>
      </c>
      <c r="J320" s="251" cm="1">
        <f t="array" ref="J320">Scope3_Equations.VEERG_15_6_1_1__1_EmissionsFromPurchasedLime(F320,IF($F$315,$F$315,$E$315))+
Scope3_Equations.VEERG_15_6_1_1__1_EmissionsFromPurchasedLime(G320,IF($F$316,$F$316,$E$316))+
Scope3_Equations.VEERG_15_6_1_1__1_EmissionsFromPurchasedLime(H320,IF($F$317,$F$317,$E$317))</f>
        <v>4.4000000000000003E-3</v>
      </c>
      <c r="K320" s="33"/>
      <c r="L320" s="13"/>
      <c r="M320" s="33"/>
    </row>
    <row r="321" spans="3:41" ht="20.100000000000001" customHeight="1" x14ac:dyDescent="0.2">
      <c r="D321" s="15" t="str">
        <v>Lime product 2</v>
      </c>
      <c r="E321" s="15">
        <v>100</v>
      </c>
      <c r="F321" s="15">
        <v>100</v>
      </c>
      <c r="G321" s="15">
        <v>0</v>
      </c>
      <c r="H321" s="15">
        <v>0</v>
      </c>
      <c r="I321" s="251" cm="1">
        <f t="array" ref="I321">Scope3_Equations.VEERG_15_6_1_1__1_EmissionsFromPurchasedLime(F321,$E$315)+
Scope3_Equations.VEERG_15_6_1_1__1_EmissionsFromPurchasedLime(G321,$E$316)+
Scope3_Equations.VEERG_15_6_1_1__1_EmissionsFromPurchasedLime(H321,$E$317)</f>
        <v>4.8500000000000001E-3</v>
      </c>
      <c r="J321" s="251" cm="1">
        <f t="array" ref="J321">Scope3_Equations.VEERG_15_6_1_1__1_EmissionsFromPurchasedLime(F321,IF($F$315,$F$315,$E$315))+
Scope3_Equations.VEERG_15_6_1_1__1_EmissionsFromPurchasedLime(G321,IF($F$316,$F$316,$E$316))+
Scope3_Equations.VEERG_15_6_1_1__1_EmissionsFromPurchasedLime(H321,IF($F$317,$F$317,$E$317))</f>
        <v>4.0000000000000001E-3</v>
      </c>
      <c r="K321" s="33"/>
      <c r="L321" s="13"/>
      <c r="M321" s="33"/>
    </row>
    <row r="322" spans="3:41" ht="20.100000000000001" customHeight="1" x14ac:dyDescent="0.2">
      <c r="D322" s="15" t="str">
        <v>Lime product 3</v>
      </c>
      <c r="E322" s="15">
        <v>100</v>
      </c>
      <c r="F322" s="15">
        <v>0</v>
      </c>
      <c r="G322" s="15">
        <v>0</v>
      </c>
      <c r="H322" s="15">
        <v>100</v>
      </c>
      <c r="I322" s="251" cm="1">
        <f t="array" ref="I322">Scope3_Equations.VEERG_15_6_1_1__1_EmissionsFromPurchasedLime(F322,$E$315)+
Scope3_Equations.VEERG_15_6_1_1__1_EmissionsFromPurchasedLime(G322,$E$316)+
Scope3_Equations.VEERG_15_6_1_1__1_EmissionsFromPurchasedLime(H322,$E$317)</f>
        <v>6.5199999999999998E-3</v>
      </c>
      <c r="J322" s="251" cm="1">
        <f t="array" ref="J322">Scope3_Equations.VEERG_15_6_1_1__1_EmissionsFromPurchasedLime(F322,IF($F$315,$F$315,$E$315))+
Scope3_Equations.VEERG_15_6_1_1__1_EmissionsFromPurchasedLime(G322,IF($F$316,$F$316,$E$316))+
Scope3_Equations.VEERG_15_6_1_1__1_EmissionsFromPurchasedLime(H322,IF($F$317,$F$317,$E$317))</f>
        <v>6.0000000000000001E-3</v>
      </c>
      <c r="K322" s="33"/>
      <c r="L322" s="13"/>
      <c r="M322" s="33"/>
    </row>
    <row r="323" spans="3:41" ht="20.100000000000001" customHeight="1" x14ac:dyDescent="0.2">
      <c r="D323" s="15" t="str">
        <v/>
      </c>
      <c r="E323" s="15">
        <v>0</v>
      </c>
      <c r="F323" s="15">
        <v>0</v>
      </c>
      <c r="G323" s="15">
        <v>0</v>
      </c>
      <c r="H323" s="15">
        <v>0</v>
      </c>
      <c r="I323" s="251" cm="1">
        <f t="array" ref="I323">Scope3_Equations.VEERG_15_6_1_1__1_EmissionsFromPurchasedLime(F323,$E$315)+
Scope3_Equations.VEERG_15_6_1_1__1_EmissionsFromPurchasedLime(G323,$E$316)+
Scope3_Equations.VEERG_15_6_1_1__1_EmissionsFromPurchasedLime(H323,$E$317)</f>
        <v>0</v>
      </c>
      <c r="J323" s="251" cm="1">
        <f t="array" ref="J323">Scope3_Equations.VEERG_15_6_1_1__1_EmissionsFromPurchasedLime(F323,IF($F$315,$F$315,$E$315))+
Scope3_Equations.VEERG_15_6_1_1__1_EmissionsFromPurchasedLime(G323,IF($F$316,$F$316,$E$316))+
Scope3_Equations.VEERG_15_6_1_1__1_EmissionsFromPurchasedLime(H323,IF($F$317,$F$317,$E$317))</f>
        <v>0</v>
      </c>
      <c r="K323" s="33"/>
      <c r="L323" s="13"/>
      <c r="M323" s="33"/>
    </row>
    <row r="324" spans="3:41" ht="20.100000000000001" customHeight="1" x14ac:dyDescent="0.2">
      <c r="D324" s="15" t="str">
        <v/>
      </c>
      <c r="E324" s="15">
        <v>0</v>
      </c>
      <c r="F324" s="15">
        <v>0</v>
      </c>
      <c r="G324" s="15">
        <v>0</v>
      </c>
      <c r="H324" s="15">
        <v>0</v>
      </c>
      <c r="I324" s="251" cm="1">
        <f t="array" ref="I324">Scope3_Equations.VEERG_15_6_1_1__1_EmissionsFromPurchasedLime(F324,$E$315)+
Scope3_Equations.VEERG_15_6_1_1__1_EmissionsFromPurchasedLime(G324,$E$316)+
Scope3_Equations.VEERG_15_6_1_1__1_EmissionsFromPurchasedLime(H324,$E$317)</f>
        <v>0</v>
      </c>
      <c r="J324" s="251" cm="1">
        <f t="array" ref="J324">Scope3_Equations.VEERG_15_6_1_1__1_EmissionsFromPurchasedLime(F324,IF($F$315,$F$315,$E$315))+
Scope3_Equations.VEERG_15_6_1_1__1_EmissionsFromPurchasedLime(G324,IF($F$316,$F$316,$E$316))+
Scope3_Equations.VEERG_15_6_1_1__1_EmissionsFromPurchasedLime(H324,IF($F$317,$F$317,$E$317))</f>
        <v>0</v>
      </c>
      <c r="K324" s="33"/>
      <c r="L324" s="13"/>
      <c r="M324" s="33"/>
    </row>
    <row r="325" spans="3:41" ht="20.100000000000001" customHeight="1" x14ac:dyDescent="0.2">
      <c r="D325" s="15" t="str">
        <v/>
      </c>
      <c r="E325" s="15">
        <v>0</v>
      </c>
      <c r="F325" s="15">
        <v>0</v>
      </c>
      <c r="G325" s="15">
        <v>0</v>
      </c>
      <c r="H325" s="15">
        <v>0</v>
      </c>
      <c r="I325" s="251" cm="1">
        <f t="array" ref="I325">Scope3_Equations.VEERG_15_6_1_1__1_EmissionsFromPurchasedLime(F325,$E$315)+
Scope3_Equations.VEERG_15_6_1_1__1_EmissionsFromPurchasedLime(G325,$E$316)+
Scope3_Equations.VEERG_15_6_1_1__1_EmissionsFromPurchasedLime(H325,$E$317)</f>
        <v>0</v>
      </c>
      <c r="J325" s="251" cm="1">
        <f t="array" ref="J325">Scope3_Equations.VEERG_15_6_1_1__1_EmissionsFromPurchasedLime(F325,IF($F$315,$F$315,$E$315))+
Scope3_Equations.VEERG_15_6_1_1__1_EmissionsFromPurchasedLime(G325,IF($F$316,$F$316,$E$316))+
Scope3_Equations.VEERG_15_6_1_1__1_EmissionsFromPurchasedLime(H325,IF($F$317,$F$317,$E$317))</f>
        <v>0</v>
      </c>
      <c r="K325" s="33"/>
      <c r="L325" s="13"/>
      <c r="M325" s="33"/>
    </row>
    <row r="326" spans="3:41" ht="20.100000000000001" customHeight="1" x14ac:dyDescent="0.2">
      <c r="D326" s="15" t="str">
        <v/>
      </c>
      <c r="E326" s="15">
        <v>0</v>
      </c>
      <c r="F326" s="15">
        <v>0</v>
      </c>
      <c r="G326" s="15">
        <v>0</v>
      </c>
      <c r="H326" s="15">
        <v>0</v>
      </c>
      <c r="I326" s="251" cm="1">
        <f t="array" ref="I326">Scope3_Equations.VEERG_15_6_1_1__1_EmissionsFromPurchasedLime(F326,$E$315)+
Scope3_Equations.VEERG_15_6_1_1__1_EmissionsFromPurchasedLime(G326,$E$316)+
Scope3_Equations.VEERG_15_6_1_1__1_EmissionsFromPurchasedLime(H326,$E$317)</f>
        <v>0</v>
      </c>
      <c r="J326" s="251" cm="1">
        <f t="array" ref="J326">Scope3_Equations.VEERG_15_6_1_1__1_EmissionsFromPurchasedLime(F326,IF($F$315,$F$315,$E$315))+
Scope3_Equations.VEERG_15_6_1_1__1_EmissionsFromPurchasedLime(G326,IF($F$316,$F$316,$E$316))+
Scope3_Equations.VEERG_15_6_1_1__1_EmissionsFromPurchasedLime(H326,IF($F$317,$F$317,$E$317))</f>
        <v>0</v>
      </c>
      <c r="K326" s="33"/>
      <c r="L326" s="13"/>
      <c r="M326" s="33"/>
    </row>
    <row r="327" spans="3:41" ht="20.100000000000001" customHeight="1" x14ac:dyDescent="0.2">
      <c r="D327" s="15" t="str">
        <v/>
      </c>
      <c r="E327" s="15">
        <v>0</v>
      </c>
      <c r="F327" s="15">
        <v>0</v>
      </c>
      <c r="G327" s="15">
        <v>0</v>
      </c>
      <c r="H327" s="15">
        <v>0</v>
      </c>
      <c r="I327" s="251" cm="1">
        <f t="array" ref="I327">Scope3_Equations.VEERG_15_6_1_1__1_EmissionsFromPurchasedLime(F327,$E$315)+
Scope3_Equations.VEERG_15_6_1_1__1_EmissionsFromPurchasedLime(G327,$E$316)+
Scope3_Equations.VEERG_15_6_1_1__1_EmissionsFromPurchasedLime(H327,$E$317)</f>
        <v>0</v>
      </c>
      <c r="J327" s="251" cm="1">
        <f t="array" ref="J327">Scope3_Equations.VEERG_15_6_1_1__1_EmissionsFromPurchasedLime(F327,IF($F$315,$F$315,$E$315))+
Scope3_Equations.VEERG_15_6_1_1__1_EmissionsFromPurchasedLime(G327,IF($F$316,$F$316,$E$316))+
Scope3_Equations.VEERG_15_6_1_1__1_EmissionsFromPurchasedLime(H327,IF($F$317,$F$317,$E$317))</f>
        <v>0</v>
      </c>
      <c r="K327" s="33"/>
      <c r="L327" s="13"/>
      <c r="M327" s="33"/>
    </row>
    <row r="328" spans="3:41" ht="20.100000000000001" customHeight="1" x14ac:dyDescent="0.2">
      <c r="D328" s="15" t="str">
        <v/>
      </c>
      <c r="E328" s="15">
        <v>0</v>
      </c>
      <c r="F328" s="15">
        <v>0</v>
      </c>
      <c r="G328" s="15">
        <v>0</v>
      </c>
      <c r="H328" s="15">
        <v>0</v>
      </c>
      <c r="I328" s="251" cm="1">
        <f t="array" ref="I328">Scope3_Equations.VEERG_15_6_1_1__1_EmissionsFromPurchasedLime(F328,$E$315)+
Scope3_Equations.VEERG_15_6_1_1__1_EmissionsFromPurchasedLime(G328,$E$316)+
Scope3_Equations.VEERG_15_6_1_1__1_EmissionsFromPurchasedLime(H328,$E$317)</f>
        <v>0</v>
      </c>
      <c r="J328" s="251" cm="1">
        <f t="array" ref="J328">Scope3_Equations.VEERG_15_6_1_1__1_EmissionsFromPurchasedLime(F328,IF($F$315,$F$315,$E$315))+
Scope3_Equations.VEERG_15_6_1_1__1_EmissionsFromPurchasedLime(G328,IF($F$316,$F$316,$E$316))+
Scope3_Equations.VEERG_15_6_1_1__1_EmissionsFromPurchasedLime(H328,IF($F$317,$F$317,$E$317))</f>
        <v>0</v>
      </c>
      <c r="K328" s="33"/>
      <c r="L328" s="13"/>
      <c r="M328" s="33"/>
    </row>
    <row r="329" spans="3:41" ht="20.100000000000001" customHeight="1" x14ac:dyDescent="0.2">
      <c r="D329" s="15" t="str">
        <v/>
      </c>
      <c r="E329" s="15">
        <v>0</v>
      </c>
      <c r="F329" s="15">
        <v>0</v>
      </c>
      <c r="G329" s="15">
        <v>0</v>
      </c>
      <c r="H329" s="15">
        <v>0</v>
      </c>
      <c r="I329" s="251" cm="1">
        <f t="array" ref="I329">Scope3_Equations.VEERG_15_6_1_1__1_EmissionsFromPurchasedLime(F329,$E$315)+
Scope3_Equations.VEERG_15_6_1_1__1_EmissionsFromPurchasedLime(G329,$E$316)+
Scope3_Equations.VEERG_15_6_1_1__1_EmissionsFromPurchasedLime(H329,$E$317)</f>
        <v>0</v>
      </c>
      <c r="J329" s="251" cm="1">
        <f t="array" ref="J329">Scope3_Equations.VEERG_15_6_1_1__1_EmissionsFromPurchasedLime(F329,IF($F$315,$F$315,$E$315))+
Scope3_Equations.VEERG_15_6_1_1__1_EmissionsFromPurchasedLime(G329,IF($F$316,$F$316,$E$316))+
Scope3_Equations.VEERG_15_6_1_1__1_EmissionsFromPurchasedLime(H329,IF($F$317,$F$317,$E$317))</f>
        <v>0</v>
      </c>
      <c r="K329" s="33"/>
      <c r="L329" s="13"/>
      <c r="M329" s="33"/>
    </row>
    <row r="331" spans="3:41" ht="20.100000000000001" customHeight="1" x14ac:dyDescent="0.2">
      <c r="D331" s="253" t="s">
        <v>1041</v>
      </c>
      <c r="E331" s="86">
        <f>SUM(I320:I329)</f>
        <v>1.6553999999999999E-2</v>
      </c>
      <c r="F331" s="95" t="str">
        <f>$E$170</f>
        <v>t CO2e</v>
      </c>
    </row>
    <row r="332" spans="3:41" ht="20.100000000000001" customHeight="1" x14ac:dyDescent="0.2">
      <c r="D332" s="253" t="s">
        <v>1044</v>
      </c>
      <c r="E332" s="86">
        <f>SUM(J320:J329)</f>
        <v>1.4400000000000001E-2</v>
      </c>
      <c r="F332" s="95" t="str">
        <f>$E$170</f>
        <v>t CO2e</v>
      </c>
    </row>
    <row r="335" spans="3:41" ht="20.100000000000001" customHeight="1" x14ac:dyDescent="0.2">
      <c r="C335" s="83"/>
      <c r="D335" s="83"/>
      <c r="E335" s="83"/>
      <c r="F335" s="83"/>
      <c r="G335" s="83"/>
      <c r="H335" s="83"/>
      <c r="I335" s="83"/>
      <c r="J335" s="83"/>
      <c r="K335" s="83"/>
      <c r="L335" s="83"/>
      <c r="M335" s="83"/>
      <c r="N335" s="83"/>
      <c r="O335" s="83"/>
      <c r="P335" s="83"/>
      <c r="Q335" s="83"/>
      <c r="R335" s="83"/>
      <c r="S335" s="83"/>
      <c r="T335" s="83"/>
      <c r="U335" s="83"/>
      <c r="V335" s="83"/>
      <c r="W335" s="83"/>
      <c r="X335" s="83"/>
      <c r="Y335" s="83"/>
      <c r="Z335" s="83"/>
      <c r="AA335" s="83"/>
      <c r="AB335" s="83"/>
      <c r="AC335" s="83"/>
      <c r="AD335" s="83"/>
      <c r="AE335" s="83"/>
      <c r="AF335" s="83"/>
      <c r="AG335" s="83"/>
      <c r="AH335" s="83"/>
      <c r="AI335" s="83"/>
      <c r="AJ335" s="83"/>
      <c r="AK335" s="83"/>
      <c r="AL335" s="83"/>
      <c r="AM335" s="83"/>
      <c r="AN335" s="83"/>
      <c r="AO335" s="83"/>
    </row>
    <row r="336" spans="3:41" ht="20.100000000000001" customHeight="1" x14ac:dyDescent="0.2">
      <c r="D336" s="2" t="str" cm="1">
        <f t="array" ref="D336">Scope3_Equations.VEERG_15_7_1_1__1_EmissionsFromPurchasedServices_Title()</f>
        <v>Emissions of purchased services and contractor operations</v>
      </c>
    </row>
    <row r="337" spans="1:15" ht="20.100000000000001" customHeight="1" x14ac:dyDescent="0.2">
      <c r="D337" s="17" t="str" cm="1">
        <f t="array" ref="D337">Scope3_Equations.VEERG_15_7_1_1__1_EmissionsFromPurchasedServices_Source()</f>
        <v>VEERG 2026: 15.7.1.1, Equation (1)</v>
      </c>
    </row>
    <row r="338" spans="1:15" ht="20.100000000000001" customHeight="1" x14ac:dyDescent="0.2">
      <c r="A338" s="79" t="str">
        <f>HYPERLINK("#A1", "▲ Back to top")</f>
        <v>▲ Back to top</v>
      </c>
      <c r="D338" s="112" t="s">
        <v>328</v>
      </c>
      <c r="E338" s="112" t="str" cm="1">
        <f t="array" aca="1" ref="E338" ca="1">Common_InputFunctions.Utility_DisplayFunctionName(K351)</f>
        <v>=Scope3_Equations.VEERG_15_7_1_1__1_EmissionsFromPurchasedServices</v>
      </c>
    </row>
    <row r="340" spans="1:15" ht="20.100000000000001" customHeight="1" x14ac:dyDescent="0.2">
      <c r="H340" s="1" t="s">
        <v>1122</v>
      </c>
    </row>
    <row r="341" spans="1:15" ht="20.100000000000001" customHeight="1" x14ac:dyDescent="0.2">
      <c r="D341" s="75" t="s">
        <v>329</v>
      </c>
      <c r="E341" s="1" t="str" cm="1">
        <f t="array" ref="E341">Scope3_Equations.VEERG_15_7_1_1__1_EmissionsFromPurchasedServices_Variable()</f>
        <v>E</v>
      </c>
    </row>
    <row r="342" spans="1:15" ht="20.100000000000001" customHeight="1" x14ac:dyDescent="0.2">
      <c r="D342" s="75" t="s">
        <v>118</v>
      </c>
      <c r="E342" s="1" t="str" cm="1">
        <f t="array" ref="E342">Scope3_Equations.VEERG_15_7_1_1__1_EmissionsFromPurchasedServices_Unit()</f>
        <v>t CO2e</v>
      </c>
    </row>
    <row r="344" spans="1:15" ht="20.100000000000001" customHeight="1" x14ac:dyDescent="0.2">
      <c r="D344" s="113" t="str" cm="1">
        <f t="array" ref="D344:E346">_xlfn.CHOOSECOLS(Scope3_Equations.VEERG_15_7_1_1__1_EmissionsFromPurchasedServices_Arguments(),1,2)</f>
        <v>A_p</v>
      </c>
      <c r="E344" s="122" t="str">
        <v>activity data of the service that was purchased</v>
      </c>
      <c r="F344" s="123"/>
      <c r="G344" s="113" t="str" cm="1">
        <f t="array" ref="G344:H346">_xlfn.CHOOSECOLS(Scope3_Equations.VEERG_15_7_1_1__1_EmissionsFromPurchasedServices_Arguments(),3,4)</f>
        <v>ha or h</v>
      </c>
      <c r="H344" s="249" t="str">
        <v>Input</v>
      </c>
    </row>
    <row r="345" spans="1:15" ht="20.100000000000001" customHeight="1" x14ac:dyDescent="0.2">
      <c r="D345" s="113" t="str">
        <v>EF_p</v>
      </c>
      <c r="E345" s="122" t="str">
        <v>life cycle emission factor for the purchased service</v>
      </c>
      <c r="F345" s="123"/>
      <c r="G345" s="113" t="str">
        <v>kg CO2e/ha or kg CO2e/h</v>
      </c>
      <c r="H345" s="115" t="str">
        <v>Constant</v>
      </c>
    </row>
    <row r="346" spans="1:15" ht="20.100000000000001" customHeight="1" x14ac:dyDescent="0.2">
      <c r="D346" s="113" t="str">
        <v>p</v>
      </c>
      <c r="E346" s="122" t="str">
        <v>service type</v>
      </c>
      <c r="F346" s="123"/>
      <c r="G346" s="113" t="str">
        <v/>
      </c>
      <c r="H346" s="249" t="str">
        <v>Input</v>
      </c>
    </row>
    <row r="348" spans="1:15" ht="20.100000000000001" customHeight="1" x14ac:dyDescent="0.2">
      <c r="D348" s="25" t="s">
        <v>1123</v>
      </c>
    </row>
    <row r="350" spans="1:15" ht="20.100000000000001" customHeight="1" x14ac:dyDescent="0.2">
      <c r="D350" s="78" t="s">
        <v>962</v>
      </c>
      <c r="E350" s="78" t="s">
        <v>963</v>
      </c>
      <c r="F350" s="78" t="s">
        <v>964</v>
      </c>
      <c r="G350" s="78" t="s">
        <v>595</v>
      </c>
      <c r="H350" s="120" t="s">
        <v>1124</v>
      </c>
      <c r="I350" s="120" t="s">
        <v>1125</v>
      </c>
      <c r="J350" s="78" t="s">
        <v>1126</v>
      </c>
      <c r="K350" s="120" t="s">
        <v>1127</v>
      </c>
      <c r="L350" s="120" t="s">
        <v>1128</v>
      </c>
      <c r="M350" s="78" t="s">
        <v>1045</v>
      </c>
      <c r="N350" s="78" t="s">
        <v>1046</v>
      </c>
      <c r="O350" s="78" t="s">
        <v>1047</v>
      </c>
    </row>
    <row r="351" spans="1:15" ht="20.100000000000001" customHeight="1" x14ac:dyDescent="0.2">
      <c r="D351" s="15" t="str" cm="1">
        <f t="array" ref="D351:D360">IFERROR(INDEX(Table_Input_ServicesAndContractors[Service provider / contractor], _xlfn.SEQUENCE(10)), "")</f>
        <v>Pete's Pickers</v>
      </c>
      <c r="E351" s="15" t="str" cm="1">
        <f t="array" ref="E351:E360">IFERROR(INDEX(Table_Input_ServicesAndContractors[Activity], _xlfn.SEQUENCE(10)), "")</f>
        <v>Fruit picking</v>
      </c>
      <c r="F351" s="15" cm="1">
        <f t="array" ref="F351:F360">IFERROR(INDEX(Table_Input_ServicesAndContractors[Total amount], _xlfn.SEQUENCE(10)), "")</f>
        <v>10000</v>
      </c>
      <c r="G351" s="15" t="str" cm="1">
        <f t="array" ref="G351:G360">IFERROR(INDEX(Table_Input_ServicesAndContractors[Amount unit], _xlfn.SEQUENCE(10)), "")</f>
        <v>Hour</v>
      </c>
      <c r="H351" s="15" t="s">
        <v>352</v>
      </c>
      <c r="I351" s="15" t="s">
        <v>352</v>
      </c>
      <c r="J351" s="74">
        <v>4</v>
      </c>
      <c r="K351" s="251" cm="1">
        <f t="array" ref="K351">Scope3_Equations.VEERG_15_7_1_1__1_EmissionsFromPurchasedServices(F351,J351)</f>
        <v>40</v>
      </c>
      <c r="L351" s="15" t="str">
        <f>"t CO2e / " &amp; G351</f>
        <v>t CO2e / Hour</v>
      </c>
      <c r="M351" s="33"/>
      <c r="N351" s="13"/>
      <c r="O351" s="33"/>
    </row>
    <row r="352" spans="1:15" ht="20.100000000000001" customHeight="1" x14ac:dyDescent="0.2">
      <c r="D352" s="15" t="str">
        <v>Harini's Harvesting Services Pty Ltd</v>
      </c>
      <c r="E352" s="15" t="str">
        <v>Wheat harvesting</v>
      </c>
      <c r="F352" s="15">
        <v>1000</v>
      </c>
      <c r="G352" s="15" t="str">
        <v>Hectare</v>
      </c>
      <c r="H352" s="15" t="s">
        <v>352</v>
      </c>
      <c r="I352" s="15" t="s">
        <v>352</v>
      </c>
      <c r="J352" s="74">
        <v>2</v>
      </c>
      <c r="K352" s="251" cm="1">
        <f t="array" ref="K352">Scope3_Equations.VEERG_15_7_1_1__1_EmissionsFromPurchasedServices(F352,J352)</f>
        <v>2</v>
      </c>
      <c r="L352" s="15" t="str">
        <f t="shared" ref="L352:L360" si="1">"t CO2e / " &amp; G352</f>
        <v>t CO2e / Hectare</v>
      </c>
      <c r="M352" s="33"/>
      <c r="N352" s="13"/>
      <c r="O352" s="33"/>
    </row>
    <row r="353" spans="1:41" ht="20.100000000000001" customHeight="1" x14ac:dyDescent="0.2">
      <c r="D353" s="15">
        <v>0</v>
      </c>
      <c r="E353" s="15">
        <v>0</v>
      </c>
      <c r="F353" s="15">
        <v>0</v>
      </c>
      <c r="G353" s="15">
        <v>0</v>
      </c>
      <c r="H353" s="15" t="s">
        <v>352</v>
      </c>
      <c r="I353" s="15" t="s">
        <v>352</v>
      </c>
      <c r="J353" s="74"/>
      <c r="K353" s="251" cm="1">
        <f t="array" ref="K353">Scope3_Equations.VEERG_15_7_1_1__1_EmissionsFromPurchasedServices(F353,J353)</f>
        <v>0</v>
      </c>
      <c r="L353" s="15" t="str">
        <f t="shared" si="1"/>
        <v>t CO2e / 0</v>
      </c>
      <c r="M353" s="33"/>
      <c r="N353" s="13"/>
      <c r="O353" s="33"/>
    </row>
    <row r="354" spans="1:41" ht="20.100000000000001" customHeight="1" x14ac:dyDescent="0.2">
      <c r="D354" s="15">
        <v>0</v>
      </c>
      <c r="E354" s="15">
        <v>0</v>
      </c>
      <c r="F354" s="15">
        <v>0</v>
      </c>
      <c r="G354" s="15">
        <v>0</v>
      </c>
      <c r="H354" s="15" t="s">
        <v>352</v>
      </c>
      <c r="I354" s="15" t="s">
        <v>352</v>
      </c>
      <c r="J354" s="74"/>
      <c r="K354" s="251" cm="1">
        <f t="array" ref="K354">Scope3_Equations.VEERG_15_7_1_1__1_EmissionsFromPurchasedServices(F354,J354)</f>
        <v>0</v>
      </c>
      <c r="L354" s="15" t="str">
        <f t="shared" si="1"/>
        <v>t CO2e / 0</v>
      </c>
      <c r="M354" s="33"/>
      <c r="N354" s="13"/>
      <c r="O354" s="33"/>
    </row>
    <row r="355" spans="1:41" ht="20.100000000000001" customHeight="1" x14ac:dyDescent="0.2">
      <c r="D355" s="15">
        <v>0</v>
      </c>
      <c r="E355" s="15">
        <v>0</v>
      </c>
      <c r="F355" s="15">
        <v>0</v>
      </c>
      <c r="G355" s="15">
        <v>0</v>
      </c>
      <c r="H355" s="15" t="s">
        <v>352</v>
      </c>
      <c r="I355" s="15" t="s">
        <v>352</v>
      </c>
      <c r="J355" s="74"/>
      <c r="K355" s="251" cm="1">
        <f t="array" ref="K355">Scope3_Equations.VEERG_15_7_1_1__1_EmissionsFromPurchasedServices(F355,J355)</f>
        <v>0</v>
      </c>
      <c r="L355" s="15" t="str">
        <f t="shared" si="1"/>
        <v>t CO2e / 0</v>
      </c>
      <c r="M355" s="33"/>
      <c r="N355" s="13"/>
      <c r="O355" s="33"/>
    </row>
    <row r="356" spans="1:41" ht="20.100000000000001" customHeight="1" x14ac:dyDescent="0.2">
      <c r="D356" s="15">
        <v>0</v>
      </c>
      <c r="E356" s="15">
        <v>0</v>
      </c>
      <c r="F356" s="15">
        <v>0</v>
      </c>
      <c r="G356" s="15">
        <v>0</v>
      </c>
      <c r="H356" s="15" t="s">
        <v>352</v>
      </c>
      <c r="I356" s="15" t="s">
        <v>352</v>
      </c>
      <c r="J356" s="74"/>
      <c r="K356" s="251" cm="1">
        <f t="array" ref="K356">Scope3_Equations.VEERG_15_7_1_1__1_EmissionsFromPurchasedServices(F356,J356)</f>
        <v>0</v>
      </c>
      <c r="L356" s="15" t="str">
        <f t="shared" si="1"/>
        <v>t CO2e / 0</v>
      </c>
      <c r="M356" s="33"/>
      <c r="N356" s="13"/>
      <c r="O356" s="33"/>
    </row>
    <row r="357" spans="1:41" ht="20.100000000000001" customHeight="1" x14ac:dyDescent="0.2">
      <c r="D357" s="15">
        <v>0</v>
      </c>
      <c r="E357" s="15">
        <v>0</v>
      </c>
      <c r="F357" s="15">
        <v>0</v>
      </c>
      <c r="G357" s="15">
        <v>0</v>
      </c>
      <c r="H357" s="15" t="s">
        <v>352</v>
      </c>
      <c r="I357" s="15" t="s">
        <v>352</v>
      </c>
      <c r="J357" s="74"/>
      <c r="K357" s="251" cm="1">
        <f t="array" ref="K357">Scope3_Equations.VEERG_15_7_1_1__1_EmissionsFromPurchasedServices(F357,J357)</f>
        <v>0</v>
      </c>
      <c r="L357" s="15" t="str">
        <f t="shared" si="1"/>
        <v>t CO2e / 0</v>
      </c>
      <c r="M357" s="33"/>
      <c r="N357" s="13"/>
      <c r="O357" s="33"/>
    </row>
    <row r="358" spans="1:41" ht="20.100000000000001" customHeight="1" x14ac:dyDescent="0.2">
      <c r="D358" s="15">
        <v>0</v>
      </c>
      <c r="E358" s="15">
        <v>0</v>
      </c>
      <c r="F358" s="15">
        <v>0</v>
      </c>
      <c r="G358" s="15">
        <v>0</v>
      </c>
      <c r="H358" s="15" t="s">
        <v>352</v>
      </c>
      <c r="I358" s="15" t="s">
        <v>352</v>
      </c>
      <c r="J358" s="74"/>
      <c r="K358" s="251" cm="1">
        <f t="array" ref="K358">Scope3_Equations.VEERG_15_7_1_1__1_EmissionsFromPurchasedServices(F358,J358)</f>
        <v>0</v>
      </c>
      <c r="L358" s="15" t="str">
        <f t="shared" si="1"/>
        <v>t CO2e / 0</v>
      </c>
      <c r="M358" s="33"/>
      <c r="N358" s="13"/>
      <c r="O358" s="33"/>
    </row>
    <row r="359" spans="1:41" ht="20.100000000000001" customHeight="1" x14ac:dyDescent="0.2">
      <c r="D359" s="15">
        <v>0</v>
      </c>
      <c r="E359" s="15">
        <v>0</v>
      </c>
      <c r="F359" s="15">
        <v>0</v>
      </c>
      <c r="G359" s="15">
        <v>0</v>
      </c>
      <c r="H359" s="15" t="s">
        <v>352</v>
      </c>
      <c r="I359" s="15" t="s">
        <v>352</v>
      </c>
      <c r="J359" s="74"/>
      <c r="K359" s="251" cm="1">
        <f t="array" ref="K359">Scope3_Equations.VEERG_15_7_1_1__1_EmissionsFromPurchasedServices(F359,J359)</f>
        <v>0</v>
      </c>
      <c r="L359" s="15" t="str">
        <f t="shared" si="1"/>
        <v>t CO2e / 0</v>
      </c>
      <c r="M359" s="33"/>
      <c r="N359" s="13"/>
      <c r="O359" s="33"/>
    </row>
    <row r="360" spans="1:41" ht="20.100000000000001" customHeight="1" x14ac:dyDescent="0.2">
      <c r="D360" s="15">
        <v>0</v>
      </c>
      <c r="E360" s="15">
        <v>0</v>
      </c>
      <c r="F360" s="15">
        <v>0</v>
      </c>
      <c r="G360" s="15">
        <v>0</v>
      </c>
      <c r="H360" s="15" t="s">
        <v>352</v>
      </c>
      <c r="I360" s="15" t="s">
        <v>352</v>
      </c>
      <c r="J360" s="74"/>
      <c r="K360" s="251" cm="1">
        <f t="array" ref="K360">Scope3_Equations.VEERG_15_7_1_1__1_EmissionsFromPurchasedServices(F360,J360)</f>
        <v>0</v>
      </c>
      <c r="L360" s="15" t="str">
        <f t="shared" si="1"/>
        <v>t CO2e / 0</v>
      </c>
      <c r="M360" s="33"/>
      <c r="N360" s="13"/>
      <c r="O360" s="33"/>
    </row>
    <row r="362" spans="1:41" ht="20.100000000000001" customHeight="1" x14ac:dyDescent="0.2">
      <c r="D362" s="253" t="s">
        <v>1041</v>
      </c>
      <c r="E362" s="86" t="s">
        <v>352</v>
      </c>
      <c r="F362" s="95" t="str">
        <f>$E$170</f>
        <v>t CO2e</v>
      </c>
    </row>
    <row r="363" spans="1:41" ht="20.100000000000001" customHeight="1" x14ac:dyDescent="0.2">
      <c r="D363" s="253" t="s">
        <v>1044</v>
      </c>
      <c r="E363" s="86">
        <f>SUM(K351:K360)</f>
        <v>42</v>
      </c>
      <c r="F363" s="95" t="str">
        <f>$E$170</f>
        <v>t CO2e</v>
      </c>
    </row>
    <row r="366" spans="1:41" ht="20.100000000000001" customHeight="1" x14ac:dyDescent="0.2">
      <c r="C366" s="83"/>
      <c r="D366" s="83"/>
      <c r="E366" s="83"/>
      <c r="F366" s="83"/>
      <c r="G366" s="83"/>
      <c r="H366" s="83"/>
      <c r="I366" s="83"/>
      <c r="J366" s="83"/>
      <c r="K366" s="83"/>
      <c r="L366" s="83"/>
      <c r="M366" s="83"/>
      <c r="N366" s="83"/>
      <c r="O366" s="83"/>
      <c r="P366" s="83"/>
      <c r="Q366" s="83"/>
      <c r="R366" s="83"/>
      <c r="S366" s="83"/>
      <c r="T366" s="83"/>
      <c r="U366" s="83"/>
      <c r="V366" s="83"/>
      <c r="W366" s="83"/>
      <c r="X366" s="83"/>
      <c r="Y366" s="83"/>
      <c r="Z366" s="83"/>
      <c r="AA366" s="83"/>
      <c r="AB366" s="83"/>
      <c r="AC366" s="83"/>
      <c r="AD366" s="83"/>
      <c r="AE366" s="83"/>
      <c r="AF366" s="83"/>
      <c r="AG366" s="83"/>
      <c r="AH366" s="83"/>
      <c r="AI366" s="83"/>
      <c r="AJ366" s="83"/>
      <c r="AK366" s="83"/>
      <c r="AL366" s="83"/>
      <c r="AM366" s="83"/>
      <c r="AN366" s="83"/>
      <c r="AO366" s="83"/>
    </row>
    <row r="367" spans="1:41" ht="20.100000000000001" customHeight="1" x14ac:dyDescent="0.2">
      <c r="D367" s="2" t="str" cm="1">
        <f t="array" ref="D367">Scope3_Equations.VEERG_15_8_1_1__1_EmissionsFromPurchasedPackaging_Title()</f>
        <v>Embedded emissions from use of packaging materials</v>
      </c>
    </row>
    <row r="368" spans="1:41" ht="20.100000000000001" customHeight="1" x14ac:dyDescent="0.2">
      <c r="A368" s="79" t="str">
        <f>HYPERLINK("#A1", "▲ Back to top")</f>
        <v>▲ Back to top</v>
      </c>
      <c r="D368" s="17" t="str" cm="1">
        <f t="array" ref="D368">Scope3_Equations.VEERG_15_8_1_1__1_EmissionsFromPurchasedPackaging_Source()</f>
        <v>VEERG 2026: 15.8.1.1, Equation (1)</v>
      </c>
    </row>
    <row r="369" spans="4:13" ht="20.100000000000001" customHeight="1" x14ac:dyDescent="0.2">
      <c r="D369" s="25" t="str" cm="1">
        <f t="array" ref="D369">Scope3_Equations.VEERG_15_8_1_1__1_EmissionsFromPurchasedPackaging_Variation()</f>
        <v>VARIATION ON SOURCE: Changed unit of Q from 'units' to 'kg' as EF data is in kg.</v>
      </c>
    </row>
    <row r="370" spans="4:13" ht="20.100000000000001" customHeight="1" x14ac:dyDescent="0.2">
      <c r="D370" s="112" t="s">
        <v>328</v>
      </c>
      <c r="E370" s="112" t="str" cm="1">
        <f t="array" aca="1" ref="E370" ca="1">Common_InputFunctions.Utility_DisplayFunctionName(H382)</f>
        <v>=Scope3_Equations.VEERG_15_8_1_1__1_EmissionsFromPurchasedPackaging</v>
      </c>
    </row>
    <row r="374" spans="4:13" ht="20.100000000000001" customHeight="1" x14ac:dyDescent="0.2">
      <c r="D374" s="75" t="s">
        <v>329</v>
      </c>
      <c r="E374" s="1" t="str" cm="1">
        <f t="array" ref="E374">Scope3_Equations.VEERG_15_8_1_1__1_EmissionsFromPurchasedPackaging_Variable()</f>
        <v>E</v>
      </c>
    </row>
    <row r="375" spans="4:13" ht="20.100000000000001" customHeight="1" x14ac:dyDescent="0.2">
      <c r="D375" s="75" t="s">
        <v>118</v>
      </c>
      <c r="E375" s="9" t="str" cm="1">
        <f t="array" ref="E375">Scope3_Equations.VEERG_15_8_1_1__1_EmissionsFromPurchasedPackaging_Unit()</f>
        <v>t CO2e</v>
      </c>
    </row>
    <row r="377" spans="4:13" ht="20.100000000000001" customHeight="1" x14ac:dyDescent="0.2">
      <c r="D377" s="113" t="str" cm="1">
        <f t="array" ref="D377:E379">_xlfn.CHOOSECOLS(Scope3_Equations.VEERG_15_8_1_1__1_EmissionsFromPurchasedPackaging_Arguments(),1,2)</f>
        <v>Q_p</v>
      </c>
      <c r="E377" s="113" t="str">
        <v>units of packaging type p</v>
      </c>
      <c r="F377" s="113" t="str" cm="1">
        <f t="array" ref="F377:G379">_xlfn.CHOOSECOLS(Scope3_Equations.VEERG_15_8_1_1__1_EmissionsFromPurchasedPackaging_Arguments(),3,4)</f>
        <v>units</v>
      </c>
      <c r="G377" s="249" t="str">
        <v>Input</v>
      </c>
    </row>
    <row r="378" spans="4:13" ht="20.100000000000001" customHeight="1" x14ac:dyDescent="0.2">
      <c r="D378" s="113" t="str">
        <v>EF_p</v>
      </c>
      <c r="E378" s="113" t="str">
        <v>emission factor for packaging type p</v>
      </c>
      <c r="F378" s="113" t="str">
        <v>kg CO2e/unit</v>
      </c>
      <c r="G378" s="115" t="str">
        <v>Constant</v>
      </c>
    </row>
    <row r="379" spans="4:13" ht="20.100000000000001" customHeight="1" x14ac:dyDescent="0.2">
      <c r="D379" s="113" t="str">
        <v>p</v>
      </c>
      <c r="E379" s="113" t="str">
        <v>packaging type</v>
      </c>
      <c r="F379" s="113" t="str">
        <v/>
      </c>
      <c r="G379" s="249" t="str">
        <v>Input</v>
      </c>
    </row>
    <row r="381" spans="4:13" ht="20.100000000000001" customHeight="1" x14ac:dyDescent="0.2">
      <c r="D381" s="78" t="s">
        <v>1035</v>
      </c>
      <c r="E381" s="250" t="s">
        <v>1129</v>
      </c>
      <c r="F381" s="250" t="s">
        <v>1130</v>
      </c>
      <c r="G381" s="120" t="s">
        <v>1131</v>
      </c>
      <c r="H381" s="120" t="s">
        <v>1041</v>
      </c>
      <c r="I381" s="78" t="s">
        <v>1132</v>
      </c>
      <c r="J381" s="120" t="s">
        <v>1044</v>
      </c>
      <c r="K381" s="78" t="s">
        <v>1045</v>
      </c>
      <c r="L381" s="78" t="s">
        <v>1046</v>
      </c>
      <c r="M381" s="78" t="s">
        <v>1047</v>
      </c>
    </row>
    <row r="382" spans="4:13" ht="20.100000000000001" customHeight="1" x14ac:dyDescent="0.2">
      <c r="D382" s="15"/>
      <c r="E382" s="15"/>
      <c r="F382" s="15"/>
      <c r="G382" s="15" cm="1">
        <f t="array" ref="G382">Common_InputFunctions.Utility_LookupValueInTableNumber(E382,Table_SourceData_Scope3_Packaging[Product],Table_SourceData_Scope3_Packaging[Emissions intensity])</f>
        <v>0</v>
      </c>
      <c r="H382" s="251" cm="1">
        <f t="array" ref="H382">Scope3_Equations.VEERG_15_8_1_1__1_EmissionsFromPurchasedPackaging(F382,G382)</f>
        <v>0</v>
      </c>
      <c r="I382" s="74">
        <v>3</v>
      </c>
      <c r="J382" s="251" cm="1">
        <f t="array" ref="J382">Scope3_Equations.VEERG_15_8_1_1__1_EmissionsFromPurchasedPackaging(F382,IF(I382,I382,G382))</f>
        <v>0</v>
      </c>
      <c r="K382" s="33"/>
      <c r="L382" s="13"/>
      <c r="M382" s="33"/>
    </row>
    <row r="383" spans="4:13" ht="20.100000000000001" customHeight="1" x14ac:dyDescent="0.2">
      <c r="D383" s="15"/>
      <c r="E383" s="15"/>
      <c r="F383" s="15"/>
      <c r="G383" s="15" cm="1">
        <f t="array" ref="G383">Common_InputFunctions.Utility_LookupValueInTableNumber(E383,Table_SourceData_Scope3_Packaging[Product],Table_SourceData_Scope3_Packaging[Emissions intensity])</f>
        <v>0</v>
      </c>
      <c r="H383" s="251" cm="1">
        <f t="array" ref="H383">Scope3_Equations.VEERG_15_8_1_1__1_EmissionsFromPurchasedPackaging(F383,G383)</f>
        <v>0</v>
      </c>
      <c r="I383" s="74"/>
      <c r="J383" s="251" cm="1">
        <f t="array" ref="J383">Scope3_Equations.VEERG_15_8_1_1__1_EmissionsFromPurchasedPackaging(F383,IF(I383,I383,G383))</f>
        <v>0</v>
      </c>
      <c r="K383" s="33"/>
      <c r="L383" s="13"/>
      <c r="M383" s="33"/>
    </row>
    <row r="384" spans="4:13" ht="20.100000000000001" customHeight="1" x14ac:dyDescent="0.2">
      <c r="D384" s="15"/>
      <c r="E384" s="15"/>
      <c r="F384" s="15"/>
      <c r="G384" s="15" cm="1">
        <f t="array" ref="G384">Common_InputFunctions.Utility_LookupValueInTableNumber(E384,Table_SourceData_Scope3_Packaging[Product],Table_SourceData_Scope3_Packaging[Emissions intensity])</f>
        <v>0</v>
      </c>
      <c r="H384" s="251" cm="1">
        <f t="array" ref="H384">Scope3_Equations.VEERG_15_8_1_1__1_EmissionsFromPurchasedPackaging(F384,G384)</f>
        <v>0</v>
      </c>
      <c r="I384" s="74"/>
      <c r="J384" s="251" cm="1">
        <f t="array" ref="J384">Scope3_Equations.VEERG_15_8_1_1__1_EmissionsFromPurchasedPackaging(F384,IF(I384,I384,G384))</f>
        <v>0</v>
      </c>
      <c r="K384" s="33"/>
      <c r="L384" s="13"/>
      <c r="M384" s="33"/>
    </row>
    <row r="385" spans="1:41" ht="20.100000000000001" customHeight="1" x14ac:dyDescent="0.2">
      <c r="D385" s="15"/>
      <c r="E385" s="15"/>
      <c r="F385" s="15"/>
      <c r="G385" s="15" cm="1">
        <f t="array" ref="G385">Common_InputFunctions.Utility_LookupValueInTableNumber(E385,Table_SourceData_Scope3_Packaging[Product],Table_SourceData_Scope3_Packaging[Emissions intensity])</f>
        <v>0</v>
      </c>
      <c r="H385" s="251" cm="1">
        <f t="array" ref="H385">Scope3_Equations.VEERG_15_8_1_1__1_EmissionsFromPurchasedPackaging(F385,G385)</f>
        <v>0</v>
      </c>
      <c r="I385" s="74"/>
      <c r="J385" s="251" cm="1">
        <f t="array" ref="J385">Scope3_Equations.VEERG_15_8_1_1__1_EmissionsFromPurchasedPackaging(F385,IF(I385,I385,G385))</f>
        <v>0</v>
      </c>
      <c r="K385" s="33"/>
      <c r="L385" s="13"/>
      <c r="M385" s="33"/>
    </row>
    <row r="386" spans="1:41" ht="20.100000000000001" customHeight="1" x14ac:dyDescent="0.2">
      <c r="D386" s="15"/>
      <c r="E386" s="15"/>
      <c r="F386" s="15"/>
      <c r="G386" s="15" cm="1">
        <f t="array" ref="G386">Common_InputFunctions.Utility_LookupValueInTableNumber(E386,Table_SourceData_Scope3_Packaging[Product],Table_SourceData_Scope3_Packaging[Emissions intensity])</f>
        <v>0</v>
      </c>
      <c r="H386" s="251" cm="1">
        <f t="array" ref="H386">Scope3_Equations.VEERG_15_8_1_1__1_EmissionsFromPurchasedPackaging(F386,G386)</f>
        <v>0</v>
      </c>
      <c r="I386" s="74"/>
      <c r="J386" s="251" cm="1">
        <f t="array" ref="J386">Scope3_Equations.VEERG_15_8_1_1__1_EmissionsFromPurchasedPackaging(F386,IF(I386,I386,G386))</f>
        <v>0</v>
      </c>
      <c r="K386" s="33"/>
      <c r="L386" s="13"/>
      <c r="M386" s="33"/>
    </row>
    <row r="387" spans="1:41" ht="20.100000000000001" customHeight="1" x14ac:dyDescent="0.2">
      <c r="D387" s="15"/>
      <c r="E387" s="15"/>
      <c r="F387" s="15"/>
      <c r="G387" s="15" cm="1">
        <f t="array" ref="G387">Common_InputFunctions.Utility_LookupValueInTableNumber(E387,Table_SourceData_Scope3_Packaging[Product],Table_SourceData_Scope3_Packaging[Emissions intensity])</f>
        <v>0</v>
      </c>
      <c r="H387" s="251" cm="1">
        <f t="array" ref="H387">Scope3_Equations.VEERG_15_8_1_1__1_EmissionsFromPurchasedPackaging(F387,G387)</f>
        <v>0</v>
      </c>
      <c r="I387" s="74"/>
      <c r="J387" s="251" cm="1">
        <f t="array" ref="J387">Scope3_Equations.VEERG_15_8_1_1__1_EmissionsFromPurchasedPackaging(F387,IF(I387,I387,G387))</f>
        <v>0</v>
      </c>
      <c r="K387" s="33"/>
      <c r="L387" s="13"/>
      <c r="M387" s="33"/>
    </row>
    <row r="388" spans="1:41" ht="20.100000000000001" customHeight="1" x14ac:dyDescent="0.2">
      <c r="D388" s="15"/>
      <c r="E388" s="15"/>
      <c r="F388" s="15"/>
      <c r="G388" s="15" cm="1">
        <f t="array" ref="G388">Common_InputFunctions.Utility_LookupValueInTableNumber(E388,Table_SourceData_Scope3_Packaging[Product],Table_SourceData_Scope3_Packaging[Emissions intensity])</f>
        <v>0</v>
      </c>
      <c r="H388" s="251" cm="1">
        <f t="array" ref="H388">Scope3_Equations.VEERG_15_8_1_1__1_EmissionsFromPurchasedPackaging(F388,G388)</f>
        <v>0</v>
      </c>
      <c r="I388" s="74"/>
      <c r="J388" s="251" cm="1">
        <f t="array" ref="J388">Scope3_Equations.VEERG_15_8_1_1__1_EmissionsFromPurchasedPackaging(F388,IF(I388,I388,G388))</f>
        <v>0</v>
      </c>
      <c r="K388" s="33"/>
      <c r="L388" s="13"/>
      <c r="M388" s="33"/>
    </row>
    <row r="389" spans="1:41" ht="20.100000000000001" customHeight="1" x14ac:dyDescent="0.2">
      <c r="D389" s="15"/>
      <c r="E389" s="15"/>
      <c r="F389" s="15"/>
      <c r="G389" s="15" cm="1">
        <f t="array" ref="G389">Common_InputFunctions.Utility_LookupValueInTableNumber(E389,Table_SourceData_Scope3_Packaging[Product],Table_SourceData_Scope3_Packaging[Emissions intensity])</f>
        <v>0</v>
      </c>
      <c r="H389" s="251" cm="1">
        <f t="array" ref="H389">Scope3_Equations.VEERG_15_8_1_1__1_EmissionsFromPurchasedPackaging(F389,G389)</f>
        <v>0</v>
      </c>
      <c r="I389" s="74"/>
      <c r="J389" s="251" cm="1">
        <f t="array" ref="J389">Scope3_Equations.VEERG_15_8_1_1__1_EmissionsFromPurchasedPackaging(F389,IF(I389,I389,G389))</f>
        <v>0</v>
      </c>
      <c r="K389" s="33"/>
      <c r="L389" s="13"/>
      <c r="M389" s="33"/>
    </row>
    <row r="390" spans="1:41" ht="20.100000000000001" customHeight="1" x14ac:dyDescent="0.2">
      <c r="D390" s="15"/>
      <c r="E390" s="15"/>
      <c r="F390" s="15"/>
      <c r="G390" s="15" cm="1">
        <f t="array" ref="G390">Common_InputFunctions.Utility_LookupValueInTableNumber(E390,Table_SourceData_Scope3_Packaging[Product],Table_SourceData_Scope3_Packaging[Emissions intensity])</f>
        <v>0</v>
      </c>
      <c r="H390" s="251" cm="1">
        <f t="array" ref="H390">Scope3_Equations.VEERG_15_8_1_1__1_EmissionsFromPurchasedPackaging(F390,G390)</f>
        <v>0</v>
      </c>
      <c r="I390" s="74"/>
      <c r="J390" s="251" cm="1">
        <f t="array" ref="J390">Scope3_Equations.VEERG_15_8_1_1__1_EmissionsFromPurchasedPackaging(F390,IF(I390,I390,G390))</f>
        <v>0</v>
      </c>
      <c r="K390" s="33"/>
      <c r="L390" s="13"/>
      <c r="M390" s="33"/>
    </row>
    <row r="391" spans="1:41" ht="20.100000000000001" customHeight="1" x14ac:dyDescent="0.2">
      <c r="D391" s="15"/>
      <c r="E391" s="15"/>
      <c r="F391" s="15"/>
      <c r="G391" s="15" cm="1">
        <f t="array" ref="G391">Common_InputFunctions.Utility_LookupValueInTableNumber(E391,Table_SourceData_Scope3_Packaging[Product],Table_SourceData_Scope3_Packaging[Emissions intensity])</f>
        <v>0</v>
      </c>
      <c r="H391" s="251" cm="1">
        <f t="array" ref="H391">Scope3_Equations.VEERG_15_8_1_1__1_EmissionsFromPurchasedPackaging(F391,G391)</f>
        <v>0</v>
      </c>
      <c r="I391" s="74"/>
      <c r="J391" s="251" cm="1">
        <f t="array" ref="J391">Scope3_Equations.VEERG_15_8_1_1__1_EmissionsFromPurchasedPackaging(F391,IF(I391,I391,G391))</f>
        <v>0</v>
      </c>
      <c r="K391" s="33"/>
      <c r="L391" s="13"/>
      <c r="M391" s="33"/>
    </row>
    <row r="393" spans="1:41" ht="20.100000000000001" customHeight="1" x14ac:dyDescent="0.2">
      <c r="D393" s="253" t="s">
        <v>1041</v>
      </c>
      <c r="E393" s="86">
        <f>SUM(H382:H391)</f>
        <v>0</v>
      </c>
      <c r="F393" s="95" t="str">
        <f>$E$170</f>
        <v>t CO2e</v>
      </c>
    </row>
    <row r="394" spans="1:41" ht="20.100000000000001" customHeight="1" x14ac:dyDescent="0.2">
      <c r="D394" s="253" t="s">
        <v>1044</v>
      </c>
      <c r="E394" s="86">
        <f>SUM(J382:J391)</f>
        <v>0</v>
      </c>
      <c r="F394" s="95" t="str">
        <f>$E$170</f>
        <v>t CO2e</v>
      </c>
    </row>
    <row r="397" spans="1:41" ht="20.100000000000001" customHeight="1" x14ac:dyDescent="0.2">
      <c r="C397" s="83"/>
      <c r="D397" s="83"/>
      <c r="E397" s="83"/>
      <c r="F397" s="83"/>
      <c r="G397" s="83"/>
      <c r="H397" s="83"/>
      <c r="I397" s="83"/>
      <c r="J397" s="83"/>
      <c r="K397" s="83"/>
      <c r="L397" s="83"/>
      <c r="M397" s="83"/>
      <c r="N397" s="83"/>
      <c r="O397" s="83"/>
      <c r="P397" s="83"/>
      <c r="Q397" s="83"/>
      <c r="R397" s="83"/>
      <c r="S397" s="83"/>
      <c r="T397" s="83"/>
      <c r="U397" s="83"/>
      <c r="V397" s="83"/>
      <c r="W397" s="83"/>
      <c r="X397" s="83"/>
      <c r="Y397" s="83"/>
      <c r="Z397" s="83"/>
      <c r="AA397" s="83"/>
      <c r="AB397" s="83"/>
      <c r="AC397" s="83"/>
      <c r="AD397" s="83"/>
      <c r="AE397" s="83"/>
      <c r="AF397" s="83"/>
      <c r="AG397" s="83"/>
      <c r="AH397" s="83"/>
      <c r="AI397" s="83"/>
      <c r="AJ397" s="83"/>
      <c r="AK397" s="83"/>
      <c r="AL397" s="83"/>
      <c r="AM397" s="83"/>
      <c r="AN397" s="83"/>
      <c r="AO397" s="83"/>
    </row>
    <row r="398" spans="1:41" ht="20.100000000000001" customHeight="1" x14ac:dyDescent="0.2">
      <c r="A398" s="79" t="str">
        <f>HYPERLINK("#A1", "▲ Back to top")</f>
        <v>▲ Back to top</v>
      </c>
      <c r="D398" s="2" t="str" cm="1">
        <f t="array" ref="D398">Scope3_Equations.VEERG_15_9_1_1__1_EmissionsFromPurchasedGrowMedia_Title()</f>
        <v>Embedded emissions from use of grow media products</v>
      </c>
    </row>
    <row r="399" spans="1:41" ht="20.100000000000001" customHeight="1" x14ac:dyDescent="0.2">
      <c r="D399" s="17" t="str" cm="1">
        <f t="array" ref="D399">Scope3_Equations.VEERG_15_9_1_1__1_EmissionsFromPurchasedGrowMedia_Source()</f>
        <v>VEERG 2026: 15.9.1.1, Equation (1)</v>
      </c>
    </row>
    <row r="400" spans="1:41" ht="20.100000000000001" customHeight="1" x14ac:dyDescent="0.2">
      <c r="D400" s="112" t="s">
        <v>328</v>
      </c>
      <c r="E400" s="112" t="str" cm="1">
        <f t="array" aca="1" ref="E400" ca="1">Common_InputFunctions.Utility_DisplayFunctionName(J414)</f>
        <v>=Scope3_Equations.VEERG_15_9_1_1__1_EmissionsFromPurchasedGrowMedia</v>
      </c>
    </row>
    <row r="403" spans="4:14" ht="20.100000000000001" customHeight="1" x14ac:dyDescent="0.2">
      <c r="G403" s="112"/>
    </row>
    <row r="404" spans="4:14" ht="20.100000000000001" customHeight="1" x14ac:dyDescent="0.2">
      <c r="D404" s="75" t="s">
        <v>329</v>
      </c>
      <c r="E404" s="1" t="str" cm="1">
        <f t="array" ref="E404">Scope3_Equations.VEERG_15_9_1_1__1_EmissionsFromPurchasedGrowMedia_Variable()</f>
        <v>E</v>
      </c>
    </row>
    <row r="405" spans="4:14" ht="20.100000000000001" customHeight="1" x14ac:dyDescent="0.2">
      <c r="D405" s="75" t="s">
        <v>118</v>
      </c>
      <c r="E405" s="1" t="str" cm="1">
        <f t="array" ref="E405">Scope3_Equations.VEERG_15_9_1_1__1_EmissionsFromPurchasedGrowMedia_Unit()</f>
        <v>t CO2e</v>
      </c>
    </row>
    <row r="407" spans="4:14" ht="20.100000000000001" customHeight="1" x14ac:dyDescent="0.2">
      <c r="D407" s="113" t="str" cm="1">
        <f t="array" ref="D407:E409">_xlfn.CHOOSECOLS(Scope3_Equations.VEERG_15_9_1_1__1_EmissionsFromPurchasedGrowMedia_Arguments(),1,2)</f>
        <v>Q_g</v>
      </c>
      <c r="E407" s="113" t="str">
        <v>total quantity of grow media type g</v>
      </c>
      <c r="F407" s="113" t="str" cm="1">
        <f t="array" ref="F407:G409">_xlfn.CHOOSECOLS(Scope3_Equations.VEERG_15_9_1_1__1_EmissionsFromPurchasedGrowMedia_Arguments(),3,4)</f>
        <v>kg or m3</v>
      </c>
      <c r="G407" s="249" t="str">
        <v>Input</v>
      </c>
    </row>
    <row r="408" spans="4:14" ht="20.100000000000001" customHeight="1" x14ac:dyDescent="0.2">
      <c r="D408" s="113" t="str">
        <v>EF_g</v>
      </c>
      <c r="E408" s="113" t="str">
        <v>emission factor for grow media type g</v>
      </c>
      <c r="F408" s="113" t="str">
        <v>kg CO2e/kg or kg CO2e/m3</v>
      </c>
      <c r="G408" s="115" t="str">
        <v>Constant</v>
      </c>
    </row>
    <row r="409" spans="4:14" ht="20.100000000000001" customHeight="1" x14ac:dyDescent="0.2">
      <c r="D409" s="113" t="str">
        <v>g</v>
      </c>
      <c r="E409" s="113" t="str">
        <v>grow media type</v>
      </c>
      <c r="F409" s="113" t="str">
        <v/>
      </c>
      <c r="G409" s="249" t="str">
        <v>Input</v>
      </c>
    </row>
    <row r="411" spans="4:14" ht="20.100000000000001" customHeight="1" x14ac:dyDescent="0.2">
      <c r="D411" s="25" t="s">
        <v>1123</v>
      </c>
    </row>
    <row r="413" spans="4:14" ht="20.100000000000001" customHeight="1" x14ac:dyDescent="0.2">
      <c r="D413" s="78" t="s">
        <v>1133</v>
      </c>
      <c r="E413" s="78" t="s">
        <v>964</v>
      </c>
      <c r="F413" s="78" t="s">
        <v>595</v>
      </c>
      <c r="G413" s="120" t="s">
        <v>1124</v>
      </c>
      <c r="H413" s="120" t="s">
        <v>1125</v>
      </c>
      <c r="I413" s="78" t="s">
        <v>1126</v>
      </c>
      <c r="J413" s="120" t="s">
        <v>1127</v>
      </c>
      <c r="K413" s="120" t="s">
        <v>1128</v>
      </c>
      <c r="L413" s="78" t="s">
        <v>1045</v>
      </c>
      <c r="M413" s="78" t="s">
        <v>1046</v>
      </c>
      <c r="N413" s="78" t="s">
        <v>1047</v>
      </c>
    </row>
    <row r="414" spans="4:14" ht="20.100000000000001" customHeight="1" x14ac:dyDescent="0.2">
      <c r="D414" s="15"/>
      <c r="E414" s="15"/>
      <c r="F414" s="15"/>
      <c r="G414" s="15" t="s">
        <v>352</v>
      </c>
      <c r="H414" s="15" t="s">
        <v>352</v>
      </c>
      <c r="I414" s="74">
        <v>4</v>
      </c>
      <c r="J414" s="251" cm="1">
        <f t="array" ref="J414">Scope3_Equations.VEERG_15_9_1_1__1_EmissionsFromPurchasedGrowMedia(E414,I414)</f>
        <v>0</v>
      </c>
      <c r="K414" s="15" t="str">
        <f>"t CO2e / " &amp; F414</f>
        <v xml:space="preserve">t CO2e / </v>
      </c>
      <c r="L414" s="33"/>
      <c r="M414" s="13"/>
      <c r="N414" s="33"/>
    </row>
    <row r="415" spans="4:14" ht="20.100000000000001" customHeight="1" x14ac:dyDescent="0.2">
      <c r="D415" s="15"/>
      <c r="E415" s="15"/>
      <c r="F415" s="15"/>
      <c r="G415" s="15" t="s">
        <v>352</v>
      </c>
      <c r="H415" s="15" t="s">
        <v>352</v>
      </c>
      <c r="I415" s="74">
        <v>2</v>
      </c>
      <c r="J415" s="251" cm="1">
        <f t="array" ref="J415">Scope3_Equations.VEERG_15_9_1_1__1_EmissionsFromPurchasedGrowMedia(E415,I415)</f>
        <v>0</v>
      </c>
      <c r="K415" s="15" t="str">
        <f t="shared" ref="K415:K423" si="2">"t CO2e / " &amp; F415</f>
        <v xml:space="preserve">t CO2e / </v>
      </c>
      <c r="L415" s="33"/>
      <c r="M415" s="13"/>
      <c r="N415" s="33"/>
    </row>
    <row r="416" spans="4:14" ht="20.100000000000001" customHeight="1" x14ac:dyDescent="0.2">
      <c r="D416" s="15"/>
      <c r="E416" s="15"/>
      <c r="F416" s="15"/>
      <c r="G416" s="15" t="s">
        <v>352</v>
      </c>
      <c r="H416" s="15" t="s">
        <v>352</v>
      </c>
      <c r="I416" s="74"/>
      <c r="J416" s="251" cm="1">
        <f t="array" ref="J416">Scope3_Equations.VEERG_15_9_1_1__1_EmissionsFromPurchasedGrowMedia(E416,I416)</f>
        <v>0</v>
      </c>
      <c r="K416" s="15" t="str">
        <f t="shared" si="2"/>
        <v xml:space="preserve">t CO2e / </v>
      </c>
      <c r="L416" s="33"/>
      <c r="M416" s="13"/>
      <c r="N416" s="33"/>
    </row>
    <row r="417" spans="1:41" ht="20.100000000000001" customHeight="1" x14ac:dyDescent="0.2">
      <c r="D417" s="15"/>
      <c r="E417" s="15"/>
      <c r="F417" s="15"/>
      <c r="G417" s="15" t="s">
        <v>352</v>
      </c>
      <c r="H417" s="15" t="s">
        <v>352</v>
      </c>
      <c r="I417" s="74"/>
      <c r="J417" s="251" cm="1">
        <f t="array" ref="J417">Scope3_Equations.VEERG_15_9_1_1__1_EmissionsFromPurchasedGrowMedia(E417,I417)</f>
        <v>0</v>
      </c>
      <c r="K417" s="15" t="str">
        <f t="shared" si="2"/>
        <v xml:space="preserve">t CO2e / </v>
      </c>
      <c r="L417" s="33"/>
      <c r="M417" s="13"/>
      <c r="N417" s="33"/>
    </row>
    <row r="418" spans="1:41" ht="20.100000000000001" customHeight="1" x14ac:dyDescent="0.2">
      <c r="D418" s="15"/>
      <c r="E418" s="15"/>
      <c r="F418" s="15"/>
      <c r="G418" s="15" t="s">
        <v>352</v>
      </c>
      <c r="H418" s="15" t="s">
        <v>352</v>
      </c>
      <c r="I418" s="74"/>
      <c r="J418" s="251" cm="1">
        <f t="array" ref="J418">Scope3_Equations.VEERG_15_9_1_1__1_EmissionsFromPurchasedGrowMedia(E418,I418)</f>
        <v>0</v>
      </c>
      <c r="K418" s="15" t="str">
        <f t="shared" si="2"/>
        <v xml:space="preserve">t CO2e / </v>
      </c>
      <c r="L418" s="33"/>
      <c r="M418" s="13"/>
      <c r="N418" s="33"/>
    </row>
    <row r="419" spans="1:41" ht="20.100000000000001" customHeight="1" x14ac:dyDescent="0.2">
      <c r="D419" s="15"/>
      <c r="E419" s="15"/>
      <c r="F419" s="15"/>
      <c r="G419" s="15" t="s">
        <v>352</v>
      </c>
      <c r="H419" s="15" t="s">
        <v>352</v>
      </c>
      <c r="I419" s="74"/>
      <c r="J419" s="251" cm="1">
        <f t="array" ref="J419">Scope3_Equations.VEERG_15_9_1_1__1_EmissionsFromPurchasedGrowMedia(E419,I419)</f>
        <v>0</v>
      </c>
      <c r="K419" s="15" t="str">
        <f t="shared" si="2"/>
        <v xml:space="preserve">t CO2e / </v>
      </c>
      <c r="L419" s="33"/>
      <c r="M419" s="13"/>
      <c r="N419" s="33"/>
    </row>
    <row r="420" spans="1:41" ht="20.100000000000001" customHeight="1" x14ac:dyDescent="0.2">
      <c r="D420" s="15"/>
      <c r="E420" s="15"/>
      <c r="F420" s="15"/>
      <c r="G420" s="15" t="s">
        <v>352</v>
      </c>
      <c r="H420" s="15" t="s">
        <v>352</v>
      </c>
      <c r="I420" s="74"/>
      <c r="J420" s="251" cm="1">
        <f t="array" ref="J420">Scope3_Equations.VEERG_15_9_1_1__1_EmissionsFromPurchasedGrowMedia(E420,I420)</f>
        <v>0</v>
      </c>
      <c r="K420" s="15" t="str">
        <f t="shared" si="2"/>
        <v xml:space="preserve">t CO2e / </v>
      </c>
      <c r="L420" s="33"/>
      <c r="M420" s="13"/>
      <c r="N420" s="33"/>
    </row>
    <row r="421" spans="1:41" ht="20.100000000000001" customHeight="1" x14ac:dyDescent="0.2">
      <c r="D421" s="15"/>
      <c r="E421" s="15"/>
      <c r="F421" s="15"/>
      <c r="G421" s="15" t="s">
        <v>352</v>
      </c>
      <c r="H421" s="15" t="s">
        <v>352</v>
      </c>
      <c r="I421" s="74"/>
      <c r="J421" s="251" cm="1">
        <f t="array" ref="J421">Scope3_Equations.VEERG_15_9_1_1__1_EmissionsFromPurchasedGrowMedia(E421,I421)</f>
        <v>0</v>
      </c>
      <c r="K421" s="15" t="str">
        <f t="shared" si="2"/>
        <v xml:space="preserve">t CO2e / </v>
      </c>
      <c r="L421" s="33"/>
      <c r="M421" s="13"/>
      <c r="N421" s="33"/>
    </row>
    <row r="422" spans="1:41" ht="20.100000000000001" customHeight="1" x14ac:dyDescent="0.2">
      <c r="D422" s="15"/>
      <c r="E422" s="15"/>
      <c r="F422" s="15"/>
      <c r="G422" s="15" t="s">
        <v>352</v>
      </c>
      <c r="H422" s="15" t="s">
        <v>352</v>
      </c>
      <c r="I422" s="74"/>
      <c r="J422" s="251" cm="1">
        <f t="array" ref="J422">Scope3_Equations.VEERG_15_9_1_1__1_EmissionsFromPurchasedGrowMedia(E422,I422)</f>
        <v>0</v>
      </c>
      <c r="K422" s="15" t="str">
        <f t="shared" si="2"/>
        <v xml:space="preserve">t CO2e / </v>
      </c>
      <c r="L422" s="33"/>
      <c r="M422" s="13"/>
      <c r="N422" s="33"/>
    </row>
    <row r="423" spans="1:41" ht="20.100000000000001" customHeight="1" x14ac:dyDescent="0.2">
      <c r="D423" s="15"/>
      <c r="E423" s="15"/>
      <c r="F423" s="15"/>
      <c r="G423" s="15" t="s">
        <v>352</v>
      </c>
      <c r="H423" s="15" t="s">
        <v>352</v>
      </c>
      <c r="I423" s="74"/>
      <c r="J423" s="251" cm="1">
        <f t="array" ref="J423">Scope3_Equations.VEERG_15_9_1_1__1_EmissionsFromPurchasedGrowMedia(E423,I423)</f>
        <v>0</v>
      </c>
      <c r="K423" s="15" t="str">
        <f t="shared" si="2"/>
        <v xml:space="preserve">t CO2e / </v>
      </c>
      <c r="L423" s="33"/>
      <c r="M423" s="13"/>
      <c r="N423" s="33"/>
    </row>
    <row r="425" spans="1:41" ht="20.100000000000001" customHeight="1" x14ac:dyDescent="0.2">
      <c r="D425" s="253" t="s">
        <v>1041</v>
      </c>
      <c r="E425" s="86" t="s">
        <v>352</v>
      </c>
      <c r="F425" s="95" t="str">
        <f>$E$170</f>
        <v>t CO2e</v>
      </c>
    </row>
    <row r="426" spans="1:41" ht="20.100000000000001" customHeight="1" x14ac:dyDescent="0.2">
      <c r="D426" s="253" t="s">
        <v>1044</v>
      </c>
      <c r="E426" s="86">
        <f>SUM(J414:J423)</f>
        <v>0</v>
      </c>
      <c r="F426" s="95" t="str">
        <f>$E$170</f>
        <v>t CO2e</v>
      </c>
    </row>
    <row r="428" spans="1:41" ht="20.100000000000001" customHeight="1" x14ac:dyDescent="0.2">
      <c r="A428" s="79" t="str">
        <f>HYPERLINK("#A1", "▲ Back to top")</f>
        <v>▲ Back to top</v>
      </c>
    </row>
    <row r="429" spans="1:41" ht="20.100000000000001" customHeight="1" x14ac:dyDescent="0.2">
      <c r="C429" s="83"/>
      <c r="D429" s="83"/>
      <c r="E429" s="83"/>
      <c r="F429" s="83"/>
      <c r="G429" s="83"/>
      <c r="H429" s="83"/>
      <c r="I429" s="83"/>
      <c r="J429" s="83"/>
      <c r="K429" s="83"/>
      <c r="L429" s="83"/>
      <c r="M429" s="83"/>
      <c r="N429" s="83"/>
      <c r="O429" s="83"/>
      <c r="P429" s="83"/>
      <c r="Q429" s="83"/>
      <c r="R429" s="83"/>
      <c r="S429" s="83"/>
      <c r="T429" s="83"/>
      <c r="U429" s="83"/>
      <c r="V429" s="83"/>
      <c r="W429" s="83"/>
      <c r="X429" s="83"/>
      <c r="Y429" s="83"/>
      <c r="Z429" s="83"/>
      <c r="AA429" s="83"/>
      <c r="AB429" s="83"/>
      <c r="AC429" s="83"/>
      <c r="AD429" s="83"/>
      <c r="AE429" s="83"/>
      <c r="AF429" s="83"/>
      <c r="AG429" s="83"/>
      <c r="AH429" s="83"/>
      <c r="AI429" s="83"/>
      <c r="AJ429" s="83"/>
      <c r="AK429" s="83"/>
      <c r="AL429" s="83"/>
      <c r="AM429" s="83"/>
      <c r="AN429" s="83"/>
      <c r="AO429" s="83"/>
    </row>
    <row r="430" spans="1:41" ht="20.100000000000001" customHeight="1" x14ac:dyDescent="0.2">
      <c r="D430" s="2" t="str" cm="1">
        <f t="array" ref="D430">Scope3_Equations.VEERG_15_10_1_1__1_OtherPurchasedGoodsAndServices_Title()</f>
        <v>Other purchased goods and services generic estimate</v>
      </c>
    </row>
    <row r="431" spans="1:41" ht="20.100000000000001" customHeight="1" x14ac:dyDescent="0.2">
      <c r="D431" s="17" t="str" cm="1">
        <f t="array" ref="D431">Scope3_Equations.VEERG_15_10_1_1__1_OtherPurchasedGoodsAndServices_Source()</f>
        <v>VEERG 2026: 15.10, generic placeholder equation</v>
      </c>
    </row>
    <row r="432" spans="1:41" ht="20.100000000000001" customHeight="1" x14ac:dyDescent="0.2">
      <c r="D432" s="25" t="s">
        <v>1134</v>
      </c>
    </row>
    <row r="433" spans="4:13" ht="20.100000000000001" customHeight="1" x14ac:dyDescent="0.2">
      <c r="D433" s="112" t="s">
        <v>328</v>
      </c>
      <c r="E433" s="112" t="str" cm="1">
        <f t="array" aca="1" ref="E433" ca="1">Common_InputFunctions.Utility_DisplayFunctionName(H445)</f>
        <v>=Scope3_Equations.VEERG_15_10_1_1__1_OtherPurchasedGoodsAndServices</v>
      </c>
    </row>
    <row r="436" spans="4:13" ht="20.100000000000001" customHeight="1" x14ac:dyDescent="0.2">
      <c r="D436" s="75" t="s">
        <v>329</v>
      </c>
      <c r="E436" s="1" t="str" cm="1">
        <f t="array" ref="E436">Scope3_Equations.VEERG_15_10_1_1__1_OtherPurchasedGoodsAndServices_Variable()</f>
        <v>emissions</v>
      </c>
    </row>
    <row r="437" spans="4:13" ht="20.100000000000001" customHeight="1" x14ac:dyDescent="0.2">
      <c r="D437" s="75" t="s">
        <v>118</v>
      </c>
      <c r="E437" s="9" t="str" cm="1">
        <f t="array" ref="E437">Scope3_Equations.VEERG_15_10_1_1__1_OtherPurchasedGoodsAndServices_Unit()</f>
        <v>t CO2e</v>
      </c>
    </row>
    <row r="439" spans="4:13" ht="20.100000000000001" customHeight="1" x14ac:dyDescent="0.2">
      <c r="D439" s="113" t="str" cm="1">
        <f t="array" ref="D439:E440">_xlfn.CHOOSECOLS(Scope3_Equations.VEERG_15_10_1_1__1_OtherPurchasedGoodsAndServices_Arguments(),1,2)</f>
        <v>activity_data</v>
      </c>
      <c r="E439" s="122" t="str">
        <v>measured activity for the purchased good or service</v>
      </c>
      <c r="F439" s="123"/>
      <c r="G439" s="113" t="str" cm="1">
        <f t="array" ref="G439:H440">_xlfn.CHOOSECOLS(Scope3_Equations.VEERG_15_10_1_1__1_OtherPurchasedGoodsAndServices_Arguments(),3,4)</f>
        <v>varies</v>
      </c>
      <c r="H439" s="249" t="str">
        <v>Input</v>
      </c>
    </row>
    <row r="440" spans="4:13" ht="20.100000000000001" customHeight="1" x14ac:dyDescent="0.2">
      <c r="D440" s="113" t="str">
        <v>emission_factor</v>
      </c>
      <c r="E440" s="122" t="str">
        <v>lifecycle emissions per unit of activity</v>
      </c>
      <c r="F440" s="123"/>
      <c r="G440" s="113" t="str">
        <v>varies</v>
      </c>
      <c r="H440" s="115" t="str">
        <v>Constant</v>
      </c>
    </row>
    <row r="442" spans="4:13" ht="20.100000000000001" customHeight="1" x14ac:dyDescent="0.2">
      <c r="D442" s="244" t="s">
        <v>1135</v>
      </c>
    </row>
    <row r="444" spans="4:13" ht="20.100000000000001" customHeight="1" x14ac:dyDescent="0.2">
      <c r="D444" s="78" t="s">
        <v>1035</v>
      </c>
      <c r="E444" s="250" t="s">
        <v>1136</v>
      </c>
      <c r="F444" s="250" t="s">
        <v>1137</v>
      </c>
      <c r="G444" s="120" t="s">
        <v>119</v>
      </c>
      <c r="H444" s="120" t="s">
        <v>1041</v>
      </c>
      <c r="I444" s="78" t="s">
        <v>120</v>
      </c>
      <c r="J444" s="120" t="s">
        <v>1044</v>
      </c>
      <c r="K444" s="78" t="s">
        <v>1045</v>
      </c>
      <c r="L444" s="78" t="s">
        <v>1046</v>
      </c>
      <c r="M444" s="78" t="s">
        <v>1047</v>
      </c>
    </row>
    <row r="445" spans="4:13" ht="20.100000000000001" customHeight="1" x14ac:dyDescent="0.2">
      <c r="D445" s="15" t="str" cm="1">
        <f t="array" ref="D445:D454">IFERROR(INDEX(Table_Input_ChemicalsCleaning[Product name], _xlfn.SEQUENCE(10)), "")</f>
        <v>Acid kleen</v>
      </c>
      <c r="E445" s="15" t="str" cm="1">
        <f t="array" ref="E445:E454">IFERROR(INDEX(Table_Input_ChemicalsCleaning[Type (select)], _xlfn.SEQUENCE(10)), "")</f>
        <v>Phosphoric acid</v>
      </c>
      <c r="F445" s="15" cm="1">
        <f t="array" ref="F445:F454">IFERROR(INDEX(Table_Input_ChemicalsCleaning[Quantity purchased (kg)], _xlfn.SEQUENCE(10)), "")</f>
        <v>100</v>
      </c>
      <c r="G445" s="15" cm="1">
        <f t="array" ref="G445">Common_InputFunctions.Utility_LookupValueInTableNumber(E445,Table_SourceData_Scope3_ChemicalsCleaning[Product],Table_SourceData_Scope3_ChemicalsCleaning[Emissions intensity])</f>
        <v>0.90700000000000003</v>
      </c>
      <c r="H445" s="251" cm="1">
        <f t="array" ref="H445">Scope3_Equations.VEERG_15_10_1_1__1_OtherPurchasedGoodsAndServices(F445,G445*10^-3)</f>
        <v>9.0700000000000003E-2</v>
      </c>
      <c r="I445" s="74">
        <v>1.3</v>
      </c>
      <c r="J445" s="251" cm="1">
        <f t="array" ref="J445">Scope3_Equations.VEERG_15_10_1_1__1_OtherPurchasedGoodsAndServices(F445,IF(I445,I445,G445)*10^-3)</f>
        <v>0.13</v>
      </c>
      <c r="K445" s="33"/>
      <c r="L445" s="13"/>
      <c r="M445" s="33"/>
    </row>
    <row r="446" spans="4:13" ht="20.100000000000001" customHeight="1" x14ac:dyDescent="0.2">
      <c r="D446" s="15" t="str">
        <v>Kleen alk</v>
      </c>
      <c r="E446" s="15" t="str">
        <v>Alkaline cleaner</v>
      </c>
      <c r="F446" s="15">
        <v>100</v>
      </c>
      <c r="G446" s="15" cm="1">
        <f t="array" ref="G446">Common_InputFunctions.Utility_LookupValueInTableNumber(E446,Table_SourceData_Scope3_ChemicalsCleaning[Product],Table_SourceData_Scope3_ChemicalsCleaning[Emissions intensity])</f>
        <v>0.72199999999999998</v>
      </c>
      <c r="H446" s="251" cm="1">
        <f t="array" ref="H446">Scope3_Equations.VEERG_15_10_1_1__1_OtherPurchasedGoodsAndServices(F446,G446*10^-3)</f>
        <v>7.22E-2</v>
      </c>
      <c r="I446" s="74">
        <v>8</v>
      </c>
      <c r="J446" s="251" cm="1">
        <f t="array" ref="J446">Scope3_Equations.VEERG_15_10_1_1__1_OtherPurchasedGoodsAndServices(F446,IF(I446,I446,G446)*10^-3)</f>
        <v>0.8</v>
      </c>
      <c r="K446" s="33"/>
      <c r="L446" s="13"/>
      <c r="M446" s="33"/>
    </row>
    <row r="447" spans="4:13" ht="20.100000000000001" customHeight="1" x14ac:dyDescent="0.2">
      <c r="D447" s="15" t="str">
        <v>White king</v>
      </c>
      <c r="E447" s="15" t="str">
        <v>Bleach</v>
      </c>
      <c r="F447" s="15">
        <v>100</v>
      </c>
      <c r="G447" s="15" cm="1">
        <f t="array" ref="G447">Common_InputFunctions.Utility_LookupValueInTableNumber(E447,Table_SourceData_Scope3_ChemicalsCleaning[Product],Table_SourceData_Scope3_ChemicalsCleaning[Emissions intensity])</f>
        <v>0.80400000000000005</v>
      </c>
      <c r="H447" s="251" cm="1">
        <f t="array" ref="H447">Scope3_Equations.VEERG_15_10_1_1__1_OtherPurchasedGoodsAndServices(F447,G447*10^-3)</f>
        <v>8.0399999999999999E-2</v>
      </c>
      <c r="I447" s="74">
        <v>4</v>
      </c>
      <c r="J447" s="251" cm="1">
        <f t="array" ref="J447">Scope3_Equations.VEERG_15_10_1_1__1_OtherPurchasedGoodsAndServices(F447,IF(I447,I447,G447)*10^-3)</f>
        <v>0.4</v>
      </c>
      <c r="K447" s="33"/>
      <c r="L447" s="13"/>
      <c r="M447" s="33"/>
    </row>
    <row r="448" spans="4:13" ht="20.100000000000001" customHeight="1" x14ac:dyDescent="0.2">
      <c r="D448" s="15" t="str">
        <v>White king</v>
      </c>
      <c r="E448" s="15" t="str">
        <v>Bleach</v>
      </c>
      <c r="F448" s="15">
        <v>100</v>
      </c>
      <c r="G448" s="15" cm="1">
        <f t="array" ref="G448">Common_InputFunctions.Utility_LookupValueInTableNumber(E448,Table_SourceData_Scope3_ChemicalsCleaning[Product],Table_SourceData_Scope3_ChemicalsCleaning[Emissions intensity])</f>
        <v>0.80400000000000005</v>
      </c>
      <c r="H448" s="251" cm="1">
        <f t="array" ref="H448">Scope3_Equations.VEERG_15_10_1_1__1_OtherPurchasedGoodsAndServices(F448,G448*10^-3)</f>
        <v>8.0399999999999999E-2</v>
      </c>
      <c r="I448" s="74">
        <v>3</v>
      </c>
      <c r="J448" s="251" cm="1">
        <f t="array" ref="J448">Scope3_Equations.VEERG_15_10_1_1__1_OtherPurchasedGoodsAndServices(F448,IF(I448,I448,G448)*10^-3)</f>
        <v>0.3</v>
      </c>
      <c r="K448" s="33"/>
      <c r="L448" s="13"/>
      <c r="M448" s="33"/>
    </row>
    <row r="449" spans="1:13" ht="20.100000000000001" customHeight="1" x14ac:dyDescent="0.2">
      <c r="D449" s="15" t="str">
        <v>Acid kleen</v>
      </c>
      <c r="E449" s="15" t="str">
        <v>Phosphoric acid</v>
      </c>
      <c r="F449" s="15">
        <v>100</v>
      </c>
      <c r="G449" s="15" cm="1">
        <f t="array" ref="G449">Common_InputFunctions.Utility_LookupValueInTableNumber(E449,Table_SourceData_Scope3_ChemicalsCleaning[Product],Table_SourceData_Scope3_ChemicalsCleaning[Emissions intensity])</f>
        <v>0.90700000000000003</v>
      </c>
      <c r="H449" s="251" cm="1">
        <f t="array" ref="H449">Scope3_Equations.VEERG_15_10_1_1__1_OtherPurchasedGoodsAndServices(F449,G449*10^-3)</f>
        <v>9.0700000000000003E-2</v>
      </c>
      <c r="I449" s="74">
        <v>6</v>
      </c>
      <c r="J449" s="251" cm="1">
        <f t="array" ref="J449">Scope3_Equations.VEERG_15_10_1_1__1_OtherPurchasedGoodsAndServices(F449,IF(I449,I449,G449)*10^-3)</f>
        <v>0.6</v>
      </c>
      <c r="K449" s="33"/>
      <c r="L449" s="13"/>
      <c r="M449" s="33"/>
    </row>
    <row r="450" spans="1:13" ht="20.100000000000001" customHeight="1" x14ac:dyDescent="0.2">
      <c r="D450" s="15" t="str">
        <v>Acid kleen</v>
      </c>
      <c r="E450" s="15" t="str">
        <v>Phosphoric acid</v>
      </c>
      <c r="F450" s="15">
        <v>100</v>
      </c>
      <c r="G450" s="15" cm="1">
        <f t="array" ref="G450">Common_InputFunctions.Utility_LookupValueInTableNumber(E450,Table_SourceData_Scope3_ChemicalsCleaning[Product],Table_SourceData_Scope3_ChemicalsCleaning[Emissions intensity])</f>
        <v>0.90700000000000003</v>
      </c>
      <c r="H450" s="251" cm="1">
        <f t="array" ref="H450">Scope3_Equations.VEERG_15_10_1_1__1_OtherPurchasedGoodsAndServices(F450,G450*10^-3)</f>
        <v>9.0700000000000003E-2</v>
      </c>
      <c r="I450" s="74">
        <v>5</v>
      </c>
      <c r="J450" s="251" cm="1">
        <f t="array" ref="J450">Scope3_Equations.VEERG_15_10_1_1__1_OtherPurchasedGoodsAndServices(F450,IF(I450,I450,G450)*10^-3)</f>
        <v>0.5</v>
      </c>
      <c r="K450" s="33"/>
      <c r="L450" s="13"/>
      <c r="M450" s="33"/>
    </row>
    <row r="451" spans="1:13" ht="20.100000000000001" customHeight="1" x14ac:dyDescent="0.2">
      <c r="D451" s="15">
        <v>0</v>
      </c>
      <c r="E451" s="15">
        <v>0</v>
      </c>
      <c r="F451" s="15">
        <v>0</v>
      </c>
      <c r="G451" s="15" cm="1">
        <f t="array" ref="G451">Common_InputFunctions.Utility_LookupValueInTableNumber(E451,Table_SourceData_Scope3_ChemicalsCleaning[Product],Table_SourceData_Scope3_ChemicalsCleaning[Emissions intensity])</f>
        <v>0</v>
      </c>
      <c r="H451" s="251" cm="1">
        <f t="array" ref="H451">Scope3_Equations.VEERG_15_10_1_1__1_OtherPurchasedGoodsAndServices(F451,G451*10^-3)</f>
        <v>0</v>
      </c>
      <c r="I451" s="74"/>
      <c r="J451" s="251" cm="1">
        <f t="array" ref="J451">Scope3_Equations.VEERG_15_10_1_1__1_OtherPurchasedGoodsAndServices(F451,IF(I451,I451,G451)*10^-3)</f>
        <v>0</v>
      </c>
      <c r="K451" s="33"/>
      <c r="L451" s="13"/>
      <c r="M451" s="33"/>
    </row>
    <row r="452" spans="1:13" ht="20.100000000000001" customHeight="1" x14ac:dyDescent="0.2">
      <c r="D452" s="15">
        <v>0</v>
      </c>
      <c r="E452" s="15">
        <v>0</v>
      </c>
      <c r="F452" s="15">
        <v>0</v>
      </c>
      <c r="G452" s="15" cm="1">
        <f t="array" ref="G452">Common_InputFunctions.Utility_LookupValueInTableNumber(E452,Table_SourceData_Scope3_ChemicalsCleaning[Product],Table_SourceData_Scope3_ChemicalsCleaning[Emissions intensity])</f>
        <v>0</v>
      </c>
      <c r="H452" s="251" cm="1">
        <f t="array" ref="H452">Scope3_Equations.VEERG_15_10_1_1__1_OtherPurchasedGoodsAndServices(F452,G452*10^-3)</f>
        <v>0</v>
      </c>
      <c r="I452" s="74"/>
      <c r="J452" s="251" cm="1">
        <f t="array" ref="J452">Scope3_Equations.VEERG_15_10_1_1__1_OtherPurchasedGoodsAndServices(F452,IF(I452,I452,G452)*10^-3)</f>
        <v>0</v>
      </c>
      <c r="K452" s="33"/>
      <c r="L452" s="13"/>
      <c r="M452" s="33"/>
    </row>
    <row r="453" spans="1:13" ht="20.100000000000001" customHeight="1" x14ac:dyDescent="0.2">
      <c r="D453" s="15">
        <v>0</v>
      </c>
      <c r="E453" s="15">
        <v>0</v>
      </c>
      <c r="F453" s="15">
        <v>0</v>
      </c>
      <c r="G453" s="15" cm="1">
        <f t="array" ref="G453">Common_InputFunctions.Utility_LookupValueInTableNumber(E453,Table_SourceData_Scope3_ChemicalsCleaning[Product],Table_SourceData_Scope3_ChemicalsCleaning[Emissions intensity])</f>
        <v>0</v>
      </c>
      <c r="H453" s="251" cm="1">
        <f t="array" ref="H453">Scope3_Equations.VEERG_15_10_1_1__1_OtherPurchasedGoodsAndServices(F453,G453*10^-3)</f>
        <v>0</v>
      </c>
      <c r="I453" s="74"/>
      <c r="J453" s="251" cm="1">
        <f t="array" ref="J453">Scope3_Equations.VEERG_15_10_1_1__1_OtherPurchasedGoodsAndServices(F453,IF(I453,I453,G453)*10^-3)</f>
        <v>0</v>
      </c>
      <c r="K453" s="33"/>
      <c r="L453" s="13"/>
      <c r="M453" s="33"/>
    </row>
    <row r="454" spans="1:13" ht="20.100000000000001" customHeight="1" x14ac:dyDescent="0.2">
      <c r="D454" s="15">
        <v>0</v>
      </c>
      <c r="E454" s="15">
        <v>0</v>
      </c>
      <c r="F454" s="15">
        <v>0</v>
      </c>
      <c r="G454" s="15" cm="1">
        <f t="array" ref="G454">Common_InputFunctions.Utility_LookupValueInTableNumber(E454,Table_SourceData_Scope3_ChemicalsCleaning[Product],Table_SourceData_Scope3_ChemicalsCleaning[Emissions intensity])</f>
        <v>0</v>
      </c>
      <c r="H454" s="251" cm="1">
        <f t="array" ref="H454">Scope3_Equations.VEERG_15_10_1_1__1_OtherPurchasedGoodsAndServices(F454,G454*10^-3)</f>
        <v>0</v>
      </c>
      <c r="I454" s="74"/>
      <c r="J454" s="251" cm="1">
        <f t="array" ref="J454">Scope3_Equations.VEERG_15_10_1_1__1_OtherPurchasedGoodsAndServices(F454,IF(I454,I454,G454)*10^-3)</f>
        <v>0</v>
      </c>
      <c r="K454" s="33"/>
      <c r="L454" s="13"/>
      <c r="M454" s="33"/>
    </row>
    <row r="456" spans="1:13" ht="20.100000000000001" customHeight="1" x14ac:dyDescent="0.2">
      <c r="D456" s="253" t="s">
        <v>1041</v>
      </c>
      <c r="E456" s="86">
        <f>SUM(H445:H454)</f>
        <v>0.50509999999999999</v>
      </c>
      <c r="F456" s="95" t="str">
        <f>$E$170</f>
        <v>t CO2e</v>
      </c>
    </row>
    <row r="457" spans="1:13" ht="20.100000000000001" customHeight="1" x14ac:dyDescent="0.2">
      <c r="D457" s="253" t="s">
        <v>1044</v>
      </c>
      <c r="E457" s="86">
        <f>SUM(J445:J454)</f>
        <v>2.73</v>
      </c>
      <c r="F457" s="95" t="str">
        <f>$E$170</f>
        <v>t CO2e</v>
      </c>
    </row>
    <row r="458" spans="1:13" ht="20.100000000000001" customHeight="1" x14ac:dyDescent="0.2">
      <c r="A458" s="79" t="str">
        <f>HYPERLINK("#A1", "▲ Back to top")</f>
        <v>▲ Back to top</v>
      </c>
    </row>
    <row r="460" spans="1:13" ht="20.100000000000001" customHeight="1" x14ac:dyDescent="0.2">
      <c r="D460" s="244" t="s">
        <v>1138</v>
      </c>
    </row>
    <row r="462" spans="1:13" ht="20.100000000000001" customHeight="1" x14ac:dyDescent="0.2">
      <c r="D462" s="78" t="s">
        <v>1035</v>
      </c>
      <c r="E462" s="250" t="s">
        <v>1136</v>
      </c>
      <c r="F462" s="250" t="s">
        <v>1000</v>
      </c>
      <c r="G462" s="120" t="s">
        <v>1139</v>
      </c>
      <c r="H462" s="120" t="s">
        <v>1041</v>
      </c>
      <c r="I462" s="78" t="s">
        <v>1140</v>
      </c>
      <c r="J462" s="120" t="s">
        <v>1044</v>
      </c>
      <c r="K462" s="78" t="s">
        <v>1045</v>
      </c>
      <c r="L462" s="78" t="s">
        <v>1046</v>
      </c>
      <c r="M462" s="78" t="s">
        <v>1047</v>
      </c>
    </row>
    <row r="463" spans="1:13" ht="20.100000000000001" customHeight="1" x14ac:dyDescent="0.2">
      <c r="D463" s="15" t="str" cm="1">
        <f t="array" ref="D463:D472">IFERROR(INDEX(Table_Input_ChemicalsPharmacy[Product name], _xlfn.SEQUENCE(10)), "")</f>
        <v>Cow bug off</v>
      </c>
      <c r="E463" s="15" t="str" cm="1">
        <f t="array" ref="E463:E472">IFERROR(INDEX(Table_Input_ChemicalsPharmacy[Type (select)], _xlfn.SEQUENCE(10)), "")</f>
        <v>Parasite control for cattle (external), dipping</v>
      </c>
      <c r="F463" s="15" cm="1">
        <f t="array" ref="F463:F472">IFERROR(INDEX(Table_Input_ChemicalsCleaning[Quantity purchased (kg)], _xlfn.SEQUENCE(10)), "")</f>
        <v>100</v>
      </c>
      <c r="G463" s="15" cm="1">
        <f t="array" ref="G463">Common_InputFunctions.Utility_LookupValueInTableNumber(E463,Table_SourceData_Scope3_ChemicalsPharmacy[Product],Table_SourceData_Scope3_ChemicalsPharmacy[Emissions intensity])</f>
        <v>5.4699999999999999E-2</v>
      </c>
      <c r="H463" s="251" cm="1">
        <f t="array" ref="H463">Scope3_Equations.VEERG_15_10_1_1__1_OtherPurchasedGoodsAndServices(F463,G463*10^-3)</f>
        <v>5.47E-3</v>
      </c>
      <c r="I463" s="74">
        <v>0.05</v>
      </c>
      <c r="J463" s="251" cm="1">
        <f t="array" ref="J463">Scope3_Equations.VEERG_15_10_1_1__1_OtherPurchasedGoodsAndServices(F463,IF(I463,I463,G463)*10^-3)</f>
        <v>5.0000000000000001E-3</v>
      </c>
      <c r="K463" s="33"/>
      <c r="L463" s="13"/>
      <c r="M463" s="33"/>
    </row>
    <row r="464" spans="1:13" ht="20.100000000000001" customHeight="1" x14ac:dyDescent="0.2">
      <c r="D464" s="15" t="str">
        <v>Cow worm-away</v>
      </c>
      <c r="E464" s="15" t="str">
        <v>Parasite control for cattle (internal)</v>
      </c>
      <c r="F464" s="15">
        <v>100</v>
      </c>
      <c r="G464" s="15" cm="1">
        <f t="array" ref="G464">Common_InputFunctions.Utility_LookupValueInTableNumber(E464,Table_SourceData_Scope3_ChemicalsPharmacy[Product],Table_SourceData_Scope3_ChemicalsPharmacy[Emissions intensity])</f>
        <v>1.4200000000000001E-2</v>
      </c>
      <c r="H464" s="251" cm="1">
        <f t="array" ref="H464">Scope3_Equations.VEERG_15_10_1_1__1_OtherPurchasedGoodsAndServices(F464,G464*10^-3)</f>
        <v>1.42E-3</v>
      </c>
      <c r="I464" s="74">
        <v>0.01</v>
      </c>
      <c r="J464" s="251" cm="1">
        <f t="array" ref="J464">Scope3_Equations.VEERG_15_10_1_1__1_OtherPurchasedGoodsAndServices(F464,IF(I464,I464,G464)*10^-3)</f>
        <v>1E-3</v>
      </c>
      <c r="K464" s="33"/>
      <c r="L464" s="13"/>
      <c r="M464" s="33"/>
    </row>
    <row r="465" spans="4:13" ht="20.100000000000001" customHeight="1" x14ac:dyDescent="0.2">
      <c r="D465" s="15" t="str">
        <v>Sheep bug off</v>
      </c>
      <c r="E465" s="15" t="str">
        <v>Parasite control for sheep (external)</v>
      </c>
      <c r="F465" s="15">
        <v>100</v>
      </c>
      <c r="G465" s="15" cm="1">
        <f t="array" ref="G465">Common_InputFunctions.Utility_LookupValueInTableNumber(E465,Table_SourceData_Scope3_ChemicalsPharmacy[Product],Table_SourceData_Scope3_ChemicalsPharmacy[Emissions intensity])</f>
        <v>1.43E-2</v>
      </c>
      <c r="H465" s="251" cm="1">
        <f t="array" ref="H465">Scope3_Equations.VEERG_15_10_1_1__1_OtherPurchasedGoodsAndServices(F465,G465*10^-3)</f>
        <v>1.4300000000000001E-3</v>
      </c>
      <c r="I465" s="74">
        <v>0.01</v>
      </c>
      <c r="J465" s="251" cm="1">
        <f t="array" ref="J465">Scope3_Equations.VEERG_15_10_1_1__1_OtherPurchasedGoodsAndServices(F465,IF(I465,I465,G465)*10^-3)</f>
        <v>1E-3</v>
      </c>
      <c r="K465" s="33"/>
      <c r="L465" s="13"/>
      <c r="M465" s="33"/>
    </row>
    <row r="466" spans="4:13" ht="20.100000000000001" customHeight="1" x14ac:dyDescent="0.2">
      <c r="D466" s="15" t="str">
        <v>Sheep worm-away</v>
      </c>
      <c r="E466" s="15" t="str">
        <v>Parasite control for sheep (internal)</v>
      </c>
      <c r="F466" s="15">
        <v>100</v>
      </c>
      <c r="G466" s="15" cm="1">
        <f t="array" ref="G466">Common_InputFunctions.Utility_LookupValueInTableNumber(E466,Table_SourceData_Scope3_ChemicalsPharmacy[Product],Table_SourceData_Scope3_ChemicalsPharmacy[Emissions intensity])</f>
        <v>4.2599999999999999E-3</v>
      </c>
      <c r="H466" s="251" cm="1">
        <f t="array" ref="H466">Scope3_Equations.VEERG_15_10_1_1__1_OtherPurchasedGoodsAndServices(F466,G466*10^-3)</f>
        <v>4.26E-4</v>
      </c>
      <c r="I466" s="74">
        <v>4.0000000000000001E-3</v>
      </c>
      <c r="J466" s="251" cm="1">
        <f t="array" ref="J466">Scope3_Equations.VEERG_15_10_1_1__1_OtherPurchasedGoodsAndServices(F466,IF(I466,I466,G466)*10^-3)</f>
        <v>3.9999999999999996E-4</v>
      </c>
      <c r="K466" s="33"/>
      <c r="L466" s="13"/>
      <c r="M466" s="33"/>
    </row>
    <row r="467" spans="4:13" ht="20.100000000000001" customHeight="1" x14ac:dyDescent="0.2">
      <c r="D467" s="15" t="str">
        <v>Cow bug off</v>
      </c>
      <c r="E467" s="15" t="str">
        <v>Parasite control for cattle (external), dipping</v>
      </c>
      <c r="F467" s="15">
        <v>100</v>
      </c>
      <c r="G467" s="15" cm="1">
        <f t="array" ref="G467">Common_InputFunctions.Utility_LookupValueInTableNumber(E467,Table_SourceData_Scope3_ChemicalsPharmacy[Product],Table_SourceData_Scope3_ChemicalsPharmacy[Emissions intensity])</f>
        <v>5.4699999999999999E-2</v>
      </c>
      <c r="H467" s="251" cm="1">
        <f t="array" ref="H467">Scope3_Equations.VEERG_15_10_1_1__1_OtherPurchasedGoodsAndServices(F467,G467*10^-3)</f>
        <v>5.47E-3</v>
      </c>
      <c r="I467" s="74">
        <v>0.05</v>
      </c>
      <c r="J467" s="251" cm="1">
        <f t="array" ref="J467">Scope3_Equations.VEERG_15_10_1_1__1_OtherPurchasedGoodsAndServices(F467,IF(I467,I467,G467)*10^-3)</f>
        <v>5.0000000000000001E-3</v>
      </c>
      <c r="K467" s="33"/>
      <c r="L467" s="13"/>
      <c r="M467" s="33"/>
    </row>
    <row r="468" spans="4:13" ht="20.100000000000001" customHeight="1" x14ac:dyDescent="0.2">
      <c r="D468" s="15" t="str">
        <v>Cow worm-away</v>
      </c>
      <c r="E468" s="15" t="str">
        <v>Parasite control for cattle (internal)</v>
      </c>
      <c r="F468" s="15">
        <v>100</v>
      </c>
      <c r="G468" s="15" cm="1">
        <f t="array" ref="G468">Common_InputFunctions.Utility_LookupValueInTableNumber(E468,Table_SourceData_Scope3_ChemicalsPharmacy[Product],Table_SourceData_Scope3_ChemicalsPharmacy[Emissions intensity])</f>
        <v>1.4200000000000001E-2</v>
      </c>
      <c r="H468" s="251" cm="1">
        <f t="array" ref="H468">Scope3_Equations.VEERG_15_10_1_1__1_OtherPurchasedGoodsAndServices(F468,G468*10^-3)</f>
        <v>1.42E-3</v>
      </c>
      <c r="I468" s="74">
        <v>0.01</v>
      </c>
      <c r="J468" s="251" cm="1">
        <f t="array" ref="J468">Scope3_Equations.VEERG_15_10_1_1__1_OtherPurchasedGoodsAndServices(F468,IF(I468,I468,G468)*10^-3)</f>
        <v>1E-3</v>
      </c>
      <c r="K468" s="33"/>
      <c r="L468" s="13"/>
      <c r="M468" s="33"/>
    </row>
    <row r="469" spans="4:13" ht="20.100000000000001" customHeight="1" x14ac:dyDescent="0.2">
      <c r="D469" s="15">
        <v>0</v>
      </c>
      <c r="E469" s="15">
        <v>0</v>
      </c>
      <c r="F469" s="15">
        <v>0</v>
      </c>
      <c r="G469" s="15" cm="1">
        <f t="array" ref="G469">Common_InputFunctions.Utility_LookupValueInTableNumber(E469,Table_SourceData_Scope3_ChemicalsPharmacy[Product],Table_SourceData_Scope3_ChemicalsPharmacy[Emissions intensity])</f>
        <v>0</v>
      </c>
      <c r="H469" s="251" cm="1">
        <f t="array" ref="H469">Scope3_Equations.VEERG_15_10_1_1__1_OtherPurchasedGoodsAndServices(F469,G469*10^-3)</f>
        <v>0</v>
      </c>
      <c r="I469" s="74"/>
      <c r="J469" s="251" cm="1">
        <f t="array" ref="J469">Scope3_Equations.VEERG_15_10_1_1__1_OtherPurchasedGoodsAndServices(F469,IF(I469,I469,G469)*10^-3)</f>
        <v>0</v>
      </c>
      <c r="K469" s="33"/>
      <c r="L469" s="13"/>
      <c r="M469" s="33"/>
    </row>
    <row r="470" spans="4:13" ht="20.100000000000001" customHeight="1" x14ac:dyDescent="0.2">
      <c r="D470" s="15">
        <v>0</v>
      </c>
      <c r="E470" s="15">
        <v>0</v>
      </c>
      <c r="F470" s="15">
        <v>0</v>
      </c>
      <c r="G470" s="15" cm="1">
        <f t="array" ref="G470">Common_InputFunctions.Utility_LookupValueInTableNumber(E470,Table_SourceData_Scope3_ChemicalsPharmacy[Product],Table_SourceData_Scope3_ChemicalsPharmacy[Emissions intensity])</f>
        <v>0</v>
      </c>
      <c r="H470" s="251" cm="1">
        <f t="array" ref="H470">Scope3_Equations.VEERG_15_10_1_1__1_OtherPurchasedGoodsAndServices(F470,G470*10^-3)</f>
        <v>0</v>
      </c>
      <c r="I470" s="74"/>
      <c r="J470" s="251" cm="1">
        <f t="array" ref="J470">Scope3_Equations.VEERG_15_10_1_1__1_OtherPurchasedGoodsAndServices(F470,IF(I470,I470,G470)*10^-3)</f>
        <v>0</v>
      </c>
      <c r="K470" s="33"/>
      <c r="L470" s="13"/>
      <c r="M470" s="33"/>
    </row>
    <row r="471" spans="4:13" ht="20.100000000000001" customHeight="1" x14ac:dyDescent="0.2">
      <c r="D471" s="15">
        <v>0</v>
      </c>
      <c r="E471" s="15">
        <v>0</v>
      </c>
      <c r="F471" s="15">
        <v>0</v>
      </c>
      <c r="G471" s="15" cm="1">
        <f t="array" ref="G471">Common_InputFunctions.Utility_LookupValueInTableNumber(E471,Table_SourceData_Scope3_ChemicalsPharmacy[Product],Table_SourceData_Scope3_ChemicalsPharmacy[Emissions intensity])</f>
        <v>0</v>
      </c>
      <c r="H471" s="251" cm="1">
        <f t="array" ref="H471">Scope3_Equations.VEERG_15_10_1_1__1_OtherPurchasedGoodsAndServices(F471,G471*10^-3)</f>
        <v>0</v>
      </c>
      <c r="I471" s="74"/>
      <c r="J471" s="251" cm="1">
        <f t="array" ref="J471">Scope3_Equations.VEERG_15_10_1_1__1_OtherPurchasedGoodsAndServices(F471,IF(I471,I471,G471)*10^-3)</f>
        <v>0</v>
      </c>
      <c r="K471" s="33"/>
      <c r="L471" s="13"/>
      <c r="M471" s="33"/>
    </row>
    <row r="472" spans="4:13" ht="20.100000000000001" customHeight="1" x14ac:dyDescent="0.2">
      <c r="D472" s="15">
        <v>0</v>
      </c>
      <c r="E472" s="15">
        <v>0</v>
      </c>
      <c r="F472" s="15">
        <v>0</v>
      </c>
      <c r="G472" s="15" cm="1">
        <f t="array" ref="G472">Common_InputFunctions.Utility_LookupValueInTableNumber(E472,Table_SourceData_Scope3_ChemicalsPharmacy[Product],Table_SourceData_Scope3_ChemicalsPharmacy[Emissions intensity])</f>
        <v>0</v>
      </c>
      <c r="H472" s="251" cm="1">
        <f t="array" ref="H472">Scope3_Equations.VEERG_15_10_1_1__1_OtherPurchasedGoodsAndServices(F472,G472*10^-3)</f>
        <v>0</v>
      </c>
      <c r="I472" s="74"/>
      <c r="J472" s="251" cm="1">
        <f t="array" ref="J472">Scope3_Equations.VEERG_15_10_1_1__1_OtherPurchasedGoodsAndServices(F472,IF(I472,I472,G472)*10^-3)</f>
        <v>0</v>
      </c>
      <c r="K472" s="33"/>
      <c r="L472" s="13"/>
      <c r="M472" s="33"/>
    </row>
    <row r="474" spans="4:13" ht="20.100000000000001" customHeight="1" x14ac:dyDescent="0.2">
      <c r="D474" s="253" t="s">
        <v>1041</v>
      </c>
      <c r="E474" s="86">
        <f>SUM(H463:H472)</f>
        <v>1.5636000000000001E-2</v>
      </c>
      <c r="F474" s="95" t="str">
        <f>$E$170</f>
        <v>t CO2e</v>
      </c>
    </row>
    <row r="475" spans="4:13" ht="20.100000000000001" customHeight="1" x14ac:dyDescent="0.2">
      <c r="D475" s="253" t="s">
        <v>1044</v>
      </c>
      <c r="E475" s="86">
        <f>SUM(J463:J472)</f>
        <v>1.3400000000000002E-2</v>
      </c>
      <c r="F475" s="95" t="str">
        <f>$E$170</f>
        <v>t CO2e</v>
      </c>
    </row>
    <row r="478" spans="4:13" ht="20.100000000000001" customHeight="1" x14ac:dyDescent="0.2">
      <c r="D478" s="244" t="s">
        <v>1141</v>
      </c>
    </row>
    <row r="480" spans="4:13" ht="20.100000000000001" customHeight="1" x14ac:dyDescent="0.2">
      <c r="D480" s="78" t="s">
        <v>952</v>
      </c>
      <c r="E480" s="78" t="s">
        <v>1142</v>
      </c>
      <c r="F480" s="120" t="s">
        <v>1139</v>
      </c>
      <c r="G480" s="120" t="s">
        <v>1041</v>
      </c>
      <c r="H480" s="78" t="s">
        <v>1140</v>
      </c>
      <c r="I480" s="120" t="s">
        <v>1044</v>
      </c>
      <c r="J480" s="78" t="s">
        <v>1045</v>
      </c>
      <c r="K480" s="78" t="s">
        <v>1046</v>
      </c>
      <c r="L480" s="78" t="s">
        <v>1047</v>
      </c>
    </row>
    <row r="481" spans="1:12" ht="20.100000000000001" customHeight="1" x14ac:dyDescent="0.2">
      <c r="D481" s="15"/>
      <c r="E481" s="15">
        <f>IFERROR(X_Cell_FarmInputs_Seed_BarleyGrain, 0)</f>
        <v>0</v>
      </c>
      <c r="F481" s="15" cm="1">
        <f t="array" ref="F481">Common_InputFunctions.Utility_LookupValueInTableNumber(D481,Table_SourceData_Scope3_Other[Product],Table_SourceData_Scope3_Other[Emissions intensity])</f>
        <v>0</v>
      </c>
      <c r="G481" s="251" cm="1">
        <f t="array" ref="G481">Scope3_Equations.VEERG_15_10_1_1__1_OtherPurchasedGoodsAndServices(E481,F481*10^-3)</f>
        <v>0</v>
      </c>
      <c r="H481" s="74">
        <v>0.2</v>
      </c>
      <c r="I481" s="251" cm="1">
        <f t="array" ref="I481">Scope3_Equations.VEERG_15_10_1_1__1_OtherPurchasedGoodsAndServices(E481,IF(H481,H481,F481)*10^-3)</f>
        <v>0</v>
      </c>
      <c r="J481" s="33"/>
      <c r="K481" s="13"/>
      <c r="L481" s="33"/>
    </row>
    <row r="482" spans="1:12" ht="20.100000000000001" customHeight="1" x14ac:dyDescent="0.2">
      <c r="D482" s="15"/>
      <c r="E482" s="15">
        <f>IFERROR(X_Cell_FarmInputs_Seed_MaizeGrain, 0)</f>
        <v>0</v>
      </c>
      <c r="F482" s="15" cm="1">
        <f t="array" ref="F482">Common_InputFunctions.Utility_LookupValueInTableNumber(D482,Table_SourceData_Scope3_Other[Product],Table_SourceData_Scope3_Other[Emissions intensity])</f>
        <v>0</v>
      </c>
      <c r="G482" s="251" cm="1">
        <f t="array" ref="G482">Scope3_Equations.VEERG_15_10_1_1__1_OtherPurchasedGoodsAndServices(E482,F482*10^-3)</f>
        <v>0</v>
      </c>
      <c r="H482" s="74"/>
      <c r="I482" s="251" cm="1">
        <f t="array" ref="I482">Scope3_Equations.VEERG_15_10_1_1__1_OtherPurchasedGoodsAndServices(E482,IF(H482,H482,F482)*10^-3)</f>
        <v>0</v>
      </c>
      <c r="J482" s="33"/>
      <c r="K482" s="13"/>
      <c r="L482" s="33"/>
    </row>
    <row r="483" spans="1:12" ht="20.100000000000001" customHeight="1" x14ac:dyDescent="0.2">
      <c r="D483" s="15"/>
      <c r="E483" s="15">
        <f>IFERROR(X_Cell_FarmInputs_Seed_OatGrain, 0)</f>
        <v>0</v>
      </c>
      <c r="F483" s="15" cm="1">
        <f t="array" ref="F483">Common_InputFunctions.Utility_LookupValueInTableNumber(D483,Table_SourceData_Scope3_Other[Product],Table_SourceData_Scope3_Other[Emissions intensity])</f>
        <v>0</v>
      </c>
      <c r="G483" s="251" cm="1">
        <f t="array" ref="G483">Scope3_Equations.VEERG_15_10_1_1__1_OtherPurchasedGoodsAndServices(E483,F483*10^-3)</f>
        <v>0</v>
      </c>
      <c r="H483" s="74">
        <v>0.2</v>
      </c>
      <c r="I483" s="251" cm="1">
        <f t="array" ref="I483">Scope3_Equations.VEERG_15_10_1_1__1_OtherPurchasedGoodsAndServices(E483,IF(H483,H483,F483)*10^-3)</f>
        <v>0</v>
      </c>
      <c r="J483" s="33"/>
      <c r="K483" s="13"/>
      <c r="L483" s="33"/>
    </row>
    <row r="484" spans="1:12" ht="20.100000000000001" customHeight="1" x14ac:dyDescent="0.2">
      <c r="D484" s="15"/>
      <c r="E484" s="15">
        <f>IFERROR(X_Cell_FarmInputs_Seed_SorghumGrain, 0)</f>
        <v>0</v>
      </c>
      <c r="F484" s="15" cm="1">
        <f t="array" ref="F484">Common_InputFunctions.Utility_LookupValueInTableNumber(D484,Table_SourceData_Scope3_Other[Product],Table_SourceData_Scope3_Other[Emissions intensity])</f>
        <v>0</v>
      </c>
      <c r="G484" s="251" cm="1">
        <f t="array" ref="G484">Scope3_Equations.VEERG_15_10_1_1__1_OtherPurchasedGoodsAndServices(E484,F484*10^-3)</f>
        <v>0</v>
      </c>
      <c r="H484" s="74"/>
      <c r="I484" s="251" cm="1">
        <f t="array" ref="I484">Scope3_Equations.VEERG_15_10_1_1__1_OtherPurchasedGoodsAndServices(E484,IF(H484,H484,F484)*10^-3)</f>
        <v>0</v>
      </c>
      <c r="J484" s="33"/>
      <c r="K484" s="13"/>
      <c r="L484" s="33"/>
    </row>
    <row r="485" spans="1:12" ht="20.100000000000001" customHeight="1" x14ac:dyDescent="0.2">
      <c r="D485" s="15"/>
      <c r="E485" s="15">
        <f>IFERROR(X_Cell_FarmInputs_Seed_WheatGrain, 0)</f>
        <v>0</v>
      </c>
      <c r="F485" s="15" cm="1">
        <f t="array" ref="F485">Common_InputFunctions.Utility_LookupValueInTableNumber(D485,Table_SourceData_Scope3_Other[Product],Table_SourceData_Scope3_Other[Emissions intensity])</f>
        <v>0</v>
      </c>
      <c r="G485" s="251" cm="1">
        <f t="array" ref="G485">Scope3_Equations.VEERG_15_10_1_1__1_OtherPurchasedGoodsAndServices(E485,F485*10^-3)</f>
        <v>0</v>
      </c>
      <c r="H485" s="74">
        <v>0.2</v>
      </c>
      <c r="I485" s="251" cm="1">
        <f t="array" ref="I485">Scope3_Equations.VEERG_15_10_1_1__1_OtherPurchasedGoodsAndServices(E485,IF(H485,H485,F485)*10^-3)</f>
        <v>0</v>
      </c>
      <c r="J485" s="33"/>
      <c r="K485" s="13"/>
      <c r="L485" s="33"/>
    </row>
    <row r="487" spans="1:12" ht="20.100000000000001" customHeight="1" x14ac:dyDescent="0.2">
      <c r="D487" s="253" t="s">
        <v>1041</v>
      </c>
      <c r="E487" s="86">
        <f>SUM(G481:G485)</f>
        <v>0</v>
      </c>
      <c r="F487" s="95" t="str">
        <f>$E$170</f>
        <v>t CO2e</v>
      </c>
    </row>
    <row r="488" spans="1:12" ht="20.100000000000001" customHeight="1" x14ac:dyDescent="0.2">
      <c r="A488" s="79" t="str">
        <f>HYPERLINK("#A1", "▲ Back to top")</f>
        <v>▲ Back to top</v>
      </c>
      <c r="D488" s="253" t="s">
        <v>1044</v>
      </c>
      <c r="E488" s="86">
        <f>SUM(I481:I485)</f>
        <v>0</v>
      </c>
      <c r="F488" s="95" t="str">
        <f>$E$170</f>
        <v>t CO2e</v>
      </c>
    </row>
    <row r="491" spans="1:12" ht="20.100000000000001" customHeight="1" x14ac:dyDescent="0.2">
      <c r="D491" s="244" t="s">
        <v>1143</v>
      </c>
    </row>
    <row r="493" spans="1:12" ht="20.100000000000001" customHeight="1" x14ac:dyDescent="0.2">
      <c r="D493" s="78" t="s">
        <v>952</v>
      </c>
      <c r="E493" s="78" t="s">
        <v>1142</v>
      </c>
      <c r="F493" s="120" t="s">
        <v>1139</v>
      </c>
      <c r="G493" s="120" t="s">
        <v>1041</v>
      </c>
      <c r="H493" s="78" t="s">
        <v>1140</v>
      </c>
      <c r="I493" s="120" t="s">
        <v>1044</v>
      </c>
      <c r="J493" s="78" t="s">
        <v>1045</v>
      </c>
      <c r="K493" s="78" t="s">
        <v>1046</v>
      </c>
      <c r="L493" s="78" t="s">
        <v>1047</v>
      </c>
    </row>
    <row r="494" spans="1:12" ht="20.100000000000001" customHeight="1" x14ac:dyDescent="0.2">
      <c r="D494" s="15" t="str">
        <f>'Input - Livestock farm Inputs'!D47</f>
        <v>Animal ear tags (large)</v>
      </c>
      <c r="E494" s="15">
        <f>IFERROR(X_Cell_FarmInputs_Misc_AnimalEarTagsLarge, 0)</f>
        <v>100</v>
      </c>
      <c r="F494" s="15" cm="1">
        <f t="array" ref="F494">Common_InputFunctions.Utility_LookupValueInTableNumber(D494,Table_SourceData_Scope3_Other[Product],Table_SourceData_Scope3_Other[Emissions intensity])</f>
        <v>4.24E-2</v>
      </c>
      <c r="G494" s="251" cm="1">
        <f t="array" ref="G494">Scope3_Equations.VEERG_15_10_1_1__1_OtherPurchasedGoodsAndServices(E494,F494*10^-3)</f>
        <v>4.2399999999999998E-3</v>
      </c>
      <c r="H494" s="74">
        <v>0.2</v>
      </c>
      <c r="I494" s="251" cm="1">
        <f t="array" ref="I494">Scope3_Equations.VEERG_15_10_1_1__1_OtherPurchasedGoodsAndServices(E494,IF(H494,H494,F494)*10^-3)</f>
        <v>0.02</v>
      </c>
      <c r="J494" s="33"/>
      <c r="K494" s="13"/>
      <c r="L494" s="33"/>
    </row>
    <row r="495" spans="1:12" ht="20.100000000000001" customHeight="1" x14ac:dyDescent="0.2">
      <c r="D495" s="15" t="str">
        <f>'Input - Livestock farm Inputs'!D48</f>
        <v>Animal ear tags (small)</v>
      </c>
      <c r="E495" s="15">
        <f>IFERROR(X_Cell_FarmInputs_Misc_AnimalEarTagsSmall, 0)</f>
        <v>200</v>
      </c>
      <c r="F495" s="15" cm="1">
        <f t="array" ref="F495">Common_InputFunctions.Utility_LookupValueInTableNumber(D495,Table_SourceData_Scope3_Other[Product],Table_SourceData_Scope3_Other[Emissions intensity])</f>
        <v>2.93E-2</v>
      </c>
      <c r="G495" s="251" cm="1">
        <f t="array" ref="G495">Scope3_Equations.VEERG_15_10_1_1__1_OtherPurchasedGoodsAndServices(E495,F495*10^-3)</f>
        <v>5.8599999999999998E-3</v>
      </c>
      <c r="H495" s="74"/>
      <c r="I495" s="251" cm="1">
        <f t="array" ref="I495">Scope3_Equations.VEERG_15_10_1_1__1_OtherPurchasedGoodsAndServices(E495,IF(H495,H495,F495)*10^-3)</f>
        <v>5.8599999999999998E-3</v>
      </c>
      <c r="J495" s="33"/>
      <c r="K495" s="13"/>
      <c r="L495" s="33"/>
    </row>
    <row r="496" spans="1:12" ht="20.100000000000001" customHeight="1" x14ac:dyDescent="0.2">
      <c r="D496" s="15"/>
      <c r="E496" s="15">
        <f>IFERROR(X_Cell_FarmInputs_Misc_NylonNetting, 0)</f>
        <v>0</v>
      </c>
      <c r="F496" s="15" cm="1">
        <f t="array" ref="F496">Common_InputFunctions.Utility_LookupValueInTableNumber(D496,Table_SourceData_Scope3_Other[Product],Table_SourceData_Scope3_Other[Emissions intensity])</f>
        <v>0</v>
      </c>
      <c r="G496" s="251" cm="1">
        <f t="array" ref="G496">Scope3_Equations.VEERG_15_10_1_1__1_OtherPurchasedGoodsAndServices(E496,F496*10^-3)</f>
        <v>0</v>
      </c>
      <c r="H496" s="74">
        <v>0.2</v>
      </c>
      <c r="I496" s="251" cm="1">
        <f t="array" ref="I496">Scope3_Equations.VEERG_15_10_1_1__1_OtherPurchasedGoodsAndServices(E496,IF(H496,H496,F496)*10^-3)</f>
        <v>0</v>
      </c>
      <c r="J496" s="33"/>
      <c r="K496" s="13"/>
      <c r="L496" s="33"/>
    </row>
    <row r="498" spans="4:14" ht="20.100000000000001" customHeight="1" x14ac:dyDescent="0.2">
      <c r="D498" s="253" t="s">
        <v>1041</v>
      </c>
      <c r="E498" s="86">
        <f>SUM(G494:G496)</f>
        <v>1.01E-2</v>
      </c>
      <c r="F498" s="95" t="str">
        <f>$E$170</f>
        <v>t CO2e</v>
      </c>
    </row>
    <row r="499" spans="4:14" ht="20.100000000000001" customHeight="1" x14ac:dyDescent="0.2">
      <c r="D499" s="253" t="s">
        <v>1044</v>
      </c>
      <c r="E499" s="86">
        <f>SUM(I494:I496)</f>
        <v>2.5860000000000001E-2</v>
      </c>
      <c r="F499" s="95" t="str">
        <f>$E$170</f>
        <v>t CO2e</v>
      </c>
    </row>
    <row r="502" spans="4:14" ht="20.100000000000001" customHeight="1" x14ac:dyDescent="0.2">
      <c r="D502" s="244" t="s">
        <v>1144</v>
      </c>
    </row>
    <row r="504" spans="4:14" ht="20.100000000000001" customHeight="1" x14ac:dyDescent="0.2">
      <c r="D504" s="78" t="s">
        <v>952</v>
      </c>
      <c r="E504" s="78" t="s">
        <v>879</v>
      </c>
      <c r="F504" s="78" t="s">
        <v>595</v>
      </c>
      <c r="G504" s="120" t="s">
        <v>1124</v>
      </c>
      <c r="H504" s="120" t="s">
        <v>1125</v>
      </c>
      <c r="I504" s="78" t="s">
        <v>1126</v>
      </c>
      <c r="J504" s="78" t="s">
        <v>1145</v>
      </c>
      <c r="K504" s="120" t="s">
        <v>1127</v>
      </c>
      <c r="L504" s="78" t="s">
        <v>1045</v>
      </c>
      <c r="M504" s="78" t="s">
        <v>1046</v>
      </c>
      <c r="N504" s="78" t="s">
        <v>1047</v>
      </c>
    </row>
    <row r="505" spans="4:14" ht="20.100000000000001" customHeight="1" x14ac:dyDescent="0.2">
      <c r="D505" s="15" t="str" cm="1">
        <f t="array" ref="D505:D514">IFERROR(INDEX(Table_Input_UncategorisedProductsServices[Product / service name], _xlfn.SEQUENCE(10)), "")</f>
        <v>Something</v>
      </c>
      <c r="E505" s="15" cm="1">
        <f t="array" ref="E505:E514">IFERROR(INDEX(Table_Input_UncategorisedProductsServices[Amount], _xlfn.SEQUENCE(10)), "")</f>
        <v>1000</v>
      </c>
      <c r="F505" s="15" t="str" cm="1">
        <f t="array" ref="F505:F514">IFERROR(INDEX(Table_Input_UncategorisedProductsServices[Amount unit], _xlfn.SEQUENCE(10)), "")</f>
        <v>kg</v>
      </c>
      <c r="G505" s="15" t="s">
        <v>352</v>
      </c>
      <c r="H505" s="15" t="s">
        <v>352</v>
      </c>
      <c r="I505" s="74">
        <v>4</v>
      </c>
      <c r="J505" s="13" t="s">
        <v>1146</v>
      </c>
      <c r="K505" s="251" cm="1">
        <f t="array" ref="K505">Scope3_Equations.VEERG_15_10_1_1__1_OtherPurchasedGoodsAndServices(E505,IF(J505="kg / amount unit", I505*10^-3, I505))</f>
        <v>4000</v>
      </c>
      <c r="L505" s="33"/>
      <c r="M505" s="13"/>
      <c r="N505" s="33"/>
    </row>
    <row r="506" spans="4:14" ht="20.100000000000001" customHeight="1" x14ac:dyDescent="0.2">
      <c r="D506" s="15">
        <v>0</v>
      </c>
      <c r="E506" s="15">
        <v>0</v>
      </c>
      <c r="F506" s="15">
        <v>0</v>
      </c>
      <c r="G506" s="15" t="s">
        <v>352</v>
      </c>
      <c r="H506" s="15" t="s">
        <v>352</v>
      </c>
      <c r="I506" s="74">
        <v>2</v>
      </c>
      <c r="J506" s="13" t="s">
        <v>1146</v>
      </c>
      <c r="K506" s="251" cm="1">
        <f t="array" ref="K506">Scope3_Equations.VEERG_15_10_1_1__1_OtherPurchasedGoodsAndServices(E506,IF(J506="kg / amount unit", I506*10^-3, I506))</f>
        <v>0</v>
      </c>
      <c r="L506" s="33"/>
      <c r="M506" s="13"/>
      <c r="N506" s="33"/>
    </row>
    <row r="507" spans="4:14" ht="20.100000000000001" customHeight="1" x14ac:dyDescent="0.2">
      <c r="D507" s="15">
        <v>0</v>
      </c>
      <c r="E507" s="15">
        <v>0</v>
      </c>
      <c r="F507" s="15">
        <v>0</v>
      </c>
      <c r="G507" s="15" t="s">
        <v>352</v>
      </c>
      <c r="H507" s="15" t="s">
        <v>352</v>
      </c>
      <c r="I507" s="74"/>
      <c r="J507" s="13"/>
      <c r="K507" s="251" cm="1">
        <f t="array" ref="K507">Scope3_Equations.VEERG_15_10_1_1__1_OtherPurchasedGoodsAndServices(E507,IF(J507="kg / amount unit", I507*10^-3, I507))</f>
        <v>0</v>
      </c>
      <c r="L507" s="33"/>
      <c r="M507" s="13"/>
      <c r="N507" s="33"/>
    </row>
    <row r="508" spans="4:14" ht="20.100000000000001" customHeight="1" x14ac:dyDescent="0.2">
      <c r="D508" s="15">
        <v>0</v>
      </c>
      <c r="E508" s="15">
        <v>0</v>
      </c>
      <c r="F508" s="15">
        <v>0</v>
      </c>
      <c r="G508" s="15" t="s">
        <v>352</v>
      </c>
      <c r="H508" s="15" t="s">
        <v>352</v>
      </c>
      <c r="I508" s="74"/>
      <c r="J508" s="13"/>
      <c r="K508" s="251" cm="1">
        <f t="array" ref="K508">Scope3_Equations.VEERG_15_10_1_1__1_OtherPurchasedGoodsAndServices(E508,IF(J508="kg / amount unit", I508*10^-3, I508))</f>
        <v>0</v>
      </c>
      <c r="L508" s="33"/>
      <c r="M508" s="13"/>
      <c r="N508" s="33"/>
    </row>
    <row r="509" spans="4:14" ht="20.100000000000001" customHeight="1" x14ac:dyDescent="0.2">
      <c r="D509" s="15">
        <v>0</v>
      </c>
      <c r="E509" s="15">
        <v>0</v>
      </c>
      <c r="F509" s="15">
        <v>0</v>
      </c>
      <c r="G509" s="15" t="s">
        <v>352</v>
      </c>
      <c r="H509" s="15" t="s">
        <v>352</v>
      </c>
      <c r="I509" s="74"/>
      <c r="J509" s="13"/>
      <c r="K509" s="251" cm="1">
        <f t="array" ref="K509">Scope3_Equations.VEERG_15_10_1_1__1_OtherPurchasedGoodsAndServices(E509,IF(J509="kg / amount unit", I509*10^-3, I509))</f>
        <v>0</v>
      </c>
      <c r="L509" s="33"/>
      <c r="M509" s="13"/>
      <c r="N509" s="33"/>
    </row>
    <row r="510" spans="4:14" ht="20.100000000000001" customHeight="1" x14ac:dyDescent="0.2">
      <c r="D510" s="15">
        <v>0</v>
      </c>
      <c r="E510" s="15">
        <v>0</v>
      </c>
      <c r="F510" s="15">
        <v>0</v>
      </c>
      <c r="G510" s="15" t="s">
        <v>352</v>
      </c>
      <c r="H510" s="15" t="s">
        <v>352</v>
      </c>
      <c r="I510" s="74"/>
      <c r="J510" s="13"/>
      <c r="K510" s="251" cm="1">
        <f t="array" ref="K510">Scope3_Equations.VEERG_15_10_1_1__1_OtherPurchasedGoodsAndServices(E510,IF(J510="kg / amount unit", I510*10^-3, I510))</f>
        <v>0</v>
      </c>
      <c r="L510" s="33"/>
      <c r="M510" s="13"/>
      <c r="N510" s="33"/>
    </row>
    <row r="511" spans="4:14" ht="20.100000000000001" customHeight="1" x14ac:dyDescent="0.2">
      <c r="D511" s="15">
        <v>0</v>
      </c>
      <c r="E511" s="15">
        <v>0</v>
      </c>
      <c r="F511" s="15">
        <v>0</v>
      </c>
      <c r="G511" s="15" t="s">
        <v>352</v>
      </c>
      <c r="H511" s="15" t="s">
        <v>352</v>
      </c>
      <c r="I511" s="74"/>
      <c r="J511" s="13"/>
      <c r="K511" s="251" cm="1">
        <f t="array" ref="K511">Scope3_Equations.VEERG_15_10_1_1__1_OtherPurchasedGoodsAndServices(E511,IF(J511="kg / amount unit", I511*10^-3, I511))</f>
        <v>0</v>
      </c>
      <c r="L511" s="33"/>
      <c r="M511" s="13"/>
      <c r="N511" s="33"/>
    </row>
    <row r="512" spans="4:14" ht="20.100000000000001" customHeight="1" x14ac:dyDescent="0.2">
      <c r="D512" s="15">
        <v>0</v>
      </c>
      <c r="E512" s="15">
        <v>0</v>
      </c>
      <c r="F512" s="15">
        <v>0</v>
      </c>
      <c r="G512" s="15" t="s">
        <v>352</v>
      </c>
      <c r="H512" s="15" t="s">
        <v>352</v>
      </c>
      <c r="I512" s="74"/>
      <c r="J512" s="13"/>
      <c r="K512" s="251" cm="1">
        <f t="array" ref="K512">Scope3_Equations.VEERG_15_10_1_1__1_OtherPurchasedGoodsAndServices(E512,IF(J512="kg / amount unit", I512*10^-3, I512))</f>
        <v>0</v>
      </c>
      <c r="L512" s="33"/>
      <c r="M512" s="13"/>
      <c r="N512" s="33"/>
    </row>
    <row r="513" spans="1:41" ht="20.100000000000001" customHeight="1" x14ac:dyDescent="0.2">
      <c r="D513" s="15">
        <v>0</v>
      </c>
      <c r="E513" s="15">
        <v>0</v>
      </c>
      <c r="F513" s="15">
        <v>0</v>
      </c>
      <c r="G513" s="15" t="s">
        <v>352</v>
      </c>
      <c r="H513" s="15" t="s">
        <v>352</v>
      </c>
      <c r="I513" s="74"/>
      <c r="J513" s="13"/>
      <c r="K513" s="251" cm="1">
        <f t="array" ref="K513">Scope3_Equations.VEERG_15_10_1_1__1_OtherPurchasedGoodsAndServices(E513,IF(J513="kg / amount unit", I513*10^-3, I513))</f>
        <v>0</v>
      </c>
      <c r="L513" s="33"/>
      <c r="M513" s="13"/>
      <c r="N513" s="33"/>
    </row>
    <row r="514" spans="1:41" ht="20.100000000000001" customHeight="1" x14ac:dyDescent="0.2">
      <c r="D514" s="15">
        <v>0</v>
      </c>
      <c r="E514" s="15">
        <v>0</v>
      </c>
      <c r="F514" s="15">
        <v>0</v>
      </c>
      <c r="G514" s="15" t="s">
        <v>352</v>
      </c>
      <c r="H514" s="15" t="s">
        <v>352</v>
      </c>
      <c r="I514" s="74"/>
      <c r="J514" s="13"/>
      <c r="K514" s="251" cm="1">
        <f t="array" ref="K514">Scope3_Equations.VEERG_15_10_1_1__1_OtherPurchasedGoodsAndServices(E514,IF(J514="kg / amount unit", I514*10^-3, I514))</f>
        <v>0</v>
      </c>
      <c r="L514" s="33"/>
      <c r="M514" s="13"/>
      <c r="N514" s="33"/>
    </row>
    <row r="516" spans="1:41" ht="20.100000000000001" customHeight="1" x14ac:dyDescent="0.2">
      <c r="D516" s="253" t="s">
        <v>1041</v>
      </c>
      <c r="E516" s="86" t="s">
        <v>352</v>
      </c>
      <c r="F516" s="95" t="str">
        <f>$E$170</f>
        <v>t CO2e</v>
      </c>
    </row>
    <row r="517" spans="1:41" ht="20.100000000000001" customHeight="1" x14ac:dyDescent="0.2">
      <c r="D517" s="253" t="s">
        <v>1044</v>
      </c>
      <c r="E517" s="86">
        <f>SUM(K505:K514)</f>
        <v>4000</v>
      </c>
      <c r="F517" s="95" t="str">
        <f>$E$170</f>
        <v>t CO2e</v>
      </c>
    </row>
    <row r="518" spans="1:41" ht="20.100000000000001" customHeight="1" x14ac:dyDescent="0.2">
      <c r="A518" s="79" t="str">
        <f>HYPERLINK("#A1", "▲ Back to top")</f>
        <v>▲ Back to top</v>
      </c>
    </row>
    <row r="520" spans="1:41" ht="20.100000000000001" customHeight="1" x14ac:dyDescent="0.2">
      <c r="C520" s="83"/>
      <c r="D520" s="83"/>
      <c r="E520" s="83"/>
      <c r="F520" s="83"/>
      <c r="G520" s="83"/>
      <c r="H520" s="83"/>
      <c r="I520" s="83"/>
      <c r="J520" s="83"/>
      <c r="K520" s="83"/>
      <c r="L520" s="83"/>
      <c r="M520" s="83"/>
      <c r="N520" s="83"/>
      <c r="O520" s="83"/>
      <c r="P520" s="83"/>
      <c r="Q520" s="83"/>
      <c r="R520" s="83"/>
      <c r="S520" s="83"/>
      <c r="T520" s="83"/>
      <c r="U520" s="83"/>
      <c r="V520" s="83"/>
      <c r="W520" s="83"/>
      <c r="X520" s="83"/>
      <c r="Y520" s="83"/>
      <c r="Z520" s="83"/>
      <c r="AA520" s="83"/>
      <c r="AB520" s="83"/>
      <c r="AC520" s="83"/>
      <c r="AD520" s="83"/>
      <c r="AE520" s="83"/>
      <c r="AF520" s="83"/>
      <c r="AG520" s="83"/>
      <c r="AH520" s="83"/>
      <c r="AI520" s="83"/>
      <c r="AJ520" s="83"/>
      <c r="AK520" s="83"/>
      <c r="AL520" s="83"/>
      <c r="AM520" s="83"/>
      <c r="AN520" s="83"/>
      <c r="AO520" s="83"/>
    </row>
    <row r="521" spans="1:41" ht="20.100000000000001" customHeight="1" x14ac:dyDescent="0.2">
      <c r="D521" s="2" t="str" cm="1">
        <f t="array" ref="D521">Scope3_Equations.VEERG_15_11_1_1__1_TotalUpstreamEmissionsFromFuel_Title()</f>
        <v>Total upstream emissions from scope 1 fuel consumption</v>
      </c>
    </row>
    <row r="522" spans="1:41" ht="20.100000000000001" customHeight="1" x14ac:dyDescent="0.2">
      <c r="D522" s="17" t="str" cm="1">
        <f t="array" ref="D522">Scope3_Equations.VEERG_15_11_1_1__1_TotalUpstreamEmissionsFromFuel_Source()</f>
        <v>VEERG 2026: 15.11.1.1, Equation (1)</v>
      </c>
    </row>
    <row r="523" spans="1:41" ht="20.100000000000001" customHeight="1" x14ac:dyDescent="0.2">
      <c r="D523" s="112" t="s">
        <v>328</v>
      </c>
      <c r="E523" s="112" t="str">
        <f ca="1">Common_InputFunctions.Utility_DisplayFunctionName(VEERG_15_11_1_1__1_TotalUpstreamEmissionsFromFuel_Result)</f>
        <v>=Scope3_Equations.VEERG_15_11_1_1__1_TotalUpstreamEmissionsFromFuel</v>
      </c>
    </row>
    <row r="527" spans="1:41" ht="20.100000000000001" customHeight="1" x14ac:dyDescent="0.2">
      <c r="D527" s="75" t="s">
        <v>329</v>
      </c>
      <c r="E527" s="1" t="str" cm="1">
        <f t="array" ref="E527">Scope3_Equations.VEERG_15_11_1_1__1_TotalUpstreamEmissionsFromFuel_Variable()</f>
        <v>E</v>
      </c>
    </row>
    <row r="528" spans="1:41" ht="20.100000000000001" customHeight="1" x14ac:dyDescent="0.2">
      <c r="D528" s="75" t="s">
        <v>118</v>
      </c>
      <c r="E528" s="9" t="str" cm="1">
        <f t="array" ref="E528">Scope3_Equations.VEERG_15_11_1_1__1_TotalUpstreamEmissionsFromFuel_Unit()</f>
        <v>t CO2e</v>
      </c>
    </row>
    <row r="530" spans="3:41" ht="20.100000000000001" customHeight="1" x14ac:dyDescent="0.2">
      <c r="D530" s="113" t="str" cm="1">
        <f t="array" ref="D530:E531">_xlfn.CHOOSECOLS(Scope3_Equations.VEERG_15_11_1_1__1_TotalUpstreamEmissionsFromFuel_Arguments(),1,2)</f>
        <v>E_WTTtransq</v>
      </c>
      <c r="E530" s="122" t="str">
        <v>upstream emissions from scope 1 transport fuel use</v>
      </c>
      <c r="F530" s="123"/>
      <c r="G530" s="113" t="str" cm="1">
        <f t="array" ref="G530:H531">_xlfn.CHOOSECOLS(Scope3_Equations.VEERG_15_11_1_1__1_TotalUpstreamEmissionsFromFuel_Arguments(),3,4)</f>
        <v>t CO2e</v>
      </c>
      <c r="H530" s="115" t="str">
        <v>Calculated by 15.11.1.1 (2)</v>
      </c>
      <c r="I530" s="113">
        <f>VEERG_8_1_1_1__1_FuelCombustionTransport_Result</f>
        <v>20.5016</v>
      </c>
    </row>
    <row r="531" spans="3:41" ht="20.100000000000001" customHeight="1" x14ac:dyDescent="0.2">
      <c r="D531" s="113" t="str">
        <v>E_WTTSCq</v>
      </c>
      <c r="E531" s="122" t="str">
        <v>upstream emissions from scope 1 stationary combustion fuel use</v>
      </c>
      <c r="F531" s="123"/>
      <c r="G531" s="113" t="str">
        <v>t CO2e</v>
      </c>
      <c r="H531" s="115" t="str">
        <v>Calculated by 15.11.1.1 (3)</v>
      </c>
      <c r="I531" s="113">
        <f>VEERG_8_2_1_1__1_FuelCombustionStationary_Result</f>
        <v>5.8823999999999996</v>
      </c>
    </row>
    <row r="533" spans="3:41" ht="20.100000000000001" customHeight="1" x14ac:dyDescent="0.2">
      <c r="D533" s="253" t="s">
        <v>1147</v>
      </c>
      <c r="E533" s="86" cm="1">
        <f t="array" ref="E533">Scope3_Equations.VEERG_15_11_1_1__1_TotalUpstreamEmissionsFromFuel(I530,I531)</f>
        <v>26.384</v>
      </c>
      <c r="F533" s="95" t="str">
        <f>$E$170</f>
        <v>t CO2e</v>
      </c>
    </row>
    <row r="535" spans="3:41" ht="20.100000000000001" customHeight="1" x14ac:dyDescent="0.2">
      <c r="C535" s="83"/>
      <c r="D535" s="83"/>
      <c r="E535" s="83"/>
      <c r="F535" s="83"/>
      <c r="G535" s="83"/>
      <c r="H535" s="83"/>
      <c r="I535" s="83"/>
      <c r="J535" s="83"/>
      <c r="K535" s="83"/>
      <c r="L535" s="83"/>
      <c r="M535" s="83"/>
      <c r="N535" s="83"/>
      <c r="O535" s="83"/>
      <c r="P535" s="83"/>
      <c r="Q535" s="83"/>
      <c r="R535" s="83"/>
      <c r="S535" s="83"/>
      <c r="T535" s="83"/>
      <c r="U535" s="83"/>
      <c r="V535" s="83"/>
      <c r="W535" s="83"/>
      <c r="X535" s="83"/>
      <c r="Y535" s="83"/>
      <c r="Z535" s="83"/>
      <c r="AA535" s="83"/>
      <c r="AB535" s="83"/>
      <c r="AC535" s="83"/>
      <c r="AD535" s="83"/>
      <c r="AE535" s="83"/>
      <c r="AF535" s="83"/>
      <c r="AG535" s="83"/>
      <c r="AH535" s="83"/>
      <c r="AI535" s="83"/>
      <c r="AJ535" s="83"/>
      <c r="AK535" s="83"/>
      <c r="AL535" s="83"/>
      <c r="AM535" s="83"/>
      <c r="AN535" s="83"/>
      <c r="AO535" s="83"/>
    </row>
    <row r="536" spans="3:41" ht="20.100000000000001" customHeight="1" x14ac:dyDescent="0.2">
      <c r="D536" s="2" t="str" cm="1">
        <f t="array" ref="D536">Scope3_Equations.VEERG_15_12_1_1__1_UpstreamPurchasedElectricityLocationBased_Title()</f>
        <v>Scope 3 emissions from purchased electricity location based</v>
      </c>
    </row>
    <row r="537" spans="3:41" ht="20.100000000000001" customHeight="1" x14ac:dyDescent="0.2">
      <c r="D537" s="17" t="str" cm="1">
        <f t="array" ref="D537">Scope3_Equations.VEERG_15_12_1_1__1_UpstreamPurchasedElectricityLocationBased_Source()</f>
        <v>VEERG 2026: 15.12.1.1, Equation (1)</v>
      </c>
    </row>
    <row r="538" spans="3:41" ht="20.100000000000001" customHeight="1" x14ac:dyDescent="0.2">
      <c r="D538" s="112" t="s">
        <v>328</v>
      </c>
      <c r="E538" s="112" t="str">
        <f ca="1">Common_InputFunctions.Utility_DisplayFunctionName(VEERG_15_12_1_1__1_UpstreamPurchasedElectricityLocationBased_Result)</f>
        <v>=Scope3_Equations.VEERG_15_12_1_1__1_UpstreamPurchasedElectricityLocationBased</v>
      </c>
    </row>
    <row r="541" spans="3:41" ht="20.100000000000001" customHeight="1" x14ac:dyDescent="0.2">
      <c r="D541" s="75" t="s">
        <v>329</v>
      </c>
      <c r="E541" s="1" t="str" cm="1">
        <f t="array" ref="E541">Scope3_Equations.VEERG_15_12_1_1__1_UpstreamPurchasedElectricityLocationBased_Variable()</f>
        <v>E_3elec</v>
      </c>
    </row>
    <row r="542" spans="3:41" ht="20.100000000000001" customHeight="1" x14ac:dyDescent="0.2">
      <c r="D542" s="75" t="s">
        <v>118</v>
      </c>
      <c r="E542" s="1" t="str" cm="1">
        <f t="array" ref="E542">Scope3_Equations.VEERG_15_12_1_1__1_UpstreamPurchasedElectricityLocationBased_Unit()</f>
        <v>t CO2e</v>
      </c>
    </row>
    <row r="544" spans="3:41" ht="20.100000000000001" customHeight="1" x14ac:dyDescent="0.2">
      <c r="D544" s="113" t="str" cm="1">
        <f t="array" ref="D544:E546">_xlfn.CHOOSECOLS(Scope3_Equations.VEERG_15_12_1_1__1_UpstreamPurchasedElectricityLocationBased_Arguments(),1,2)</f>
        <v>Q_elec</v>
      </c>
      <c r="E544" s="113" t="str">
        <v>amount of electricity purchased from the grid</v>
      </c>
      <c r="F544" s="113"/>
      <c r="G544" s="113" t="str" cm="1">
        <f t="array" ref="G544:H546">_xlfn.CHOOSECOLS(Scope3_Equations.VEERG_15_12_1_1__1_UpstreamPurchasedElectricityLocationBased_Arguments(),3,4)</f>
        <v>kWh</v>
      </c>
      <c r="H544" s="249" t="str">
        <v>Input</v>
      </c>
      <c r="I544" s="122">
        <f>X_Cell_Electricity_Location_AmountPurchasedInkWh</f>
        <v>30000</v>
      </c>
      <c r="J544" s="123"/>
    </row>
    <row r="545" spans="1:41" ht="20.100000000000001" customHeight="1" x14ac:dyDescent="0.2">
      <c r="D545" s="113" t="str">
        <v>EF_3elec</v>
      </c>
      <c r="E545" s="113" t="str">
        <v>scope 3 emission factor for purchased electricity</v>
      </c>
      <c r="F545" s="113"/>
      <c r="G545" s="113" t="str">
        <v>kg CO2e/kWh</v>
      </c>
      <c r="H545" s="115" t="str">
        <v>Constant</v>
      </c>
      <c r="I545" s="122" cm="1">
        <f t="array" ref="I545">Common_InputFunctions.Utility_LookupValueInTableNumber(I546,Table_SourceData_ElectricityEFs[State, Territory or grid description],Table_SourceData_ElectricityEFs[Scope 3 Emission Factors (kg CO2-e/kWh)])</f>
        <v>0.09</v>
      </c>
      <c r="J545" s="123"/>
    </row>
    <row r="546" spans="1:41" ht="20.100000000000001" customHeight="1" x14ac:dyDescent="0.2">
      <c r="D546" s="113" t="str">
        <v>g</v>
      </c>
      <c r="E546" s="122" t="str">
        <v>grid electricity was purchased from</v>
      </c>
      <c r="F546" s="123"/>
      <c r="G546" s="113" t="str">
        <v/>
      </c>
      <c r="H546" s="249" t="str">
        <v>Input</v>
      </c>
      <c r="I546" s="122" t="str">
        <f>X_Cell_Electricity_Location_GridElectricityPurchasedFrom</f>
        <v>Western Australia - North Western Interconnected System (NWIS)</v>
      </c>
      <c r="J546" s="123"/>
    </row>
    <row r="548" spans="1:41" ht="20.100000000000001" customHeight="1" x14ac:dyDescent="0.2">
      <c r="A548" s="79" t="str">
        <f>HYPERLINK("#A1", "▲ Back to top")</f>
        <v>▲ Back to top</v>
      </c>
      <c r="D548" s="253" t="s">
        <v>1148</v>
      </c>
      <c r="E548" s="86" cm="1">
        <f t="array" ref="E548">Scope3_Equations.VEERG_15_12_1_1__1_UpstreamPurchasedElectricityLocationBased(I544,I545)</f>
        <v>2.7</v>
      </c>
      <c r="F548" s="95" t="str">
        <f>$E$170</f>
        <v>t CO2e</v>
      </c>
    </row>
    <row r="551" spans="1:41" ht="20.100000000000001" customHeight="1" x14ac:dyDescent="0.2">
      <c r="C551" s="83"/>
      <c r="D551" s="83"/>
      <c r="E551" s="83"/>
      <c r="F551" s="83"/>
      <c r="G551" s="83"/>
      <c r="H551" s="83"/>
      <c r="I551" s="83"/>
      <c r="J551" s="83"/>
      <c r="K551" s="83"/>
      <c r="L551" s="83"/>
      <c r="M551" s="83"/>
      <c r="N551" s="83"/>
      <c r="O551" s="83"/>
      <c r="P551" s="83"/>
      <c r="Q551" s="83"/>
      <c r="R551" s="83"/>
      <c r="S551" s="83"/>
      <c r="T551" s="83"/>
      <c r="U551" s="83"/>
      <c r="V551" s="83"/>
      <c r="W551" s="83"/>
      <c r="X551" s="83"/>
      <c r="Y551" s="83"/>
      <c r="Z551" s="83"/>
      <c r="AA551" s="83"/>
      <c r="AB551" s="83"/>
      <c r="AC551" s="83"/>
      <c r="AD551" s="83"/>
      <c r="AE551" s="83"/>
      <c r="AF551" s="83"/>
      <c r="AG551" s="83"/>
      <c r="AH551" s="83"/>
      <c r="AI551" s="83"/>
      <c r="AJ551" s="83"/>
      <c r="AK551" s="83"/>
      <c r="AL551" s="83"/>
      <c r="AM551" s="83"/>
      <c r="AN551" s="83"/>
      <c r="AO551" s="83"/>
    </row>
    <row r="552" spans="1:41" ht="20.100000000000001" customHeight="1" x14ac:dyDescent="0.2">
      <c r="D552" s="2" t="str" cm="1">
        <f t="array" ref="D552">Scope3_Equations.VEERG_15_12_1_2__1_UpstreamPurchasedElectricityMarketBased_Title()</f>
        <v>Scope 3 emissions from purchased electricity market based</v>
      </c>
    </row>
    <row r="553" spans="1:41" ht="20.100000000000001" customHeight="1" x14ac:dyDescent="0.2">
      <c r="D553" s="17" t="str" cm="1">
        <f t="array" ref="D553">Scope3_Equations.VEERG_15_12_1_2__1_UpstreamPurchasedElectricityMarketBased_Source()</f>
        <v>VEERG 2026: 15.12.1.2, Equation (1)</v>
      </c>
    </row>
    <row r="554" spans="1:41" ht="20.100000000000001" customHeight="1" x14ac:dyDescent="0.2">
      <c r="D554" s="25" t="str" cm="1">
        <f t="array" ref="D554">Scope3_Equations.VEERG_15_12_1_2__1_UpstreamPurchasedElectricityMarketBased_Variation()</f>
        <v>VARIATION ON SOURCE: In order to convert megawatt hours to kilowatt hours, the REC_surrendered and REC_onsite variables are multiplied by 10^3 instead of 10^-3.</v>
      </c>
    </row>
    <row r="555" spans="1:41" ht="20.100000000000001" customHeight="1" x14ac:dyDescent="0.2">
      <c r="D555" s="112" t="s">
        <v>328</v>
      </c>
      <c r="E555" s="112" t="str">
        <f ca="1">Common_InputFunctions.Utility_DisplayFunctionName(VEERG_15_12_1_2__1_UpstreamPurchasedElectricityMarketBasedVariation_Result)</f>
        <v>=Scope3_Equations.VEERG_15_12_1_2__1_UpstreamPurchasedElectricityMarketBasedVariation</v>
      </c>
    </row>
    <row r="559" spans="1:41" ht="20.100000000000001" customHeight="1" x14ac:dyDescent="0.2">
      <c r="D559" s="75" t="s">
        <v>329</v>
      </c>
      <c r="E559" s="1" t="str" cm="1">
        <f t="array" ref="E559">Scope3_Equations.VEERG_15_12_1_2__1_UpstreamPurchasedElectricityMarketBased_Variable()</f>
        <v>E_3elec</v>
      </c>
    </row>
    <row r="560" spans="1:41" ht="20.100000000000001" customHeight="1" x14ac:dyDescent="0.2">
      <c r="D560" s="75" t="s">
        <v>118</v>
      </c>
      <c r="E560" s="1" t="str" cm="1">
        <f t="array" ref="E560">Scope3_Equations.VEERG_15_12_1_2__1_UpstreamPurchasedElectricityMarketBased_Unit()</f>
        <v>t CO2e</v>
      </c>
    </row>
    <row r="562" spans="3:41" ht="20.100000000000001" customHeight="1" x14ac:dyDescent="0.2">
      <c r="D562" s="113" t="str" cm="1">
        <f t="array" ref="D562:E568">_xlfn.CHOOSECOLS(Scope3_Equations.VEERG_15_12_1_2__1_UpstreamPurchasedElectricityMarketBased_Arguments(),1,2)</f>
        <v>Q_elec</v>
      </c>
      <c r="E562" s="122" t="str">
        <v>amount of electricity purchased from the grid</v>
      </c>
      <c r="F562" s="123"/>
      <c r="G562" s="113" t="str" cm="1">
        <f t="array" ref="G562:H568">_xlfn.CHOOSECOLS(Scope3_Equations.VEERG_15_12_1_2__1_UpstreamPurchasedElectricityMarketBased_Arguments(),3,4)</f>
        <v>kWh</v>
      </c>
      <c r="H562" s="249" t="str">
        <v>Input</v>
      </c>
      <c r="I562" s="254">
        <f>X_Cell_Electricity_Market_AmountPurchasedExcludingGreenPower</f>
        <v>30000</v>
      </c>
    </row>
    <row r="563" spans="3:41" ht="20.100000000000001" customHeight="1" x14ac:dyDescent="0.2">
      <c r="D563" s="113" t="str">
        <v>RPP</v>
      </c>
      <c r="E563" s="122" t="str">
        <v>renewable power percentage under LRET for the applicable period</v>
      </c>
      <c r="F563" s="123"/>
      <c r="G563" s="113" t="str">
        <v>fraction</v>
      </c>
      <c r="H563" s="249" t="str">
        <v>Input</v>
      </c>
      <c r="I563" s="146">
        <f>X_Cell_Electricity_Market_RenewablePowerPercentage</f>
        <v>0.1</v>
      </c>
    </row>
    <row r="564" spans="3:41" ht="20.100000000000001" customHeight="1" x14ac:dyDescent="0.2">
      <c r="D564" s="113" t="str">
        <v>JRPP</v>
      </c>
      <c r="E564" s="122" t="str">
        <v>jurisdictional renewable power percentage for the applicable period</v>
      </c>
      <c r="F564" s="123"/>
      <c r="G564" s="113" t="str">
        <v>fraction</v>
      </c>
      <c r="H564" s="249" t="str">
        <v>Input</v>
      </c>
      <c r="I564" s="146">
        <f>X_Cell_Electricity_Market_JurisdictionalRenewablePowerPercentage</f>
        <v>0.1</v>
      </c>
    </row>
    <row r="565" spans="3:41" ht="20.100000000000001" customHeight="1" x14ac:dyDescent="0.2">
      <c r="D565" s="113" t="str">
        <v>REC_surrendered</v>
      </c>
      <c r="E565" s="122" t="str">
        <v>eligible renewable energy certificates voluntarily surrendered</v>
      </c>
      <c r="F565" s="123"/>
      <c r="G565" s="113" t="str">
        <v>MWh</v>
      </c>
      <c r="H565" s="249" t="str">
        <v>Input</v>
      </c>
      <c r="I565" s="113">
        <f>(X_Cell_Electricity_Market_AmountPurchasedGreenPower*10^-3)+X_Cell_TotalElegibleVoluntarilySurrenderedRECs</f>
        <v>10</v>
      </c>
    </row>
    <row r="566" spans="3:41" ht="20.100000000000001" customHeight="1" x14ac:dyDescent="0.2">
      <c r="D566" s="113" t="str">
        <v>REC_onsite</v>
      </c>
      <c r="E566" s="122" t="str">
        <v>eligible renewable energy certificates issued for onsite generated electricity</v>
      </c>
      <c r="F566" s="123"/>
      <c r="G566" s="113" t="str">
        <v>MWh</v>
      </c>
      <c r="H566" s="249" t="str">
        <v>Input</v>
      </c>
      <c r="I566" s="113">
        <f>X_Cell_TotalElegibleRECsForElectricityProducedOnSite</f>
        <v>0</v>
      </c>
    </row>
    <row r="567" spans="3:41" ht="20.100000000000001" customHeight="1" x14ac:dyDescent="0.2">
      <c r="D567" s="113" t="str">
        <v>EF_RMF3elec</v>
      </c>
      <c r="E567" s="122" t="str">
        <v>scope 3 residual mix emission factor for electricity</v>
      </c>
      <c r="F567" s="123"/>
      <c r="G567" s="113" t="str">
        <v>kg CO2e/kWh</v>
      </c>
      <c r="H567" s="115" t="str">
        <v>Constant</v>
      </c>
      <c r="I567" s="113" cm="1">
        <f t="array" ref="I567">Table_SourceData_ElectricityEFsMarketBased[Scope 3 EF (kg CO2-e/kWh)]</f>
        <v>0.1</v>
      </c>
    </row>
    <row r="568" spans="3:41" ht="20.100000000000001" customHeight="1" x14ac:dyDescent="0.2">
      <c r="D568" s="113" t="str">
        <v>i</v>
      </c>
      <c r="E568" s="122" t="str">
        <v>state</v>
      </c>
      <c r="F568" s="123"/>
      <c r="G568" s="113" t="str">
        <v/>
      </c>
      <c r="H568" s="249" t="str">
        <v>Input</v>
      </c>
      <c r="I568" s="113" t="str">
        <f>X_Cell_Site_State</f>
        <v>Dry climate zone</v>
      </c>
    </row>
    <row r="570" spans="3:41" ht="20.100000000000001" customHeight="1" x14ac:dyDescent="0.2">
      <c r="D570" s="253" t="s">
        <v>1148</v>
      </c>
      <c r="E570" s="86" cm="1">
        <f t="array" ref="E570">Scope3_Equations.VEERG_15_12_1_2__1_UpstreamPurchasedElectricityMarketBasedVariation(I562,I563,I564,I565,I566,I567)</f>
        <v>1.4000000000000001</v>
      </c>
      <c r="F570" s="95" t="str">
        <f>$E$170</f>
        <v>t CO2e</v>
      </c>
    </row>
    <row r="573" spans="3:41" ht="20.100000000000001" customHeight="1" x14ac:dyDescent="0.2">
      <c r="C573" s="83"/>
      <c r="D573" s="83"/>
      <c r="E573" s="83"/>
      <c r="F573" s="83"/>
      <c r="G573" s="83"/>
      <c r="H573" s="83"/>
      <c r="I573" s="83"/>
      <c r="J573" s="83"/>
      <c r="K573" s="83"/>
      <c r="L573" s="83"/>
      <c r="M573" s="83"/>
      <c r="N573" s="83"/>
      <c r="O573" s="83"/>
      <c r="P573" s="83"/>
      <c r="Q573" s="83"/>
      <c r="R573" s="83"/>
      <c r="S573" s="83"/>
      <c r="T573" s="83"/>
      <c r="U573" s="83"/>
      <c r="V573" s="83"/>
      <c r="W573" s="83"/>
      <c r="X573" s="83"/>
      <c r="Y573" s="83"/>
      <c r="Z573" s="83"/>
      <c r="AA573" s="83"/>
      <c r="AB573" s="83"/>
      <c r="AC573" s="83"/>
      <c r="AD573" s="83"/>
      <c r="AE573" s="83"/>
      <c r="AF573" s="83"/>
      <c r="AG573" s="83"/>
      <c r="AH573" s="83"/>
      <c r="AI573" s="83"/>
      <c r="AJ573" s="83"/>
      <c r="AK573" s="83"/>
      <c r="AL573" s="83"/>
      <c r="AM573" s="83"/>
      <c r="AN573" s="83"/>
      <c r="AO573" s="83"/>
    </row>
    <row r="574" spans="3:41" ht="20.100000000000001" customHeight="1" x14ac:dyDescent="0.2">
      <c r="D574" s="2" t="str" cm="1">
        <f t="array" ref="D574">Scope3_Equations.VEERG_15_13_1_1__1_EmissionsFromManureSentOffSite_Title()</f>
        <v>Emissions from manure sent off site applied to soils in another farming system or enterprise</v>
      </c>
    </row>
    <row r="575" spans="3:41" ht="20.100000000000001" customHeight="1" x14ac:dyDescent="0.2">
      <c r="D575" s="17" t="str" cm="1">
        <f t="array" ref="D575">Scope3_Equations.VEERG_15_13_1_1__1_EmissionsFromManureSentOffSite_Source()</f>
        <v>VEERG 2026: 15.13.1.1, Equation (1)</v>
      </c>
    </row>
    <row r="576" spans="3:41" ht="20.100000000000001" customHeight="1" x14ac:dyDescent="0.2">
      <c r="D576" s="112" t="s">
        <v>328</v>
      </c>
      <c r="E576" s="112" t="str" cm="1">
        <f t="array" aca="1" ref="E576" ca="1">Common_InputFunctions.Utility_DisplayFunctionName(E588)</f>
        <v>=Scope3_Equations.VEERG_15_13_1_1__1_EmissionsFromManureSentOffSite</v>
      </c>
    </row>
    <row r="578" spans="1:18" ht="20.100000000000001" customHeight="1" x14ac:dyDescent="0.2">
      <c r="A578" s="79" t="str">
        <f>HYPERLINK("#A1", "▲ Back to top")</f>
        <v>▲ Back to top</v>
      </c>
    </row>
    <row r="579" spans="1:18" ht="20.100000000000001" customHeight="1" x14ac:dyDescent="0.2">
      <c r="D579" s="75" t="s">
        <v>329</v>
      </c>
      <c r="E579" s="1" t="str" cm="1">
        <f t="array" ref="E579">Scope3_Equations.VEERG_15_13_1_1__1_EmissionsFromManureSentOffSite_Variable()</f>
        <v>E</v>
      </c>
    </row>
    <row r="580" spans="1:18" ht="20.100000000000001" customHeight="1" x14ac:dyDescent="0.2">
      <c r="D580" s="75" t="s">
        <v>118</v>
      </c>
      <c r="E580" s="9" t="str" cm="1">
        <f t="array" ref="E580">Scope3_Equations.VEERG_15_13_1_1__1_EmissionsFromManureSentOffSite_Unit()</f>
        <v>t N2O</v>
      </c>
    </row>
    <row r="582" spans="1:18" ht="20.100000000000001" customHeight="1" x14ac:dyDescent="0.2">
      <c r="D582" s="24" t="s">
        <v>130</v>
      </c>
      <c r="L582" s="24" t="s">
        <v>131</v>
      </c>
    </row>
    <row r="584" spans="1:18" ht="20.100000000000001" customHeight="1" x14ac:dyDescent="0.2">
      <c r="D584" s="113" t="str" cm="1">
        <f t="array" ref="D584:E586">_xlfn.CHOOSECOLS(Scope3_Equations.VEERG_15_13_1_1__1_EmissionsFromManureSentOffSite_Arguments(),1,2)</f>
        <v>E_N2O</v>
      </c>
      <c r="E584" s="122" t="str">
        <v>direct nitrous oxide emissions from application of manure to soils outside of scope 1 boundary</v>
      </c>
      <c r="F584" s="136"/>
      <c r="G584" s="123"/>
      <c r="H584" s="113" t="str" cm="1">
        <f t="array" ref="H584:I586">_xlfn.CHOOSECOLS(Scope3_Equations.VEERG_15_13_1_1__1_EmissionsFromManureSentOffSite_Arguments(),3,4)</f>
        <v>t N2O</v>
      </c>
      <c r="I584" s="115" t="str">
        <v>Calculated</v>
      </c>
      <c r="J584" s="113">
        <f>IFERROR(VEERG_5_2_1_1__1_OrganicFertiliserApplicationN2OEmissions_Result_Method1, 0)</f>
        <v>0</v>
      </c>
      <c r="L584" s="113" t="str" cm="1">
        <f t="array" ref="L584:M586">_xlfn.CHOOSECOLS(Scope3_Equations.VEERG_15_13_1_1__1_EmissionsFromManureSentOffSite_Arguments(),1,2)</f>
        <v>E_N2O</v>
      </c>
      <c r="M584" s="122" t="str">
        <v>direct nitrous oxide emissions from application of manure to soils outside of scope 1 boundary</v>
      </c>
      <c r="N584" s="136"/>
      <c r="O584" s="123"/>
      <c r="P584" s="113" t="str" cm="1">
        <f t="array" ref="P584:Q586">_xlfn.CHOOSECOLS(Scope3_Equations.VEERG_15_13_1_1__1_EmissionsFromManureSentOffSite_Arguments(),3,4)</f>
        <v>t N2O</v>
      </c>
      <c r="Q584" s="115" t="str">
        <v>Calculated</v>
      </c>
      <c r="R584" s="113">
        <f>IFERROR(VEERG_5_2_1_1__1_OrganicFertiliserApplicationN2OEmissions_Result_Method2, 0)</f>
        <v>0</v>
      </c>
    </row>
    <row r="585" spans="1:18" ht="20.100000000000001" customHeight="1" x14ac:dyDescent="0.2">
      <c r="D585" s="113" t="str">
        <v>E_ad</v>
      </c>
      <c r="E585" s="122" t="str">
        <v>nitrous oxide emissions from atmospheric deposition of manure to soils</v>
      </c>
      <c r="F585" s="136"/>
      <c r="G585" s="123"/>
      <c r="H585" s="113" t="str">
        <v>t N2O</v>
      </c>
      <c r="I585" s="115" t="str">
        <v>Calculated</v>
      </c>
      <c r="J585" s="113">
        <f>IFERROR(VEERG_5_4_1_3__1_OrganicFertiliserAtmosphericDepositionN2OEmissions_Result_Method1, 0)</f>
        <v>1.6401E-3</v>
      </c>
      <c r="L585" s="113" t="str">
        <v>E_ad</v>
      </c>
      <c r="M585" s="122" t="str">
        <v>nitrous oxide emissions from atmospheric deposition of manure to soils</v>
      </c>
      <c r="N585" s="136"/>
      <c r="O585" s="123"/>
      <c r="P585" s="113" t="str">
        <v>t N2O</v>
      </c>
      <c r="Q585" s="115" t="str">
        <v>Calculated</v>
      </c>
      <c r="R585" s="113">
        <f>IFERROR(VEERG_5_4_1_3__1_OrganicFertiliserAtmosphericDepositionN2OEmissions_Result_Method2, 0)</f>
        <v>4.62E-3</v>
      </c>
    </row>
    <row r="586" spans="1:18" ht="20.100000000000001" customHeight="1" x14ac:dyDescent="0.2">
      <c r="D586" s="113" t="str">
        <v>E_leach</v>
      </c>
      <c r="E586" s="122" t="str">
        <v>nitrous oxide emissions from nitrogen leaching and runoff of manure to soils</v>
      </c>
      <c r="F586" s="136"/>
      <c r="G586" s="123"/>
      <c r="H586" s="113" t="str">
        <v>t N2O</v>
      </c>
      <c r="I586" s="115" t="str">
        <v>Calculated</v>
      </c>
      <c r="J586" s="113">
        <f>IFERROR(VEERG_5_5_1_1__1_FertiliserLeachingAndRunoffN2OEmissions_Result_Method1, 0)</f>
        <v>4.1485714285714277E-3</v>
      </c>
      <c r="L586" s="113" t="str">
        <v>E_leach</v>
      </c>
      <c r="M586" s="122" t="str">
        <v>nitrous oxide emissions from nitrogen leaching and runoff of manure to soils</v>
      </c>
      <c r="N586" s="136"/>
      <c r="O586" s="123"/>
      <c r="P586" s="113" t="str">
        <v>t N2O</v>
      </c>
      <c r="Q586" s="115" t="str">
        <v>Calculated</v>
      </c>
      <c r="R586" s="113">
        <f>IFERROR(VEERG_5_5_1_1__1_FertiliserLeachingAndRunoffN2OEmissions_Result_Method2, 0)</f>
        <v>8.2971428571428554E-3</v>
      </c>
    </row>
    <row r="588" spans="1:18" ht="20.100000000000001" customHeight="1" x14ac:dyDescent="0.2">
      <c r="D588" s="253" t="s">
        <v>1148</v>
      </c>
      <c r="E588" s="86" cm="1">
        <f t="array" ref="E588">Scope3_Equations.VEERG_15_13_1_1__1_EmissionsFromManureSentOffSite(J584,J585,J586)</f>
        <v>5.7886714285714279E-3</v>
      </c>
      <c r="F588" s="95" t="str">
        <f>$E$580</f>
        <v>t N2O</v>
      </c>
      <c r="L588" s="253" t="s">
        <v>1148</v>
      </c>
      <c r="M588" s="86" cm="1">
        <f t="array" ref="M588">Scope3_Equations.VEERG_15_13_1_1__1_EmissionsFromManureSentOffSite(R584,R585,R586)</f>
        <v>1.2917142857142856E-2</v>
      </c>
      <c r="N588" s="95" t="str">
        <f>$E$580</f>
        <v>t N2O</v>
      </c>
    </row>
    <row r="590" spans="1:18" ht="20.100000000000001" customHeight="1" x14ac:dyDescent="0.2">
      <c r="D590" s="126" t="str" cm="1">
        <f t="array" ref="D590:E591">Common_Equations.Common_ConvertN2OToCO2e_Arguments()</f>
        <v>EN2O</v>
      </c>
      <c r="E590" s="129" t="str">
        <v>Nitrous oxide emissions (t N2O)</v>
      </c>
      <c r="F590" s="130"/>
      <c r="G590" s="15">
        <f>E588</f>
        <v>5.7886714285714279E-3</v>
      </c>
      <c r="L590" s="126" t="str" cm="1">
        <f t="array" ref="L590:M591">Common_Equations.Common_ConvertN2OToCO2e_Arguments()</f>
        <v>EN2O</v>
      </c>
      <c r="M590" s="129" t="str">
        <v>Nitrous oxide emissions (t N2O)</v>
      </c>
      <c r="N590" s="130"/>
      <c r="O590" s="15">
        <f>M588</f>
        <v>1.2917142857142856E-2</v>
      </c>
    </row>
    <row r="591" spans="1:18" ht="20.100000000000001" customHeight="1" x14ac:dyDescent="0.2">
      <c r="D591" s="126" t="str">
        <v>GWPN2O</v>
      </c>
      <c r="E591" s="129" t="str">
        <v>Global warming potential for nitrous oxide (t CO2-e / t N2O)</v>
      </c>
      <c r="F591" s="130"/>
      <c r="G591" s="15">
        <f>Common_InputFunctions.Utility_LookupValueInTableNumber("N2O",Table_GWPData[Gas],Table_GWPData[CO2-e factor])</f>
        <v>265</v>
      </c>
      <c r="L591" s="126" t="str">
        <v>GWPN2O</v>
      </c>
      <c r="M591" s="129" t="str">
        <v>Global warming potential for nitrous oxide (t CO2-e / t N2O)</v>
      </c>
      <c r="N591" s="130"/>
      <c r="O591" s="15">
        <f>Common_InputFunctions.Utility_LookupValueInTableNumber("N2O",Table_GWPData[Gas],Table_GWPData[CO2-e factor])</f>
        <v>265</v>
      </c>
    </row>
    <row r="593" spans="1:41" ht="20.100000000000001" customHeight="1" x14ac:dyDescent="0.2">
      <c r="D593" s="83" t="s">
        <v>377</v>
      </c>
      <c r="E593" s="83" cm="1">
        <f t="array" ref="E593">Common_Equations.Common_ConvertN2OToCO2e(G590,G591)</f>
        <v>1.5339979285714285</v>
      </c>
      <c r="F593" s="89" t="str" cm="1">
        <f t="array" ref="F593">Common_Equations.Common_ConvertN2OToCO2e_Unit()</f>
        <v>t CO2e</v>
      </c>
      <c r="L593" s="83" t="s">
        <v>377</v>
      </c>
      <c r="M593" s="83" cm="1">
        <f t="array" ref="M593">Common_Equations.Common_ConvertN2OToCO2e(O590,O591)</f>
        <v>3.4230428571428568</v>
      </c>
      <c r="N593" s="89" t="str" cm="1">
        <f t="array" ref="N593">Common_Equations.Common_ConvertN2OToCO2e_Unit()</f>
        <v>t CO2e</v>
      </c>
    </row>
    <row r="596" spans="1:41" ht="20.100000000000001" customHeight="1" x14ac:dyDescent="0.2">
      <c r="C596" s="83"/>
      <c r="D596" s="83"/>
      <c r="E596" s="83"/>
      <c r="F596" s="83"/>
      <c r="G596" s="83"/>
      <c r="H596" s="83"/>
      <c r="I596" s="83"/>
      <c r="J596" s="83"/>
      <c r="K596" s="83"/>
      <c r="L596" s="83"/>
      <c r="M596" s="83"/>
      <c r="N596" s="83"/>
      <c r="O596" s="83"/>
      <c r="P596" s="83"/>
      <c r="Q596" s="83"/>
      <c r="R596" s="83"/>
      <c r="S596" s="83"/>
      <c r="T596" s="83"/>
      <c r="U596" s="83"/>
      <c r="V596" s="83"/>
      <c r="W596" s="83"/>
      <c r="X596" s="83"/>
      <c r="Y596" s="83"/>
      <c r="Z596" s="83"/>
      <c r="AA596" s="83"/>
      <c r="AB596" s="83"/>
      <c r="AC596" s="83"/>
      <c r="AD596" s="83"/>
      <c r="AE596" s="83"/>
      <c r="AF596" s="83"/>
      <c r="AG596" s="83"/>
      <c r="AH596" s="83"/>
      <c r="AI596" s="83"/>
      <c r="AJ596" s="83"/>
      <c r="AK596" s="83"/>
      <c r="AL596" s="83"/>
      <c r="AM596" s="83"/>
      <c r="AN596" s="83"/>
      <c r="AO596" s="83"/>
    </row>
    <row r="597" spans="1:41" ht="20.100000000000001" customHeight="1" x14ac:dyDescent="0.2">
      <c r="D597" s="2" t="str" cm="1">
        <f t="array" ref="D597">Scope3_Equations.VEERG_15_13_1_3__1_EmissionsFromSolidWasteTreatmentFacility_Title()</f>
        <v>Emissions from solid waste sent to a treatment facility</v>
      </c>
    </row>
    <row r="598" spans="1:41" ht="20.100000000000001" customHeight="1" x14ac:dyDescent="0.2">
      <c r="D598" s="17" t="str" cm="1">
        <f t="array" ref="D598">Scope3_Equations.VEERG_15_13_1_3__1_EmissionsFromSolidWasteTreatmentFacility_Source()</f>
        <v>VEERG 2026: 15.13.1.3</v>
      </c>
    </row>
    <row r="600" spans="1:41" ht="20.100000000000001" customHeight="1" x14ac:dyDescent="0.2">
      <c r="D600" s="75" t="s">
        <v>329</v>
      </c>
      <c r="E600" s="1" t="str" cm="1">
        <f t="array" ref="E600">Scope3_Equations.VEERG_15_13_1_3__1_EmissionsFromSolidWasteTreatmentFacility_Variable()</f>
        <v>E</v>
      </c>
    </row>
    <row r="601" spans="1:41" ht="20.100000000000001" customHeight="1" x14ac:dyDescent="0.2">
      <c r="D601" s="75" t="s">
        <v>118</v>
      </c>
      <c r="E601" s="9" t="str" cm="1">
        <f t="array" ref="E601">Scope3_Equations.VEERG_15_13_1_3__1_EmissionsFromSolidWasteTreatmentFacility_Unit()</f>
        <v>t CO2e</v>
      </c>
    </row>
    <row r="603" spans="1:41" ht="20.100000000000001" customHeight="1" x14ac:dyDescent="0.2">
      <c r="D603" s="253" t="s">
        <v>1148</v>
      </c>
      <c r="E603" s="86">
        <f>VEERG_10_1_1_1__1_EmissionsFromWasteManagement_Scope3_Result_Method1</f>
        <v>441.15000000000003</v>
      </c>
      <c r="F603" s="95" t="str">
        <f>E601</f>
        <v>t CO2e</v>
      </c>
    </row>
    <row r="606" spans="1:41" ht="20.100000000000001" customHeight="1" x14ac:dyDescent="0.2">
      <c r="C606" s="83"/>
      <c r="D606" s="83"/>
      <c r="E606" s="83"/>
      <c r="F606" s="83"/>
      <c r="G606" s="83"/>
      <c r="H606" s="83"/>
      <c r="I606" s="83"/>
      <c r="J606" s="83"/>
      <c r="K606" s="83"/>
      <c r="L606" s="83"/>
      <c r="M606" s="83"/>
      <c r="N606" s="83"/>
      <c r="O606" s="83"/>
      <c r="P606" s="83"/>
      <c r="Q606" s="83"/>
      <c r="R606" s="83"/>
      <c r="S606" s="83"/>
      <c r="T606" s="83"/>
      <c r="U606" s="83"/>
      <c r="V606" s="83"/>
      <c r="W606" s="83"/>
      <c r="X606" s="83"/>
      <c r="Y606" s="83"/>
      <c r="Z606" s="83"/>
      <c r="AA606" s="83"/>
      <c r="AB606" s="83"/>
      <c r="AC606" s="83"/>
      <c r="AD606" s="83"/>
      <c r="AE606" s="83"/>
      <c r="AF606" s="83"/>
      <c r="AG606" s="83"/>
      <c r="AH606" s="83"/>
      <c r="AI606" s="83"/>
      <c r="AJ606" s="83"/>
      <c r="AK606" s="83"/>
      <c r="AL606" s="83"/>
      <c r="AM606" s="83"/>
      <c r="AN606" s="83"/>
      <c r="AO606" s="83"/>
    </row>
    <row r="607" spans="1:41" ht="20.100000000000001" customHeight="1" x14ac:dyDescent="0.2">
      <c r="D607" s="2" t="str" cm="1">
        <f t="array" ref="D607">Scope3_Equations.VEERG_15_14_1_1__1_EmbeddedEmissionsFromUpstreamFreight_Title()</f>
        <v>Embedded emissions from upstream freight</v>
      </c>
    </row>
    <row r="608" spans="1:41" ht="20.100000000000001" customHeight="1" x14ac:dyDescent="0.2">
      <c r="A608" s="79" t="str">
        <f>HYPERLINK("#A1", "▲ Back to top")</f>
        <v>▲ Back to top</v>
      </c>
      <c r="D608" s="17" t="str" cm="1">
        <f t="array" ref="D608">Scope3_Equations.VEERG_15_14_1_1__1_EmbeddedEmissionsFromUpstreamFreight_Source()</f>
        <v>VEERG 2026: 15.14.1.1, Equation (1)</v>
      </c>
    </row>
    <row r="609" spans="4:13" ht="20.100000000000001" customHeight="1" x14ac:dyDescent="0.2">
      <c r="D609" s="112" t="s">
        <v>328</v>
      </c>
      <c r="E609" s="112" t="str" cm="1">
        <f t="array" aca="1" ref="E609" ca="1">Common_InputFunctions.Utility_DisplayFunctionName(J624)</f>
        <v>=Scope3_Equations.VEERG_15_14_1_1__1_EmbeddedEmissionsFromUpstreamFreight</v>
      </c>
    </row>
    <row r="613" spans="4:13" ht="20.100000000000001" customHeight="1" x14ac:dyDescent="0.2">
      <c r="D613" s="75" t="s">
        <v>329</v>
      </c>
      <c r="E613" s="1" t="str" cm="1">
        <f t="array" ref="E613">Scope3_Equations.VEERG_15_14_1_1__1_EmbeddedEmissionsFromUpstreamFreight_Variable()</f>
        <v>E</v>
      </c>
    </row>
    <row r="614" spans="4:13" ht="20.100000000000001" customHeight="1" x14ac:dyDescent="0.2">
      <c r="D614" s="75" t="s">
        <v>118</v>
      </c>
      <c r="E614" s="9" t="str" cm="1">
        <f t="array" ref="E614">Scope3_Equations.VEERG_15_14_1_1__1_EmbeddedEmissionsFromUpstreamFreight_Unit()</f>
        <v>t CO2e</v>
      </c>
    </row>
    <row r="616" spans="4:13" ht="20.100000000000001" customHeight="1" x14ac:dyDescent="0.2">
      <c r="D616" s="113" t="str" cm="1">
        <f t="array" ref="D616:E619">_xlfn.CHOOSECOLS(Scope3_Equations.VEERG_15_14_1_1__1_EmbeddedEmissionsFromUpstreamFreight_Arguments(),1,2)</f>
        <v>W_f</v>
      </c>
      <c r="E616" s="122" t="str">
        <v>total mass of goods transported per freight type f</v>
      </c>
      <c r="F616" s="123"/>
      <c r="G616" s="113" t="str" cm="1">
        <f t="array" ref="G616:H619">_xlfn.CHOOSECOLS(Scope3_Equations.VEERG_15_14_1_1__1_EmbeddedEmissionsFromUpstreamFreight_Arguments(),3,4)</f>
        <v>t</v>
      </c>
      <c r="H616" s="249" t="str">
        <v>Input</v>
      </c>
    </row>
    <row r="617" spans="4:13" ht="20.100000000000001" customHeight="1" x14ac:dyDescent="0.2">
      <c r="D617" s="113" t="str">
        <v>D_f</v>
      </c>
      <c r="E617" s="122" t="str">
        <v>total distance transported per freight type f</v>
      </c>
      <c r="F617" s="123"/>
      <c r="G617" s="113" t="str">
        <v>km</v>
      </c>
      <c r="H617" s="249" t="str">
        <v>Input</v>
      </c>
    </row>
    <row r="618" spans="4:13" ht="20.100000000000001" customHeight="1" x14ac:dyDescent="0.2">
      <c r="D618" s="113" t="str">
        <v>EF_f</v>
      </c>
      <c r="E618" s="122" t="str">
        <v>emission factor for freight type f</v>
      </c>
      <c r="F618" s="123"/>
      <c r="G618" s="113" t="str">
        <v>t CO2e/(t km)</v>
      </c>
      <c r="H618" s="115" t="str">
        <v>Constant</v>
      </c>
    </row>
    <row r="619" spans="4:13" ht="20.100000000000001" customHeight="1" x14ac:dyDescent="0.2">
      <c r="D619" s="113" t="str">
        <v>f</v>
      </c>
      <c r="E619" s="122" t="str">
        <v>freight type</v>
      </c>
      <c r="F619" s="123"/>
      <c r="G619" s="113" t="str">
        <v/>
      </c>
      <c r="H619" s="249" t="str">
        <v>Input</v>
      </c>
    </row>
    <row r="621" spans="4:13" ht="20.100000000000001" customHeight="1" x14ac:dyDescent="0.2">
      <c r="D621" s="244" t="s">
        <v>1012</v>
      </c>
    </row>
    <row r="623" spans="4:13" ht="20.100000000000001" customHeight="1" x14ac:dyDescent="0.2">
      <c r="D623" s="78" t="s">
        <v>1149</v>
      </c>
      <c r="E623" s="78" t="s">
        <v>1150</v>
      </c>
      <c r="F623" s="78" t="s">
        <v>1151</v>
      </c>
      <c r="G623" s="120" t="s">
        <v>1152</v>
      </c>
      <c r="H623" s="120" t="s">
        <v>1041</v>
      </c>
      <c r="I623" s="78" t="s">
        <v>1090</v>
      </c>
      <c r="J623" s="120" t="s">
        <v>1044</v>
      </c>
      <c r="K623" s="78" t="s">
        <v>1045</v>
      </c>
      <c r="L623" s="78" t="s">
        <v>1046</v>
      </c>
      <c r="M623" s="78" t="s">
        <v>1047</v>
      </c>
    </row>
    <row r="624" spans="4:13" ht="20.100000000000001" customHeight="1" x14ac:dyDescent="0.2">
      <c r="D624" s="15" t="str" cm="1">
        <f t="array" ref="D624:D633">IFERROR(INDEX(Table_Input_FreightIncoming[Route name], _xlfn.SEQUENCE(10)), "")</f>
        <v>Melbourne depot to farm depot weekly</v>
      </c>
      <c r="E624" s="15" cm="1">
        <f t="array" ref="E624:E633">IFERROR(INDEX(Table_Input_FreightIncoming[Average weight of freight per trip (t)], _xlfn.SEQUENCE(10)), "")</f>
        <v>10</v>
      </c>
      <c r="F624" s="15" cm="1">
        <f t="array" ref="F624:F633">IFERROR(INDEX(Table_Input_FreightIncoming[Route distance (km)], _xlfn.SEQUENCE(10))*INDEX(Table_Input_FreightIncoming[Number of trips taken], _xlfn.SEQUENCE(10)), "")</f>
        <v>51272</v>
      </c>
      <c r="G624" s="15" t="s">
        <v>352</v>
      </c>
      <c r="H624" s="15" t="s">
        <v>352</v>
      </c>
      <c r="I624" s="74">
        <v>10</v>
      </c>
      <c r="J624" s="15" cm="1">
        <f t="array" ref="J624">Scope3_Equations.VEERG_15_14_1_1__1_EmbeddedEmissionsFromUpstreamFreight(E624,F624,I624)</f>
        <v>5127200</v>
      </c>
      <c r="K624" s="33"/>
      <c r="L624" s="13"/>
      <c r="M624" s="33"/>
    </row>
    <row r="625" spans="1:13" ht="20.100000000000001" customHeight="1" x14ac:dyDescent="0.2">
      <c r="D625" s="15" t="str">
        <v>Fertiliser supplier to farm</v>
      </c>
      <c r="E625" s="15">
        <v>10</v>
      </c>
      <c r="F625" s="15">
        <v>390</v>
      </c>
      <c r="G625" s="15" t="s">
        <v>352</v>
      </c>
      <c r="H625" s="15" t="s">
        <v>352</v>
      </c>
      <c r="I625" s="74">
        <v>5</v>
      </c>
      <c r="J625" s="15" cm="1">
        <f t="array" ref="J625">Scope3_Equations.VEERG_15_14_1_1__1_EmbeddedEmissionsFromUpstreamFreight(E625,F625,I625)</f>
        <v>19500</v>
      </c>
      <c r="K625" s="33"/>
      <c r="L625" s="13"/>
      <c r="M625" s="33"/>
    </row>
    <row r="626" spans="1:13" ht="20.100000000000001" customHeight="1" x14ac:dyDescent="0.2">
      <c r="D626" s="15">
        <v>0</v>
      </c>
      <c r="E626" s="15">
        <v>0</v>
      </c>
      <c r="F626" s="15">
        <v>0</v>
      </c>
      <c r="G626" s="15" t="s">
        <v>352</v>
      </c>
      <c r="H626" s="15" t="s">
        <v>352</v>
      </c>
      <c r="I626" s="74"/>
      <c r="J626" s="15" cm="1">
        <f t="array" ref="J626">Scope3_Equations.VEERG_15_14_1_1__1_EmbeddedEmissionsFromUpstreamFreight(E626,F626,I626)</f>
        <v>0</v>
      </c>
      <c r="K626" s="33"/>
      <c r="L626" s="13"/>
      <c r="M626" s="33"/>
    </row>
    <row r="627" spans="1:13" ht="20.100000000000001" customHeight="1" x14ac:dyDescent="0.2">
      <c r="D627" s="15">
        <v>0</v>
      </c>
      <c r="E627" s="15">
        <v>0</v>
      </c>
      <c r="F627" s="15">
        <v>0</v>
      </c>
      <c r="G627" s="15" t="s">
        <v>352</v>
      </c>
      <c r="H627" s="15" t="s">
        <v>352</v>
      </c>
      <c r="I627" s="74"/>
      <c r="J627" s="15" cm="1">
        <f t="array" ref="J627">Scope3_Equations.VEERG_15_14_1_1__1_EmbeddedEmissionsFromUpstreamFreight(E627,F627,I627)</f>
        <v>0</v>
      </c>
      <c r="K627" s="33"/>
      <c r="L627" s="13"/>
      <c r="M627" s="33"/>
    </row>
    <row r="628" spans="1:13" ht="20.100000000000001" customHeight="1" x14ac:dyDescent="0.2">
      <c r="D628" s="15">
        <v>0</v>
      </c>
      <c r="E628" s="15">
        <v>0</v>
      </c>
      <c r="F628" s="15">
        <v>0</v>
      </c>
      <c r="G628" s="15" t="s">
        <v>352</v>
      </c>
      <c r="H628" s="15" t="s">
        <v>352</v>
      </c>
      <c r="I628" s="74"/>
      <c r="J628" s="15" cm="1">
        <f t="array" ref="J628">Scope3_Equations.VEERG_15_14_1_1__1_EmbeddedEmissionsFromUpstreamFreight(E628,F628,I628)</f>
        <v>0</v>
      </c>
      <c r="K628" s="33"/>
      <c r="L628" s="13"/>
      <c r="M628" s="33"/>
    </row>
    <row r="629" spans="1:13" ht="20.100000000000001" customHeight="1" x14ac:dyDescent="0.2">
      <c r="D629" s="15">
        <v>0</v>
      </c>
      <c r="E629" s="15">
        <v>0</v>
      </c>
      <c r="F629" s="15">
        <v>0</v>
      </c>
      <c r="G629" s="15" t="s">
        <v>352</v>
      </c>
      <c r="H629" s="15" t="s">
        <v>352</v>
      </c>
      <c r="I629" s="74"/>
      <c r="J629" s="15" cm="1">
        <f t="array" ref="J629">Scope3_Equations.VEERG_15_14_1_1__1_EmbeddedEmissionsFromUpstreamFreight(E629,F629,I629)</f>
        <v>0</v>
      </c>
      <c r="K629" s="33"/>
      <c r="L629" s="13"/>
      <c r="M629" s="33"/>
    </row>
    <row r="630" spans="1:13" ht="20.100000000000001" customHeight="1" x14ac:dyDescent="0.2">
      <c r="D630" s="15">
        <v>0</v>
      </c>
      <c r="E630" s="15">
        <v>0</v>
      </c>
      <c r="F630" s="15">
        <v>0</v>
      </c>
      <c r="G630" s="15" t="s">
        <v>352</v>
      </c>
      <c r="H630" s="15" t="s">
        <v>352</v>
      </c>
      <c r="I630" s="74"/>
      <c r="J630" s="15" cm="1">
        <f t="array" ref="J630">Scope3_Equations.VEERG_15_14_1_1__1_EmbeddedEmissionsFromUpstreamFreight(E630,F630,I630)</f>
        <v>0</v>
      </c>
      <c r="K630" s="33"/>
      <c r="L630" s="13"/>
      <c r="M630" s="33"/>
    </row>
    <row r="631" spans="1:13" ht="20.100000000000001" customHeight="1" x14ac:dyDescent="0.2">
      <c r="D631" s="15">
        <v>0</v>
      </c>
      <c r="E631" s="15">
        <v>0</v>
      </c>
      <c r="F631" s="15">
        <v>0</v>
      </c>
      <c r="G631" s="15" t="s">
        <v>352</v>
      </c>
      <c r="H631" s="15" t="s">
        <v>352</v>
      </c>
      <c r="I631" s="74"/>
      <c r="J631" s="15" cm="1">
        <f t="array" ref="J631">Scope3_Equations.VEERG_15_14_1_1__1_EmbeddedEmissionsFromUpstreamFreight(E631,F631,I631)</f>
        <v>0</v>
      </c>
      <c r="K631" s="33"/>
      <c r="L631" s="13"/>
      <c r="M631" s="33"/>
    </row>
    <row r="632" spans="1:13" ht="20.100000000000001" customHeight="1" x14ac:dyDescent="0.2">
      <c r="D632" s="15">
        <v>0</v>
      </c>
      <c r="E632" s="15">
        <v>0</v>
      </c>
      <c r="F632" s="15">
        <v>0</v>
      </c>
      <c r="G632" s="15" t="s">
        <v>352</v>
      </c>
      <c r="H632" s="15" t="s">
        <v>352</v>
      </c>
      <c r="I632" s="74"/>
      <c r="J632" s="15" cm="1">
        <f t="array" ref="J632">Scope3_Equations.VEERG_15_14_1_1__1_EmbeddedEmissionsFromUpstreamFreight(E632,F632,I632)</f>
        <v>0</v>
      </c>
      <c r="K632" s="33"/>
      <c r="L632" s="13"/>
      <c r="M632" s="33"/>
    </row>
    <row r="633" spans="1:13" ht="20.100000000000001" customHeight="1" x14ac:dyDescent="0.2">
      <c r="D633" s="15">
        <v>0</v>
      </c>
      <c r="E633" s="15">
        <v>0</v>
      </c>
      <c r="F633" s="15">
        <v>0</v>
      </c>
      <c r="G633" s="15" t="s">
        <v>352</v>
      </c>
      <c r="H633" s="15" t="s">
        <v>352</v>
      </c>
      <c r="I633" s="74"/>
      <c r="J633" s="15" cm="1">
        <f t="array" ref="J633">Scope3_Equations.VEERG_15_14_1_1__1_EmbeddedEmissionsFromUpstreamFreight(E633,F633,I633)</f>
        <v>0</v>
      </c>
      <c r="K633" s="33"/>
      <c r="L633" s="13"/>
      <c r="M633" s="33"/>
    </row>
    <row r="635" spans="1:13" ht="20.100000000000001" customHeight="1" x14ac:dyDescent="0.2">
      <c r="D635" s="88" t="s">
        <v>1153</v>
      </c>
      <c r="E635" s="83" t="s">
        <v>352</v>
      </c>
      <c r="F635" s="89" t="str">
        <f>$E$105</f>
        <v>t CO2e</v>
      </c>
    </row>
    <row r="636" spans="1:13" ht="20.100000000000001" customHeight="1" x14ac:dyDescent="0.2">
      <c r="D636" s="88" t="s">
        <v>1154</v>
      </c>
      <c r="E636" s="83">
        <f>SUM(J624:J633)</f>
        <v>5146700</v>
      </c>
      <c r="F636" s="89" t="str">
        <f>$E$105</f>
        <v>t CO2e</v>
      </c>
    </row>
    <row r="638" spans="1:13" ht="20.100000000000001" customHeight="1" x14ac:dyDescent="0.2">
      <c r="A638" s="79" t="str">
        <f>HYPERLINK("#A1", "▲ Back to top")</f>
        <v>▲ Back to top</v>
      </c>
    </row>
    <row r="639" spans="1:13" ht="20.100000000000001" customHeight="1" x14ac:dyDescent="0.2">
      <c r="D639" s="244" t="s">
        <v>1022</v>
      </c>
    </row>
    <row r="641" spans="4:13" ht="20.100000000000001" customHeight="1" x14ac:dyDescent="0.2">
      <c r="D641" s="78" t="s">
        <v>1149</v>
      </c>
      <c r="E641" s="78" t="s">
        <v>1150</v>
      </c>
      <c r="F641" s="78" t="s">
        <v>1151</v>
      </c>
      <c r="G641" s="120" t="s">
        <v>1152</v>
      </c>
      <c r="H641" s="120" t="s">
        <v>1041</v>
      </c>
      <c r="I641" s="78" t="s">
        <v>1090</v>
      </c>
      <c r="J641" s="120" t="s">
        <v>1044</v>
      </c>
      <c r="K641" s="78" t="s">
        <v>1045</v>
      </c>
      <c r="L641" s="78" t="s">
        <v>1046</v>
      </c>
      <c r="M641" s="78" t="s">
        <v>1047</v>
      </c>
    </row>
    <row r="642" spans="4:13" ht="20.100000000000001" customHeight="1" x14ac:dyDescent="0.2">
      <c r="D642" s="15" t="str" cm="1">
        <f t="array" ref="D642:D651">IFERROR(INDEX(Table_Input_FreightOutgoing[Route name], _xlfn.SEQUENCE(10)), "")</f>
        <v>Farm to bulk handler</v>
      </c>
      <c r="E642" s="15" cm="1">
        <f t="array" ref="E642:E651">IFERROR(INDEX(Table_Input_FreightOutgoing[Average weight of freight per trip (t)], _xlfn.SEQUENCE(10)), "")</f>
        <v>20</v>
      </c>
      <c r="F642" s="15" cm="1">
        <f t="array" ref="F642:F651">IFERROR(INDEX(Table_Input_FreightOutgoing[Route distance (km)], _xlfn.SEQUENCE(10))*INDEX(Table_Input_FreightOutgoing[Number of trips taken], _xlfn.SEQUENCE(10)), "")</f>
        <v>3380</v>
      </c>
      <c r="G642" s="15" t="s">
        <v>352</v>
      </c>
      <c r="H642" s="15" t="s">
        <v>352</v>
      </c>
      <c r="I642" s="74">
        <v>6.4</v>
      </c>
      <c r="J642" s="15" cm="1">
        <f t="array" ref="J642">Scope3_Equations.VEERG_15_14_1_1__1_EmbeddedEmissionsFromUpstreamFreight(E642,F642,I642)</f>
        <v>432640</v>
      </c>
      <c r="K642" s="33"/>
      <c r="L642" s="13"/>
      <c r="M642" s="33"/>
    </row>
    <row r="643" spans="4:13" ht="20.100000000000001" customHeight="1" x14ac:dyDescent="0.2">
      <c r="D643" s="15">
        <v>0</v>
      </c>
      <c r="E643" s="15">
        <v>0</v>
      </c>
      <c r="F643" s="15">
        <v>0</v>
      </c>
      <c r="G643" s="15" t="s">
        <v>352</v>
      </c>
      <c r="H643" s="15" t="s">
        <v>352</v>
      </c>
      <c r="I643" s="74"/>
      <c r="J643" s="15" cm="1">
        <f t="array" ref="J643">Scope3_Equations.VEERG_15_14_1_1__1_EmbeddedEmissionsFromUpstreamFreight(E643,F643,I643)</f>
        <v>0</v>
      </c>
      <c r="K643" s="33"/>
      <c r="L643" s="13"/>
      <c r="M643" s="33"/>
    </row>
    <row r="644" spans="4:13" ht="20.100000000000001" customHeight="1" x14ac:dyDescent="0.2">
      <c r="D644" s="15">
        <v>0</v>
      </c>
      <c r="E644" s="15">
        <v>0</v>
      </c>
      <c r="F644" s="15">
        <v>0</v>
      </c>
      <c r="G644" s="15" t="s">
        <v>352</v>
      </c>
      <c r="H644" s="15" t="s">
        <v>352</v>
      </c>
      <c r="I644" s="74"/>
      <c r="J644" s="15" cm="1">
        <f t="array" ref="J644">Scope3_Equations.VEERG_15_14_1_1__1_EmbeddedEmissionsFromUpstreamFreight(E644,F644,I644)</f>
        <v>0</v>
      </c>
      <c r="K644" s="33"/>
      <c r="L644" s="13"/>
      <c r="M644" s="33"/>
    </row>
    <row r="645" spans="4:13" ht="20.100000000000001" customHeight="1" x14ac:dyDescent="0.2">
      <c r="D645" s="15">
        <v>0</v>
      </c>
      <c r="E645" s="15">
        <v>0</v>
      </c>
      <c r="F645" s="15">
        <v>0</v>
      </c>
      <c r="G645" s="15" t="s">
        <v>352</v>
      </c>
      <c r="H645" s="15" t="s">
        <v>352</v>
      </c>
      <c r="I645" s="74"/>
      <c r="J645" s="15" cm="1">
        <f t="array" ref="J645">Scope3_Equations.VEERG_15_14_1_1__1_EmbeddedEmissionsFromUpstreamFreight(E645,F645,I645)</f>
        <v>0</v>
      </c>
      <c r="K645" s="33"/>
      <c r="L645" s="13"/>
      <c r="M645" s="33"/>
    </row>
    <row r="646" spans="4:13" ht="20.100000000000001" customHeight="1" x14ac:dyDescent="0.2">
      <c r="D646" s="15">
        <v>0</v>
      </c>
      <c r="E646" s="15">
        <v>0</v>
      </c>
      <c r="F646" s="15">
        <v>0</v>
      </c>
      <c r="G646" s="15" t="s">
        <v>352</v>
      </c>
      <c r="H646" s="15" t="s">
        <v>352</v>
      </c>
      <c r="I646" s="74"/>
      <c r="J646" s="15" cm="1">
        <f t="array" ref="J646">Scope3_Equations.VEERG_15_14_1_1__1_EmbeddedEmissionsFromUpstreamFreight(E646,F646,I646)</f>
        <v>0</v>
      </c>
      <c r="K646" s="33"/>
      <c r="L646" s="13"/>
      <c r="M646" s="33"/>
    </row>
    <row r="647" spans="4:13" ht="20.100000000000001" customHeight="1" x14ac:dyDescent="0.2">
      <c r="D647" s="15">
        <v>0</v>
      </c>
      <c r="E647" s="15">
        <v>0</v>
      </c>
      <c r="F647" s="15">
        <v>0</v>
      </c>
      <c r="G647" s="15" t="s">
        <v>352</v>
      </c>
      <c r="H647" s="15" t="s">
        <v>352</v>
      </c>
      <c r="I647" s="74"/>
      <c r="J647" s="15" cm="1">
        <f t="array" ref="J647">Scope3_Equations.VEERG_15_14_1_1__1_EmbeddedEmissionsFromUpstreamFreight(E647,F647,I647)</f>
        <v>0</v>
      </c>
      <c r="K647" s="33"/>
      <c r="L647" s="13"/>
      <c r="M647" s="33"/>
    </row>
    <row r="648" spans="4:13" ht="20.100000000000001" customHeight="1" x14ac:dyDescent="0.2">
      <c r="D648" s="15">
        <v>0</v>
      </c>
      <c r="E648" s="15">
        <v>0</v>
      </c>
      <c r="F648" s="15">
        <v>0</v>
      </c>
      <c r="G648" s="15" t="s">
        <v>352</v>
      </c>
      <c r="H648" s="15" t="s">
        <v>352</v>
      </c>
      <c r="I648" s="74"/>
      <c r="J648" s="15" cm="1">
        <f t="array" ref="J648">Scope3_Equations.VEERG_15_14_1_1__1_EmbeddedEmissionsFromUpstreamFreight(E648,F648,I648)</f>
        <v>0</v>
      </c>
      <c r="K648" s="33"/>
      <c r="L648" s="13"/>
      <c r="M648" s="33"/>
    </row>
    <row r="649" spans="4:13" ht="20.100000000000001" customHeight="1" x14ac:dyDescent="0.2">
      <c r="D649" s="15">
        <v>0</v>
      </c>
      <c r="E649" s="15">
        <v>0</v>
      </c>
      <c r="F649" s="15">
        <v>0</v>
      </c>
      <c r="G649" s="15" t="s">
        <v>352</v>
      </c>
      <c r="H649" s="15" t="s">
        <v>352</v>
      </c>
      <c r="I649" s="74"/>
      <c r="J649" s="15" cm="1">
        <f t="array" ref="J649">Scope3_Equations.VEERG_15_14_1_1__1_EmbeddedEmissionsFromUpstreamFreight(E649,F649,I649)</f>
        <v>0</v>
      </c>
      <c r="K649" s="33"/>
      <c r="L649" s="13"/>
      <c r="M649" s="33"/>
    </row>
    <row r="650" spans="4:13" ht="20.100000000000001" customHeight="1" x14ac:dyDescent="0.2">
      <c r="D650" s="15">
        <v>0</v>
      </c>
      <c r="E650" s="15">
        <v>0</v>
      </c>
      <c r="F650" s="15">
        <v>0</v>
      </c>
      <c r="G650" s="15" t="s">
        <v>352</v>
      </c>
      <c r="H650" s="15" t="s">
        <v>352</v>
      </c>
      <c r="I650" s="74"/>
      <c r="J650" s="15" cm="1">
        <f t="array" ref="J650">Scope3_Equations.VEERG_15_14_1_1__1_EmbeddedEmissionsFromUpstreamFreight(E650,F650,I650)</f>
        <v>0</v>
      </c>
      <c r="K650" s="33"/>
      <c r="L650" s="13"/>
      <c r="M650" s="33"/>
    </row>
    <row r="651" spans="4:13" ht="20.100000000000001" customHeight="1" x14ac:dyDescent="0.2">
      <c r="D651" s="15">
        <v>0</v>
      </c>
      <c r="E651" s="15">
        <v>0</v>
      </c>
      <c r="F651" s="15">
        <v>0</v>
      </c>
      <c r="G651" s="15" t="s">
        <v>352</v>
      </c>
      <c r="H651" s="15" t="s">
        <v>352</v>
      </c>
      <c r="I651" s="74"/>
      <c r="J651" s="15" cm="1">
        <f t="array" ref="J651">Scope3_Equations.VEERG_15_14_1_1__1_EmbeddedEmissionsFromUpstreamFreight(E651,F651,I651)</f>
        <v>0</v>
      </c>
      <c r="K651" s="33"/>
      <c r="L651" s="13"/>
      <c r="M651" s="33"/>
    </row>
    <row r="653" spans="4:13" ht="20.100000000000001" customHeight="1" x14ac:dyDescent="0.2">
      <c r="D653" s="88" t="s">
        <v>1155</v>
      </c>
      <c r="E653" s="83" t="s">
        <v>352</v>
      </c>
      <c r="F653" s="89" t="str">
        <f>$E$105</f>
        <v>t CO2e</v>
      </c>
    </row>
    <row r="654" spans="4:13" ht="20.100000000000001" customHeight="1" x14ac:dyDescent="0.2">
      <c r="D654" s="88" t="s">
        <v>1156</v>
      </c>
      <c r="E654" s="83">
        <f>SUM(J642:J651)</f>
        <v>432640</v>
      </c>
      <c r="F654" s="89" t="str">
        <f>$E$105</f>
        <v>t CO2e</v>
      </c>
    </row>
    <row r="656" spans="4:13" ht="20.100000000000001" customHeight="1" x14ac:dyDescent="0.2">
      <c r="D656" s="85" t="s">
        <v>1041</v>
      </c>
      <c r="E656" s="86" t="s">
        <v>352</v>
      </c>
      <c r="F656" s="95" t="str">
        <f>$E$105</f>
        <v>t CO2e</v>
      </c>
    </row>
    <row r="657" spans="4:6" ht="20.100000000000001" customHeight="1" x14ac:dyDescent="0.2">
      <c r="D657" s="85" t="s">
        <v>1044</v>
      </c>
      <c r="E657" s="86">
        <f>VEERG_15_14_1_1__1_EmbeddedEmissionsFromUpstreamFreight_Incoming_Result_Method2+VEERG_15_14_1_1__1_EmbeddedEmissionsFromUpstreamFreight_Outgoing_Result_Method2</f>
        <v>5579340</v>
      </c>
      <c r="F657" s="95" t="str">
        <f>$E$105</f>
        <v>t CO2e</v>
      </c>
    </row>
  </sheetData>
  <dataValidations count="2">
    <dataValidation type="list" allowBlank="1" showInputMessage="1" showErrorMessage="1" sqref="J505:J514" xr:uid="{F4D2F56A-8DDA-4C2B-9178-4297BB0A0C99}">
      <formula1>"kg / amount unit, t / amount unit"</formula1>
    </dataValidation>
    <dataValidation type="list" allowBlank="1" showInputMessage="1" showErrorMessage="1" sqref="L42:L51 L61:L70 L79:L88 L445:L454 L463:L472 K120:K129 L382:L391 K137:K140 K177:K179 O23:O32 M236:M246 L320:L329 K288:K297 N351:N360 M505:M514 M252:M266 M414:M423 K481:K485 K494:K498 L624:L633 L642:L651" xr:uid="{4304B18B-37FD-42B3-85A0-A751CC739A90}">
      <formula1>INDIRECT("Table_SourceData_DataScores_Scope3[Data source]")</formula1>
    </dataValidation>
  </dataValidations>
  <pageMargins left="0.7" right="0.7" top="0.75" bottom="0.75" header="0.3" footer="0.3"/>
  <pageSetup paperSize="9"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EF6BB8-6DAA-477D-8E53-564D2C444A9C}">
  <sheetPr>
    <tabColor theme="9" tint="-0.249977111117893"/>
  </sheetPr>
  <dimension ref="A1:U90"/>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0" width="30.5703125" style="1" customWidth="1"/>
    <col min="11" max="11" width="4.5703125" style="1" customWidth="1"/>
    <col min="12" max="12" width="4.5703125" customWidth="1"/>
    <col min="13" max="13" width="4.5703125" style="1" customWidth="1"/>
    <col min="14" max="20" width="30.5703125" style="1" customWidth="1"/>
    <col min="21" max="21" width="4.5703125" style="1" customWidth="1"/>
  </cols>
  <sheetData>
    <row r="1" spans="1:21" ht="30" customHeight="1" x14ac:dyDescent="0.35">
      <c r="A1" s="10" t="e" vm="1">
        <v>#VALUE!</v>
      </c>
      <c r="C1" s="20" t="s">
        <v>1157</v>
      </c>
      <c r="D1" s="20"/>
      <c r="E1" s="20"/>
      <c r="F1" s="20"/>
      <c r="G1" s="20"/>
      <c r="H1" s="20"/>
      <c r="I1" s="20"/>
      <c r="J1" s="20"/>
      <c r="K1" s="20"/>
      <c r="M1" s="20"/>
      <c r="N1" s="20"/>
      <c r="O1" s="20"/>
      <c r="P1" s="20"/>
      <c r="Q1" s="20"/>
      <c r="R1" s="20"/>
      <c r="S1" s="20"/>
      <c r="T1" s="20"/>
      <c r="U1" s="20"/>
    </row>
    <row r="2" spans="1:21" ht="20.100000000000001" customHeight="1" x14ac:dyDescent="0.2">
      <c r="C2" s="3"/>
      <c r="D2" s="3"/>
      <c r="E2" s="3"/>
      <c r="F2" s="3"/>
      <c r="G2" s="3"/>
      <c r="H2" s="3"/>
      <c r="I2" s="3"/>
      <c r="J2" s="3"/>
      <c r="K2" s="3"/>
      <c r="M2" s="3"/>
      <c r="N2" s="3"/>
      <c r="O2" s="3"/>
      <c r="P2" s="3"/>
      <c r="Q2" s="3"/>
      <c r="R2" s="3"/>
      <c r="S2" s="3"/>
      <c r="T2" s="3"/>
      <c r="U2" s="3"/>
    </row>
    <row r="3" spans="1:21"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Fertiliser_Equations_OrganicN2O.VEERG_5_2_1_1__1_OrganicFertiliserApplicationN2OEmissions_Title()</f>
        <v>Nitrous oxide emissions from the application of all organic fertiliser types f to all production systems j</v>
      </c>
      <c r="N5" s="2" t="str" cm="1">
        <f t="array" ref="N5">Fertiliser_Equations_OrganicN2O.VEERG_5_2_1_1__1_OrganicFertiliserApplicationN2OEmissions_Title()</f>
        <v>Nitrous oxide emissions from the application of all organic fertiliser types f to all production systems j</v>
      </c>
    </row>
    <row r="6" spans="1:21" ht="20.100000000000001" customHeight="1" x14ac:dyDescent="0.2">
      <c r="D6" s="17" t="str" cm="1">
        <f t="array" ref="D6">Fertiliser_Equations_OrganicN2O.VEERG_5_2_1_1__1_OrganicFertiliserApplicationN2OEmissions_Source()</f>
        <v>VEERG 2026: 5.2.1.1, Equation (1)</v>
      </c>
      <c r="N6" s="17" t="str" cm="1">
        <f t="array" ref="N6">Fertiliser_Equations_OrganicN2O.VEERG_5_2_1_1__1_OrganicFertiliserApplicationN2OEmissions_Source()</f>
        <v>VEERG 2026: 5.2.1.1, Equation (1)</v>
      </c>
    </row>
    <row r="7" spans="1:21" ht="20.100000000000001" customHeight="1" x14ac:dyDescent="0.2">
      <c r="D7" s="112" t="s">
        <v>328</v>
      </c>
      <c r="E7" s="112" t="str">
        <f ca="1">Common_InputFunctions.Utility_DisplayFunctionName(VEERG_5_2_1_1__1_OrganicFertiliserApplicationN2OEmissions_Result_Method1)</f>
        <v>=Fertiliser_Equations_OrganicN2O.VEERG_5_2_1_1__1_OrganicFertiliserApplicationN2OEmissions</v>
      </c>
      <c r="N7" s="112" t="s">
        <v>328</v>
      </c>
      <c r="O7" s="112" t="str">
        <f ca="1">Common_InputFunctions.Utility_DisplayFunctionName(VEERG_5_2_1_1__1_OrganicFertiliserApplicationN2OEmissions_Result_Method2)</f>
        <v>=Fertiliser_Equations_OrganicN2O.VEERG_5_2_1_1__1_OrganicFertiliserApplicationN2OEmissions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Fertiliser_Equations_OrganicN2O.VEERG_5_2_1_1__1_OrganicFertiliserApplicationN2OEmissions_Variable()</f>
        <v>E_N2O</v>
      </c>
      <c r="N10" s="75" t="s">
        <v>329</v>
      </c>
      <c r="O10" s="1" t="str" cm="1">
        <f t="array" ref="O10">Fertiliser_Equations_OrganicN2O.VEERG_5_2_1_1__1_OrganicFertiliserApplicationN2OEmissions_Variable()</f>
        <v>E_N2O</v>
      </c>
    </row>
    <row r="11" spans="1:21" ht="20.100000000000001" customHeight="1" x14ac:dyDescent="0.2">
      <c r="A11" s="5" t="str">
        <f>HYPERLINK("#'Input - Poultry'!A1", "Poultry")</f>
        <v>Poultry</v>
      </c>
      <c r="D11" s="75" t="s">
        <v>118</v>
      </c>
      <c r="E11" s="9" t="str" cm="1">
        <f t="array" ref="E11">Fertiliser_Equations_OrganicN2O.VEERG_5_2_1_1__1_OrganicFertiliserApplicationN2OEmissions_Unit()</f>
        <v>t N2O</v>
      </c>
      <c r="N11" s="75" t="s">
        <v>118</v>
      </c>
      <c r="O11" s="9" t="str" cm="1">
        <f t="array" ref="O11">Fertiliser_Equations_OrganicN2O.VEERG_5_2_1_1__1_OrganicFertiliserApplicationN2OEmissions_Unit()</f>
        <v>t N2O</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7">_xlfn.CHOOSECOLS(Fertiliser_Equations_OrganicN2O.VEERG_5_2_1_1__1_OrganicFertiliserApplicationN2OEmissions_Arguments(), 1, 2)</f>
        <v>MNSoil_jf</v>
      </c>
      <c r="E13" s="122" t="str">
        <v>mass of nitrogen in organic fertiliser type f applied to production system j</v>
      </c>
      <c r="F13" s="136"/>
      <c r="G13" s="123"/>
      <c r="H13" s="113" t="str" cm="1">
        <f t="array" ref="H13:I17">_xlfn.CHOOSECOLS(Fertiliser_Equations_OrganicN2O.VEERG_5_2_1_1__1_OrganicFertiliserApplicationN2OEmissions_Arguments(), 3,4)</f>
        <v>kg N</v>
      </c>
      <c r="I13" s="115" t="str">
        <v>Calculated from 5.2.1.1 (2)</v>
      </c>
      <c r="J13" s="113">
        <f>X_Cell_ManureSentOffsite_MassNitrogenManure_Method1</f>
        <v>1000</v>
      </c>
      <c r="N13" s="113" t="str" cm="1">
        <f t="array" ref="N13:O17">_xlfn.CHOOSECOLS(Fertiliser_Equations_OrganicN2O.VEERG_5_2_1_1__1_OrganicFertiliserApplicationN2OEmissions_Arguments(), 1, 2)</f>
        <v>MNSoil_jf</v>
      </c>
      <c r="O13" s="122" t="str">
        <v>mass of nitrogen in organic fertiliser type f applied to production system j</v>
      </c>
      <c r="P13" s="136"/>
      <c r="Q13" s="123"/>
      <c r="R13" s="113" t="str" cm="1">
        <f t="array" ref="R13:S17">_xlfn.CHOOSECOLS(Fertiliser_Equations_OrganicN2O.VEERG_5_2_1_1__1_OrganicFertiliserApplicationN2OEmissions_Arguments(), 3,4)</f>
        <v>kg N</v>
      </c>
      <c r="S13" s="115" t="str">
        <v>Calculated from 5.2.1.1 (2)</v>
      </c>
      <c r="T13" s="113">
        <f>X_Cell_ManureSentOffsite_MassNitrogenManure_Method2</f>
        <v>2000</v>
      </c>
    </row>
    <row r="14" spans="1:21" ht="20.100000000000001" customHeight="1" x14ac:dyDescent="0.2">
      <c r="A14" s="5" t="str">
        <f>HYPERLINK("#'Input - Fuel'!A1", "Fuel")</f>
        <v>Fuel</v>
      </c>
      <c r="D14" s="113" t="str">
        <v>EF_N2Oi</v>
      </c>
      <c r="E14" s="122" t="str">
        <v>emission factor for direct nitrous oxide emissions from organic fertiliser applied to soils and aquatic systems in climate zone i</v>
      </c>
      <c r="F14" s="136"/>
      <c r="G14" s="123"/>
      <c r="H14" s="113" t="str">
        <v>kg N2O-N/kg N</v>
      </c>
      <c r="I14" s="115" t="str">
        <v>Lookup</v>
      </c>
      <c r="J14" s="113">
        <f>Common_InputFunctions.Utility_LookupValueInTableNumber(J17, Table_SourceData_Common_EFOrganicFertCropResidues[Climate Zone],Table_SourceData_Common_EFOrganicFertCropResidues[EFNi &amp; EFN2Oi])</f>
        <v>0</v>
      </c>
      <c r="N14" s="113" t="str">
        <v>EF_N2Oi</v>
      </c>
      <c r="O14" s="122" t="str">
        <v>emission factor for direct nitrous oxide emissions from organic fertiliser applied to soils and aquatic systems in climate zone i</v>
      </c>
      <c r="P14" s="136"/>
      <c r="Q14" s="123"/>
      <c r="R14" s="113" t="str">
        <v>kg N2O-N/kg N</v>
      </c>
      <c r="S14" s="115" t="str">
        <v>Lookup</v>
      </c>
      <c r="T14" s="113"/>
    </row>
    <row r="15" spans="1:21" ht="20.100000000000001" customHeight="1" x14ac:dyDescent="0.2">
      <c r="A15" s="5" t="str">
        <f>HYPERLINK("#'Input - Electricity'!A1", "Electricity")</f>
        <v>Electricity</v>
      </c>
      <c r="D15" s="113" t="str">
        <v>C_N2O</v>
      </c>
      <c r="E15" s="122" t="str">
        <v>factor to convert elemental mass of nitrous oxide to molecular mass</v>
      </c>
      <c r="F15" s="136"/>
      <c r="G15" s="123"/>
      <c r="H15" s="113" t="str">
        <v/>
      </c>
      <c r="I15" s="115" t="str">
        <v>Constant</v>
      </c>
      <c r="J15" s="113">
        <f>Common_InputFunctions.Utility_LookupValueInTableNumber("N2O",Table_GasToMolecularConversionFactor[Gas],Table_GasToMolecularConversionFactor[Conversion factor combined])</f>
        <v>1.5714285714285714</v>
      </c>
      <c r="N15" s="113" t="str">
        <v>C_N2O</v>
      </c>
      <c r="O15" s="122" t="str">
        <v>factor to convert elemental mass of nitrous oxide to molecular mass</v>
      </c>
      <c r="P15" s="136"/>
      <c r="Q15" s="123"/>
      <c r="R15" s="113" t="str">
        <v/>
      </c>
      <c r="S15" s="115" t="str">
        <v>Constant</v>
      </c>
      <c r="T15" s="113"/>
    </row>
    <row r="16" spans="1:21" ht="20.100000000000001" customHeight="1" x14ac:dyDescent="0.2">
      <c r="A16" s="5" t="str">
        <f>HYPERLINK("#'Input - Common farm inputs'!A1", "Common farm inputs")</f>
        <v>Common farm inputs</v>
      </c>
      <c r="D16" s="113" t="str">
        <v>j</v>
      </c>
      <c r="E16" s="122" t="str">
        <v>Production system</v>
      </c>
      <c r="F16" s="136"/>
      <c r="G16" s="123"/>
      <c r="H16" s="113" t="str">
        <v/>
      </c>
      <c r="I16" s="249" t="str">
        <v>Input</v>
      </c>
      <c r="J16" s="113" t="str">
        <f>X_Cell_ManureSentOffsite_ManureProductionSystem</f>
        <v>Crop</v>
      </c>
      <c r="N16" s="113" t="str">
        <v>j</v>
      </c>
      <c r="O16" s="122" t="str">
        <v>Production system</v>
      </c>
      <c r="P16" s="136"/>
      <c r="Q16" s="123"/>
      <c r="R16" s="113" t="str">
        <v/>
      </c>
      <c r="S16" s="249" t="str">
        <v>Input</v>
      </c>
      <c r="T16" s="113"/>
    </row>
    <row r="17" spans="1:20" ht="20.100000000000001" customHeight="1" x14ac:dyDescent="0.2">
      <c r="A17" s="5" t="str">
        <f>HYPERLINK("#'Input - Livestock farm Inputs'!A1", "Livestock farm Inputs")</f>
        <v>Livestock farm Inputs</v>
      </c>
      <c r="D17" s="113" t="str">
        <v>i</v>
      </c>
      <c r="E17" s="122" t="str">
        <v>Wet or dry climate zone</v>
      </c>
      <c r="F17" s="136"/>
      <c r="G17" s="123"/>
      <c r="H17" s="113" t="str">
        <v/>
      </c>
      <c r="I17" s="249" t="str">
        <v>Input</v>
      </c>
      <c r="J17" s="113">
        <f>X_Cell_Site_WetOrDryClimateZone</f>
        <v>0</v>
      </c>
      <c r="N17" s="113" t="str">
        <v>i</v>
      </c>
      <c r="O17" s="122" t="str">
        <v>Wet or dry climate zone</v>
      </c>
      <c r="P17" s="136"/>
      <c r="Q17" s="123"/>
      <c r="R17" s="113" t="str">
        <v/>
      </c>
      <c r="S17" s="249" t="str">
        <v>Input</v>
      </c>
      <c r="T17" s="113"/>
    </row>
    <row r="18" spans="1:20" ht="20.100000000000001" customHeight="1" x14ac:dyDescent="0.2">
      <c r="A18" s="5" t="str">
        <f>HYPERLINK("#'Input - Freight'!A1", "Freight")</f>
        <v>Freight</v>
      </c>
    </row>
    <row r="19" spans="1:20" ht="20.100000000000001" customHeight="1" x14ac:dyDescent="0.2">
      <c r="A19" s="5" t="str">
        <f>HYPERLINK("#'Input - Solid waste'!A1", "Solid waste")</f>
        <v>Solid waste</v>
      </c>
      <c r="D19" s="85" t="s">
        <v>781</v>
      </c>
      <c r="E19" s="86" cm="1">
        <f t="array" ref="E19">Fertiliser_Equations_OrganicN2O.VEERG_5_2_1_1__1_OrganicFertiliserApplicationN2OEmissions(J13,J14,J15)</f>
        <v>0</v>
      </c>
      <c r="F19" s="95" t="str">
        <f>$E$11</f>
        <v>t N2O</v>
      </c>
      <c r="N19" s="85" t="s">
        <v>781</v>
      </c>
      <c r="O19" s="86" cm="1">
        <f t="array" ref="O19">Fertiliser_Equations_OrganicN2O.VEERG_5_2_1_1__1_OrganicFertiliserApplicationN2OEmissions(T13,J14,J15)</f>
        <v>0</v>
      </c>
      <c r="P19" s="95" t="str">
        <f>$E$11</f>
        <v>t N2O</v>
      </c>
    </row>
    <row r="20" spans="1:20" ht="20.100000000000001" customHeight="1" x14ac:dyDescent="0.2">
      <c r="A20" s="5" t="str">
        <f>HYPERLINK("#'Input - Manure sent off-site'!A1", "Manure sent off-site")</f>
        <v>Manure sent off-site</v>
      </c>
    </row>
    <row r="21" spans="1:20" ht="20.100000000000001" customHeight="1" x14ac:dyDescent="0.2">
      <c r="A21" s="5" t="str">
        <f>HYPERLINK("#'Input - Data quality'!A1", "Data quality")</f>
        <v>Data quality</v>
      </c>
    </row>
    <row r="22" spans="1:20" ht="20.100000000000001" customHeight="1" x14ac:dyDescent="0.2">
      <c r="A22" s="5" t="str">
        <f>HYPERLINK("#'Input - Fert Prod System'!A1", "Fert Prod System")</f>
        <v>Fert Prod System</v>
      </c>
    </row>
    <row r="23" spans="1:20" ht="20.100000000000001" customHeight="1" x14ac:dyDescent="0.2">
      <c r="A23" s="5" t="str">
        <f>HYPERLINK("#'Input - Fertiliser'!A1", "Fertiliser")</f>
        <v>Fertiliser</v>
      </c>
    </row>
    <row r="24" spans="1:20" ht="20.100000000000001" customHeight="1" x14ac:dyDescent="0.2">
      <c r="D24" s="2" t="str" cm="1">
        <f t="array" ref="D24">Fertiliser_Equations_AtmosphericDeposition.VEERG_5_4_1_3__2_MassOfNitrogenVolatilisedFromOrganicFertiliser_Title()</f>
        <v>Mass of nitrogen volatilised from organic fertiliser applied to production system</v>
      </c>
      <c r="N24" s="2" t="str" cm="1">
        <f t="array" ref="N24">Fertiliser_Equations_AtmosphericDeposition.VEERG_5_4_1_3__2_MassOfNitrogenVolatilisedFromOrganicFertiliser_Title()</f>
        <v>Mass of nitrogen volatilised from organic fertiliser applied to production system</v>
      </c>
    </row>
    <row r="25" spans="1:20" ht="20.100000000000001" customHeight="1" x14ac:dyDescent="0.2">
      <c r="D25" s="17" t="str" cm="1">
        <f t="array" ref="D25">Fertiliser_Equations_AtmosphericDeposition.VEERG_5_4_1_3__2_MassOfNitrogenVolatilisedFromOrganicFertiliser_Source()</f>
        <v>VEERG 2026: 5.4.1.3, Equation (2)</v>
      </c>
      <c r="N25" s="17" t="str" cm="1">
        <f t="array" ref="N25">Fertiliser_Equations_AtmosphericDeposition.VEERG_5_4_1_3__2_MassOfNitrogenVolatilisedFromOrganicFertiliser_Source()</f>
        <v>VEERG 2026: 5.4.1.3, Equation (2)</v>
      </c>
    </row>
    <row r="26" spans="1:20" ht="20.100000000000001" customHeight="1" x14ac:dyDescent="0.2">
      <c r="A26" s="6" t="s">
        <v>2</v>
      </c>
      <c r="D26" s="112" t="s">
        <v>328</v>
      </c>
      <c r="E26" s="112" t="str" cm="1">
        <f t="array" aca="1" ref="E26" ca="1">Common_InputFunctions.Utility_DisplayFunctionName(E35)</f>
        <v>=Fertiliser_Equations_AtmosphericDeposition.VEERG_5_4_1_3__2_MassOfNitrogenVolatilisedFromOrganicFertiliser</v>
      </c>
      <c r="N26" s="112" t="s">
        <v>328</v>
      </c>
      <c r="O26" s="112" t="str" cm="1">
        <f t="array" aca="1" ref="O26" ca="1">Common_InputFunctions.Utility_DisplayFunctionName(O35)</f>
        <v>=Fertiliser_Equations_AtmosphericDeposition.VEERG_5_4_1_3__2_MassOfNitrogenVolatilisedFromOrganicFertiliser</v>
      </c>
    </row>
    <row r="27" spans="1:20" ht="20.100000000000001" customHeight="1" x14ac:dyDescent="0.2">
      <c r="A27" s="5" t="str">
        <f>HYPERLINK("#'4.6.1.1-2 Methane'!A1", "4.6.1.1-2 Manure Methane")</f>
        <v>4.6.1.1-2 Manure Methane</v>
      </c>
    </row>
    <row r="28" spans="1:20" ht="20.100000000000001" customHeight="1" x14ac:dyDescent="0.2">
      <c r="A28" s="5" t="str">
        <f>HYPERLINK("#'4.6.1.3-4 Direct N20'!A1", "4.6.1.3-4 Manure Direct N2O")</f>
        <v>4.6.1.3-4 Manure Direct N2O</v>
      </c>
    </row>
    <row r="29" spans="1:20" ht="20.100000000000001" customHeight="1" x14ac:dyDescent="0.2">
      <c r="A29" s="5" t="str">
        <f>HYPERLINK("#'4.6.1.5-6 Atmos Dep'!A1", "4.6.1.5-6 Manure Atmos Dep")</f>
        <v>4.6.1.5-6 Manure Atmos Dep</v>
      </c>
      <c r="D29" s="75" t="s">
        <v>329</v>
      </c>
      <c r="E29" s="1" t="str" cm="1">
        <f t="array" ref="E29">Fertiliser_Equations_AtmosphericDeposition.VEERG_5_4_1_3__2_MassOfNitrogenVolatilisedFromOrganicFertiliser_Variable()</f>
        <v>M_volorganicjf</v>
      </c>
      <c r="N29" s="75" t="s">
        <v>329</v>
      </c>
      <c r="O29" s="1" t="str" cm="1">
        <f t="array" ref="O29">Fertiliser_Equations_AtmosphericDeposition.VEERG_5_4_1_3__2_MassOfNitrogenVolatilisedFromOrganicFertiliser_Variable()</f>
        <v>M_volorganicjf</v>
      </c>
    </row>
    <row r="30" spans="1:20" ht="20.100000000000001" customHeight="1" x14ac:dyDescent="0.2">
      <c r="A30" s="5" t="str">
        <f>HYPERLINK("#'4.6.1.7-8 Leaching and runoff'!A1", "4.6.1.7-8 Manure Leaching and runoff")</f>
        <v>4.6.1.7-8 Manure Leaching and runoff</v>
      </c>
      <c r="D30" s="75" t="s">
        <v>118</v>
      </c>
      <c r="E30" s="9" t="str" cm="1">
        <f t="array" ref="E30">Fertiliser_Equations_AtmosphericDeposition.VEERG_5_4_1_3__2_MassOfNitrogenVolatilisedFromOrganicFertiliser_Unit()</f>
        <v>kg N</v>
      </c>
      <c r="N30" s="75" t="s">
        <v>118</v>
      </c>
      <c r="O30" s="9" t="str" cm="1">
        <f t="array" ref="O30">Fertiliser_Equations_AtmosphericDeposition.VEERG_5_4_1_3__2_MassOfNitrogenVolatilisedFromOrganicFertiliser_Unit()</f>
        <v>kg N</v>
      </c>
    </row>
    <row r="31" spans="1:20" ht="20.100000000000001" customHeight="1" x14ac:dyDescent="0.2">
      <c r="A31" s="5" t="str">
        <f>HYPERLINK("#'4.6.1.9 Manure applied to soils'!A1", "4.6.1.9 Manure applied to soils")</f>
        <v>4.6.1.9 Manure applied to soils</v>
      </c>
    </row>
    <row r="32" spans="1:20" ht="20.100000000000001" customHeight="1" x14ac:dyDescent="0.2">
      <c r="A32" s="5" t="str">
        <f>HYPERLINK("#'4.6.1.10-11 Soil direct N2O'!A1", "4.6.1.10-11 Soil direct N2O")</f>
        <v>4.6.1.10-11 Soil direct N2O</v>
      </c>
      <c r="D32" s="113" t="str" cm="1">
        <f t="array" ref="D32:E33">_xlfn.CHOOSECOLS(Fertiliser_Equations_AtmosphericDeposition.VEERG_5_4_1_3__2_MassOfNitrogenVolatilisedFromOrganicFertiliser_Arguments(), 1, 2)</f>
        <v>MNSoil_jf</v>
      </c>
      <c r="E32" s="113" t="str">
        <v>mass of nitrogen in organic fertiliser type f applied to production system j</v>
      </c>
      <c r="F32" s="113"/>
      <c r="G32" s="113" t="str" cm="1">
        <f t="array" ref="G32:H33">_xlfn.CHOOSECOLS(Fertiliser_Equations_AtmosphericDeposition.VEERG_5_4_1_3__2_MassOfNitrogenVolatilisedFromOrganicFertiliser_Arguments(), 3,4)</f>
        <v>kg N</v>
      </c>
      <c r="H32" s="115" t="str">
        <v>Calculated from 5.2.1.1 (2)</v>
      </c>
      <c r="I32" s="113">
        <f>X_Cell_ManureSentOffsite_MassNitrogenManure_Method1</f>
        <v>1000</v>
      </c>
      <c r="N32" s="113" t="str" cm="1">
        <f t="array" ref="N32:O33">_xlfn.CHOOSECOLS(Fertiliser_Equations_AtmosphericDeposition.VEERG_5_4_1_3__2_MassOfNitrogenVolatilisedFromOrganicFertiliser_Arguments(), 1, 2)</f>
        <v>MNSoil_jf</v>
      </c>
      <c r="O32" s="113" t="str">
        <v>mass of nitrogen in organic fertiliser type f applied to production system j</v>
      </c>
      <c r="P32" s="113"/>
      <c r="Q32" s="113" t="str" cm="1">
        <f t="array" ref="Q32:R33">_xlfn.CHOOSECOLS(Fertiliser_Equations_AtmosphericDeposition.VEERG_5_4_1_3__2_MassOfNitrogenVolatilisedFromOrganicFertiliser_Arguments(), 3,4)</f>
        <v>kg N</v>
      </c>
      <c r="R32" s="115" t="str">
        <v>Calculated from 5.2.1.1 (2)</v>
      </c>
      <c r="S32" s="113">
        <f>X_Cell_ManureSentOffsite_MassNitrogenManure_Method2</f>
        <v>2000</v>
      </c>
    </row>
    <row r="33" spans="1:19" ht="20.100000000000001" customHeight="1" x14ac:dyDescent="0.2">
      <c r="A33" s="5" t="str">
        <f>HYPERLINK("#'4.6.1.12-13 Soil atmos dep'!A1", "4.6.1.12-13 Soil atmos dep")</f>
        <v>4.6.1.12-13 Soil atmos dep</v>
      </c>
      <c r="D33" s="113" t="str">
        <v>FracGASM_soil</v>
      </c>
      <c r="E33" s="113" t="str">
        <v>fraction of organic fertiliser N that volatilises</v>
      </c>
      <c r="F33" s="113"/>
      <c r="G33" s="113" t="str">
        <v>(kg NH3-N + NOx-N)/kg N</v>
      </c>
      <c r="H33" s="115" t="str">
        <v>Constant</v>
      </c>
      <c r="I33" s="113">
        <f>Fertiliser_FracGASMSoil_Data</f>
        <v>0.21</v>
      </c>
      <c r="N33" s="113" t="str">
        <v>FracGASM_soil</v>
      </c>
      <c r="O33" s="113" t="str">
        <v>fraction of organic fertiliser N that volatilises</v>
      </c>
      <c r="P33" s="113"/>
      <c r="Q33" s="113" t="str">
        <v>(kg NH3-N + NOx-N)/kg N</v>
      </c>
      <c r="R33" s="115" t="str">
        <v>Constant</v>
      </c>
      <c r="S33" s="113"/>
    </row>
    <row r="34" spans="1:19" ht="20.100000000000001" customHeight="1" x14ac:dyDescent="0.2">
      <c r="A34" s="5" t="str">
        <f>HYPERLINK("#'4.6.1.14-15 Soil leach runoff'!A1", "4.6.1.14-15 Soil leach runoff")</f>
        <v>4.6.1.14-15 Soil leach runoff</v>
      </c>
    </row>
    <row r="35" spans="1:19" ht="20.100000000000001" customHeight="1" x14ac:dyDescent="0.2">
      <c r="A35" s="5" t="str">
        <f>HYPERLINK("#'8.1.1.1-2 Transport fuel'!A1", "8.1.1.1-2 Transport fuel")</f>
        <v>8.1.1.1-2 Transport fuel</v>
      </c>
      <c r="D35" s="88" t="s">
        <v>1158</v>
      </c>
      <c r="E35" s="83" cm="1">
        <f t="array" ref="E35">Fertiliser_Equations_AtmosphericDeposition.VEERG_5_4_1_3__2_MassOfNitrogenVolatilisedFromOrganicFertiliser(I32,I33)</f>
        <v>210</v>
      </c>
      <c r="F35" s="89" t="str">
        <f>E30</f>
        <v>kg N</v>
      </c>
      <c r="N35" s="88" t="s">
        <v>1158</v>
      </c>
      <c r="O35" s="83" cm="1">
        <f t="array" ref="O35">Fertiliser_Equations_AtmosphericDeposition.VEERG_5_4_1_3__2_MassOfNitrogenVolatilisedFromOrganicFertiliser(S32,I33)</f>
        <v>420</v>
      </c>
      <c r="P35" s="89" t="str">
        <f>O30</f>
        <v>kg N</v>
      </c>
    </row>
    <row r="36" spans="1:19" ht="20.100000000000001" customHeight="1" x14ac:dyDescent="0.2">
      <c r="A36" s="5" t="str">
        <f>HYPERLINK("#'8.2.1.1-2 Stationary fuel'!A1", "8.2.1.1-2 Stationary fuel")</f>
        <v>8.2.1.1-2 Stationary fuel</v>
      </c>
    </row>
    <row r="37" spans="1:19" ht="20.100000000000001" customHeight="1" x14ac:dyDescent="0.2">
      <c r="A37" s="5" t="str">
        <f>HYPERLINK("#'10.1.1-2 Solid waste treatment'!A1", "10.1.1.1-2 Solid waste")</f>
        <v>10.1.1.1-2 Solid waste</v>
      </c>
    </row>
    <row r="38" spans="1:19" ht="20.100000000000001" customHeight="1" x14ac:dyDescent="0.2">
      <c r="A38" s="5" t="str">
        <f>HYPERLINK("#'14.1.1-2 Purchased electricity'!A1", "14.1.1-2 Purchased electricity")</f>
        <v>14.1.1-2 Purchased electricity</v>
      </c>
    </row>
    <row r="39" spans="1:19" ht="20.100000000000001" customHeight="1" x14ac:dyDescent="0.2">
      <c r="A39" s="5" t="str">
        <f>HYPERLINK("#'15 Scope 3'!A1", "15 Scope 3")</f>
        <v>15 Scope 3</v>
      </c>
    </row>
    <row r="40" spans="1:19" ht="20.100000000000001" customHeight="1" x14ac:dyDescent="0.2">
      <c r="A40" s="117" t="str">
        <f>HYPERLINK("#'Calcs - Manure sent off-site'!A1", "Calcs - Manure sent off-site")</f>
        <v>Calcs - Manure sent off-site</v>
      </c>
      <c r="D40" s="2" t="str" cm="1">
        <f t="array" ref="D40">Fertiliser_Equations_AtmosphericDeposition.VEERG_5_4_1_3__1_OrganicFertiliserAtmosphericDepositionN2OEmissions_Title()</f>
        <v>Nitrous oxide emissions from atmospheric deposition of all organic fertiliser types f and all production systems j</v>
      </c>
      <c r="N40" s="2" t="str" cm="1">
        <f t="array" ref="N40">Fertiliser_Equations_AtmosphericDeposition.VEERG_5_4_1_3__1_OrganicFertiliserAtmosphericDepositionN2OEmissions_Title()</f>
        <v>Nitrous oxide emissions from atmospheric deposition of all organic fertiliser types f and all production systems j</v>
      </c>
    </row>
    <row r="41" spans="1:19" ht="20.100000000000001" customHeight="1" x14ac:dyDescent="0.2">
      <c r="A41" s="5" t="str">
        <f>HYPERLINK("#'5.1.1.1-2 Inorganic fert N2O'!A1", "5.1.1.1-2 Inorganic fert N2O")</f>
        <v>5.1.1.1-2 Inorganic fert N2O</v>
      </c>
      <c r="D41" s="17" t="str" cm="1">
        <f t="array" ref="D41">Fertiliser_Equations_AtmosphericDeposition.VEERG_5_4_1_3__1_OrganicFertiliserAtmosphericDepositionN2OEmissions_Source()</f>
        <v>VEERG 2026: 5.4.1.3, Equation (1)</v>
      </c>
      <c r="N41" s="17" t="str" cm="1">
        <f t="array" ref="N41">Fertiliser_Equations_AtmosphericDeposition.VEERG_5_4_1_3__1_OrganicFertiliserAtmosphericDepositionN2OEmissions_Source()</f>
        <v>VEERG 2026: 5.4.1.3, Equation (1)</v>
      </c>
    </row>
    <row r="42" spans="1:19" ht="20.100000000000001" customHeight="1" x14ac:dyDescent="0.2">
      <c r="A42" s="5" t="str">
        <f>HYPERLINK("#'5.1.1.3-4 Inorganic fert CO2'!A1", "5.1.1.3-4 Inorganic fert CO2")</f>
        <v>5.1.1.3-4 Inorganic fert CO2</v>
      </c>
      <c r="D42" s="112" t="s">
        <v>328</v>
      </c>
      <c r="E42" s="112" t="str">
        <f ca="1">Common_InputFunctions.Utility_DisplayFunctionName(VEERG_5_4_1_3__1_OrganicFertiliserAtmosphericDepositionN2OEmissions_Result_Method1)</f>
        <v>=SUM</v>
      </c>
      <c r="N42" s="112" t="s">
        <v>328</v>
      </c>
      <c r="O42" s="112" t="str">
        <f ca="1">Common_InputFunctions.Utility_DisplayFunctionName(VEERG_5_4_1_3__1_OrganicFertiliserAtmosphericDepositionN2OEmissions_Result_Method2)</f>
        <v>=Fertiliser_Equations_AtmosphericDeposition.VEERG_5_4_1_3__1_OrganicFertiliserAtmosphericDepositionN2OEmissions</v>
      </c>
    </row>
    <row r="43" spans="1:19" ht="20.100000000000001" customHeight="1" x14ac:dyDescent="0.2">
      <c r="A43" s="5" t="str">
        <f>HYPERLINK("#'5.2.1.1-2 Organic Fert N2O'!A1", "5.2.1.1-2 Organic Fert N2O")</f>
        <v>5.2.1.1-2 Organic Fert N2O</v>
      </c>
    </row>
    <row r="44" spans="1:19" ht="20.100000000000001" customHeight="1" x14ac:dyDescent="0.2">
      <c r="A44" s="5" t="str">
        <f>HYPERLINK("#'5.3.1.1-2 Lime CO2'!A1", "5.3.1.1-2 Lime CO2")</f>
        <v>5.3.1.1-2 Lime CO2</v>
      </c>
    </row>
    <row r="45" spans="1:19" ht="20.100000000000001" customHeight="1" x14ac:dyDescent="0.2">
      <c r="A45" s="5" t="str">
        <f>HYPERLINK("#'5.4.1.1-4 Atmos deposition'!A1", "5.4.1.1-4 Atmos deposition")</f>
        <v>5.4.1.1-4 Atmos deposition</v>
      </c>
      <c r="D45" s="75" t="s">
        <v>329</v>
      </c>
      <c r="E45" s="1" t="str" cm="1">
        <f t="array" ref="E45">Fertiliser_Equations_AtmosphericDeposition.VEERG_5_4_1_3__1_OrganicFertiliserAtmosphericDepositionN2OEmissions_Variable()</f>
        <v>E_adorganic</v>
      </c>
      <c r="N45" s="75" t="s">
        <v>329</v>
      </c>
      <c r="O45" s="1" t="str" cm="1">
        <f t="array" ref="O45">Fertiliser_Equations_AtmosphericDeposition.VEERG_5_4_1_3__1_OrganicFertiliserAtmosphericDepositionN2OEmissions_Variable()</f>
        <v>E_adorganic</v>
      </c>
    </row>
    <row r="46" spans="1:19" ht="20.100000000000001" customHeight="1" x14ac:dyDescent="0.2">
      <c r="A46" s="5" t="str">
        <f>HYPERLINK("#'5.5.1.1-2 Leaching and runoff'!A1", "5.5.1.1-2 Leaching and runoff")</f>
        <v>5.5.1.1-2 Leaching and runoff</v>
      </c>
      <c r="D46" s="75" t="s">
        <v>118</v>
      </c>
      <c r="E46" s="9" t="str" cm="1">
        <f t="array" ref="E46">Fertiliser_Equations_AtmosphericDeposition.VEERG_5_4_1_3__1_OrganicFertiliserAtmosphericDepositionN2OEmissions_Unit()</f>
        <v>t N2O</v>
      </c>
      <c r="N46" s="75" t="s">
        <v>118</v>
      </c>
      <c r="O46" s="9" t="str" cm="1">
        <f t="array" ref="O46">Fertiliser_Equations_AtmosphericDeposition.VEERG_5_4_1_3__1_OrganicFertiliserAtmosphericDepositionN2OEmissions_Unit()</f>
        <v>t N2O</v>
      </c>
    </row>
    <row r="48" spans="1:19" ht="20.100000000000001" customHeight="1" x14ac:dyDescent="0.2">
      <c r="D48" s="113" t="str" cm="1">
        <f t="array" ref="D48:E53">_xlfn.CHOOSECOLS(Fertiliser_Equations_AtmosphericDeposition.VEERG_5_4_1_3__1_OrganicFertiliserAtmosphericDepositionN2OEmissions_Arguments(), 1, 2)</f>
        <v>M_volorganicjf</v>
      </c>
      <c r="E48" s="122" t="str">
        <v>mass of nitrogen volatilised from organic fertiliser applied to production system</v>
      </c>
      <c r="F48" s="123"/>
      <c r="G48" s="113" t="str" cm="1">
        <f t="array" ref="G48:H53">_xlfn.CHOOSECOLS(Fertiliser_Equations_AtmosphericDeposition.VEERG_5_4_1_3__1_OrganicFertiliserAtmosphericDepositionN2OEmissions_Arguments(), 3,4)</f>
        <v>kg N</v>
      </c>
      <c r="H48" s="115" t="str">
        <v>Calculated from 5.4.1.3 (2)</v>
      </c>
      <c r="I48" s="113">
        <f>E35</f>
        <v>210</v>
      </c>
      <c r="N48" s="113" t="str" cm="1">
        <f t="array" ref="N48:O53">_xlfn.CHOOSECOLS(Fertiliser_Equations_AtmosphericDeposition.VEERG_5_4_1_3__1_OrganicFertiliserAtmosphericDepositionN2OEmissions_Arguments(), 1, 2)</f>
        <v>M_volorganicjf</v>
      </c>
      <c r="O48" s="122" t="str">
        <v>mass of nitrogen volatilised from organic fertiliser applied to production system</v>
      </c>
      <c r="P48" s="123"/>
      <c r="Q48" s="113" t="str" cm="1">
        <f t="array" ref="Q48:R53">_xlfn.CHOOSECOLS(Fertiliser_Equations_AtmosphericDeposition.VEERG_5_4_1_3__1_OrganicFertiliserAtmosphericDepositionN2OEmissions_Arguments(), 3,4)</f>
        <v>kg N</v>
      </c>
      <c r="R48" s="115" t="str">
        <v>Calculated from 5.4.1.3 (2)</v>
      </c>
      <c r="S48" s="113">
        <f>O35</f>
        <v>420</v>
      </c>
    </row>
    <row r="49" spans="1:19" ht="20.100000000000001" customHeight="1" x14ac:dyDescent="0.2">
      <c r="A49" s="80" t="s">
        <v>1</v>
      </c>
      <c r="D49" s="113" t="str">
        <v>EF_N2Oj</v>
      </c>
      <c r="E49" s="122" t="str">
        <v>emission factor for atmospheric deposition in production system j</v>
      </c>
      <c r="F49" s="123"/>
      <c r="G49" s="113" t="str">
        <v>kg N2O-N/kg N</v>
      </c>
      <c r="H49" s="115" t="str">
        <v>Constant</v>
      </c>
      <c r="I49" s="113">
        <f>Common_InputFunctions.Utility_LookupN2OEFFromProdIrrigationRainfall(I51,I52,I53,Table_SourceData_Common_EFN2O[Production system only],Table_SourceData_Common_EFN2O[Irrigation method],Table_SourceData_Common_EFN2O[Rainfall zone],Table_SourceData_Common_EFN2O[EFN2O])</f>
        <v>7.0000000000000001E-3</v>
      </c>
      <c r="N49" s="113" t="str">
        <v>EF_N2Oj</v>
      </c>
      <c r="O49" s="122" t="str">
        <v>emission factor for atmospheric deposition in production system j</v>
      </c>
      <c r="P49" s="123"/>
      <c r="Q49" s="113" t="str">
        <v>kg N2O-N/kg N</v>
      </c>
      <c r="R49" s="115" t="str">
        <v>Constant</v>
      </c>
      <c r="S49" s="113"/>
    </row>
    <row r="50" spans="1:19" ht="20.100000000000001" customHeight="1" x14ac:dyDescent="0.2">
      <c r="A50" s="5" t="str">
        <f>HYPERLINK("#'Constants - Poultry'!A1", "Constants - Poultry")</f>
        <v>Constants - Poultry</v>
      </c>
      <c r="D50" s="113" t="str">
        <v>C_N2O</v>
      </c>
      <c r="E50" s="122" t="str">
        <v>factor to convert elemental mass of nitrous oxide to molecular mass</v>
      </c>
      <c r="F50" s="123"/>
      <c r="G50" s="113" t="str">
        <v/>
      </c>
      <c r="H50" s="115" t="str">
        <v>Constant</v>
      </c>
      <c r="I50" s="126">
        <f>Common_InputFunctions.Utility_LookupValueInTableNumber("N2O",Table_GasToMolecularConversionFactor[Gas],Table_GasToMolecularConversionFactor[Conversion factor combined])</f>
        <v>1.5714285714285714</v>
      </c>
      <c r="N50" s="113" t="str">
        <v>C_N2O</v>
      </c>
      <c r="O50" s="122" t="str">
        <v>factor to convert elemental mass of nitrous oxide to molecular mass</v>
      </c>
      <c r="P50" s="123"/>
      <c r="Q50" s="113" t="str">
        <v/>
      </c>
      <c r="R50" s="115" t="str">
        <v>Constant</v>
      </c>
      <c r="S50" s="126"/>
    </row>
    <row r="51" spans="1:19" ht="20.100000000000001" customHeight="1" x14ac:dyDescent="0.2">
      <c r="A51" s="5" t="str">
        <f>HYPERLINK("#'Constants - Common livestock'!A1", "Constants - Common Livestock")</f>
        <v>Constants - Common Livestock</v>
      </c>
      <c r="D51" s="113" t="str">
        <v>j</v>
      </c>
      <c r="E51" s="122" t="str">
        <v>Production system</v>
      </c>
      <c r="F51" s="123"/>
      <c r="G51" s="113" t="str">
        <v/>
      </c>
      <c r="H51" s="249" t="str">
        <v>Input</v>
      </c>
      <c r="I51" s="113" t="str">
        <f>IF(ISBLANK(X_Cell_ManureSentOffsite_ManureProductionSystem), "Pasture", X_Cell_ManureSentOffsite_ManureProductionSystem)</f>
        <v>Crop</v>
      </c>
      <c r="N51" s="113" t="str">
        <v>j</v>
      </c>
      <c r="O51" s="122" t="str">
        <v>Production system</v>
      </c>
      <c r="P51" s="123"/>
      <c r="Q51" s="113" t="str">
        <v/>
      </c>
      <c r="R51" s="249" t="str">
        <v>Input</v>
      </c>
      <c r="S51" s="113"/>
    </row>
    <row r="52" spans="1:19" ht="20.100000000000001" customHeight="1" x14ac:dyDescent="0.2">
      <c r="A52" s="5" t="str">
        <f>HYPERLINK("#'Constants - Electricity'!A1", "Constants - Electricity")</f>
        <v>Constants - Electricity</v>
      </c>
      <c r="D52" s="113" t="str">
        <v>ir</v>
      </c>
      <c r="E52" s="122" t="str">
        <v>irrigation method</v>
      </c>
      <c r="F52" s="123"/>
      <c r="G52" s="113" t="str">
        <v/>
      </c>
      <c r="H52" s="249" t="str">
        <v>Input</v>
      </c>
      <c r="I52" s="113" t="str">
        <f>IF(ISBLANK(X_Cell_ManureSentOffsite_ManureIrrigationMethod), "Not irrigated", X_Cell_ManureSentOffsite_ManureIrrigationMethod)</f>
        <v>Sprinkler irrigation</v>
      </c>
      <c r="N52" s="113" t="str">
        <v>ir</v>
      </c>
      <c r="O52" s="122" t="str">
        <v>irrigation method</v>
      </c>
      <c r="P52" s="123"/>
      <c r="Q52" s="113" t="str">
        <v/>
      </c>
      <c r="R52" s="249" t="str">
        <v>Input</v>
      </c>
      <c r="S52" s="113"/>
    </row>
    <row r="53" spans="1:19" ht="20.100000000000001" customHeight="1" x14ac:dyDescent="0.2">
      <c r="A53" s="5" t="str">
        <f>HYPERLINK("#'Constants - Fertiliser'!A1", "Constants - Fertiliser")</f>
        <v>Constants - Fertiliser</v>
      </c>
      <c r="D53" s="113" t="str">
        <v>r</v>
      </c>
      <c r="E53" s="122" t="str">
        <v>rainfall region</v>
      </c>
      <c r="F53" s="123"/>
      <c r="G53" s="113" t="str">
        <v/>
      </c>
      <c r="H53" s="249" t="str">
        <v>Input</v>
      </c>
      <c r="I53" s="113" t="str">
        <f>IF(ISBLANK(X_Cell_Site_RainfallZone), "Low rainfall", X_Cell_Site_RainfallZone)</f>
        <v>Low rainfall</v>
      </c>
      <c r="N53" s="113" t="str">
        <v>r</v>
      </c>
      <c r="O53" s="122" t="str">
        <v>rainfall region</v>
      </c>
      <c r="P53" s="123"/>
      <c r="Q53" s="113" t="str">
        <v/>
      </c>
      <c r="R53" s="249" t="str">
        <v>Input</v>
      </c>
      <c r="S53" s="113"/>
    </row>
    <row r="54" spans="1:19" ht="20.100000000000001" customHeight="1" x14ac:dyDescent="0.2">
      <c r="A54" s="5" t="str">
        <f>HYPERLINK("#'Constants - Fuel'!A1", "Constants - Fuel")</f>
        <v>Constants - Fuel</v>
      </c>
    </row>
    <row r="55" spans="1:19" ht="20.100000000000001" customHeight="1" x14ac:dyDescent="0.2">
      <c r="A55" s="5" t="str">
        <f>HYPERLINK("#'Constants - Scope 3'!A1", "Constants - Scope 3")</f>
        <v>Constants - Scope 3</v>
      </c>
      <c r="D55" s="85" t="s">
        <v>827</v>
      </c>
      <c r="E55" s="86" cm="1">
        <f t="array" ref="E55">Fertiliser_Equations_AtmosphericDeposition.VEERG_5_4_1_3__1_OrganicFertiliserAtmosphericDepositionN2OEmissions(I48,I49,I50)</f>
        <v>2.31E-3</v>
      </c>
      <c r="F55" s="95" t="str">
        <f>$E$46</f>
        <v>t N2O</v>
      </c>
      <c r="N55" s="85" t="s">
        <v>827</v>
      </c>
      <c r="O55" s="86" cm="1">
        <f t="array" ref="O55">Fertiliser_Equations_AtmosphericDeposition.VEERG_5_4_1_3__1_OrganicFertiliserAtmosphericDepositionN2OEmissions(S48,I49,I50)</f>
        <v>4.62E-3</v>
      </c>
      <c r="P55" s="95" t="str">
        <f>$E$46</f>
        <v>t N2O</v>
      </c>
    </row>
    <row r="56" spans="1:19" ht="20.100000000000001" customHeight="1" x14ac:dyDescent="0.2">
      <c r="A56" s="5" t="str">
        <f>HYPERLINK("#'Constants - Solid Waste'!A1", "Constants - Solid Waste")</f>
        <v>Constants - Solid Waste</v>
      </c>
    </row>
    <row r="57" spans="1:19" ht="20.100000000000001" customHeight="1" x14ac:dyDescent="0.2">
      <c r="A57" s="5" t="str">
        <f>HYPERLINK("#'Constants - Common'!A1", "Constants - Common")</f>
        <v>Constants - Common</v>
      </c>
    </row>
    <row r="59" spans="1:19" ht="20.100000000000001" customHeight="1" x14ac:dyDescent="0.2">
      <c r="D59" s="2" t="str" cm="1">
        <f t="array" ref="D59">Fertiliser_Equations_LeachingAndRunoff.VEERG_5_5_1_1__3_MassOfNitrogenLeachedFromOrganicFertiliser_Title()</f>
        <v>Mass of nitrogen lost through leaching and runoff from organic fertiliser application in production system j</v>
      </c>
      <c r="N59" s="2" t="str" cm="1">
        <f t="array" ref="N59">Fertiliser_Equations_LeachingAndRunoff.VEERG_5_5_1_1__3_MassOfNitrogenLeachedFromOrganicFertiliser_Title()</f>
        <v>Mass of nitrogen lost through leaching and runoff from organic fertiliser application in production system j</v>
      </c>
    </row>
    <row r="60" spans="1:19" ht="20.100000000000001" customHeight="1" x14ac:dyDescent="0.2">
      <c r="D60" s="17" t="str" cm="1">
        <f t="array" ref="D60">Fertiliser_Equations_LeachingAndRunoff.VEERG_5_5_1_1__3_MassOfNitrogenLeachedFromOrganicFertiliser_Source()</f>
        <v>VEERG 2026: 5.5, Equation (3)</v>
      </c>
      <c r="N60" s="17" t="str" cm="1">
        <f t="array" ref="N60">Fertiliser_Equations_LeachingAndRunoff.VEERG_5_5_1_1__3_MassOfNitrogenLeachedFromOrganicFertiliser_Source()</f>
        <v>VEERG 2026: 5.5, Equation (3)</v>
      </c>
    </row>
    <row r="61" spans="1:19" ht="20.100000000000001" customHeight="1" x14ac:dyDescent="0.2">
      <c r="D61" s="112" t="s">
        <v>328</v>
      </c>
      <c r="E61" s="112" t="str" cm="1">
        <f t="array" aca="1" ref="E61" ca="1">Common_InputFunctions.Utility_DisplayFunctionName(E74)</f>
        <v>=Fertiliser_Equations_LeachingAndRunoff.VEERG_5_5_1_1__3_MassOfNitrogenLeachedFromOrganicFertiliser</v>
      </c>
      <c r="N61" s="112" t="s">
        <v>328</v>
      </c>
      <c r="O61" s="112" t="str" cm="1">
        <f t="array" aca="1" ref="O61" ca="1">Common_InputFunctions.Utility_DisplayFunctionName(O74)</f>
        <v>=Fertiliser_Equations_LeachingAndRunoff.VEERG_5_5_1_1__3_MassOfNitrogenLeachedFromOrganicFertiliser</v>
      </c>
    </row>
    <row r="64" spans="1:19" ht="20.100000000000001" customHeight="1" x14ac:dyDescent="0.2">
      <c r="D64" s="75" t="s">
        <v>329</v>
      </c>
      <c r="E64" s="1" t="str" cm="1">
        <f t="array" ref="E64">Fertiliser_Equations_LeachingAndRunoff.VEERG_5_5_1_1__3_MassOfNitrogenLeachedFromOrganicFertiliser_Variable()</f>
        <v>M_leachorganicj</v>
      </c>
      <c r="N64" s="75" t="s">
        <v>329</v>
      </c>
      <c r="O64" s="1" t="str" cm="1">
        <f t="array" ref="O64">Fertiliser_Equations_LeachingAndRunoff.VEERG_5_5_1_1__3_MassOfNitrogenLeachedFromOrganicFertiliser_Variable()</f>
        <v>M_leachorganicj</v>
      </c>
    </row>
    <row r="65" spans="1:19" ht="20.100000000000001" customHeight="1" x14ac:dyDescent="0.2">
      <c r="D65" s="75" t="s">
        <v>118</v>
      </c>
      <c r="E65" s="9" t="str" cm="1">
        <f t="array" ref="E65">Fertiliser_Equations_LeachingAndRunoff.VEERG_5_5_1_1__3_MassOfNitrogenLeachedFromOrganicFertiliser_Unit()</f>
        <v>kg N</v>
      </c>
      <c r="N65" s="75" t="s">
        <v>118</v>
      </c>
      <c r="O65" s="9" t="str" cm="1">
        <f t="array" ref="O65">Fertiliser_Equations_LeachingAndRunoff.VEERG_5_5_1_1__3_MassOfNitrogenLeachedFromOrganicFertiliser_Unit()</f>
        <v>kg N</v>
      </c>
    </row>
    <row r="67" spans="1:19" ht="20.100000000000001" customHeight="1" x14ac:dyDescent="0.2">
      <c r="D67" s="113" t="str" cm="1">
        <f t="array" ref="D67:E72">_xlfn.CHOOSECOLS(Fertiliser_Equations_LeachingAndRunoff.VEERG_5_5_1_1__3_MassOfNitrogenLeachedFromOrganicFertiliser_Arguments(), 1, 2)</f>
        <v>MNSoil_jf</v>
      </c>
      <c r="E67" s="122" t="str">
        <v>mass of nitrogen in organic fertiliser</v>
      </c>
      <c r="F67" s="123"/>
      <c r="G67" s="113" t="str" cm="1">
        <f t="array" ref="G67:H72">_xlfn.CHOOSECOLS(Fertiliser_Equations_LeachingAndRunoff.VEERG_5_5_1_1__3_MassOfNitrogenLeachedFromOrganicFertiliser_Arguments(), 3,4)</f>
        <v>kg N</v>
      </c>
      <c r="H67" s="115" t="str">
        <v>Calculated from 5.2.1.1 (2)</v>
      </c>
      <c r="I67" s="113">
        <f>X_Cell_ManureSentOffsite_MassNitrogenManure_Method1</f>
        <v>1000</v>
      </c>
      <c r="N67" s="113" t="str" cm="1">
        <f t="array" ref="N67:O72">_xlfn.CHOOSECOLS(Fertiliser_Equations_LeachingAndRunoff.VEERG_5_5_1_1__3_MassOfNitrogenLeachedFromOrganicFertiliser_Arguments(), 1, 2)</f>
        <v>MNSoil_jf</v>
      </c>
      <c r="O67" s="122" t="str">
        <v>mass of nitrogen in organic fertiliser</v>
      </c>
      <c r="P67" s="123"/>
      <c r="Q67" s="113" t="str" cm="1">
        <f t="array" ref="Q67:R72">_xlfn.CHOOSECOLS(Fertiliser_Equations_LeachingAndRunoff.VEERG_5_5_1_1__3_MassOfNitrogenLeachedFromOrganicFertiliser_Arguments(), 3,4)</f>
        <v>kg N</v>
      </c>
      <c r="R67" s="115" t="str">
        <v>Calculated from 5.2.1.1 (2)</v>
      </c>
      <c r="S67" s="113">
        <f>X_Cell_ManureSentOffsite_MassNitrogenManure_Method2</f>
        <v>2000</v>
      </c>
    </row>
    <row r="68" spans="1:19" ht="20.100000000000001" customHeight="1" x14ac:dyDescent="0.2">
      <c r="A68" s="79" t="str">
        <f>HYPERLINK("#A1", "▲ Back to top")</f>
        <v>▲ Back to top</v>
      </c>
      <c r="D68" s="113" t="str">
        <v>FracWETj</v>
      </c>
      <c r="E68" s="122" t="str">
        <v>fraction of N available for leaching and runoff</v>
      </c>
      <c r="F68" s="123"/>
      <c r="G68" s="113" t="str">
        <v>fraction</v>
      </c>
      <c r="H68" s="115" t="str">
        <v>Constant</v>
      </c>
      <c r="I68" s="113">
        <f>Common_InputFunctions.CommonCropping_GetFracWET(I70,I72,Table_SourceData_FracWET[Is in leaching zone],Table_SourceData_FracWET[FracWET],Table_SourceData_FracWETIrrigation[Irrigation type i],Table_SourceData_FracWETIrrigation[FracWET])</f>
        <v>1</v>
      </c>
      <c r="N68" s="113" t="str">
        <v>FracWETj</v>
      </c>
      <c r="O68" s="122" t="str">
        <v>fraction of N available for leaching and runoff</v>
      </c>
      <c r="P68" s="123"/>
      <c r="Q68" s="113" t="str">
        <v>fraction</v>
      </c>
      <c r="R68" s="115" t="str">
        <v>Constant</v>
      </c>
      <c r="S68" s="113"/>
    </row>
    <row r="69" spans="1:19" ht="20.100000000000001" customHeight="1" x14ac:dyDescent="0.2">
      <c r="D69" s="113" t="str">
        <v>FracLEACH</v>
      </c>
      <c r="E69" s="122" t="str">
        <v>fraction of N that is lost through leaching and runoff</v>
      </c>
      <c r="F69" s="123"/>
      <c r="G69" s="113" t="str">
        <v>fraction</v>
      </c>
      <c r="H69" s="115" t="str">
        <v>Constant</v>
      </c>
      <c r="I69" s="113">
        <f>Fertiliser_FracLEACH_Data</f>
        <v>0.24</v>
      </c>
      <c r="N69" s="113" t="str">
        <v>FracLEACH</v>
      </c>
      <c r="O69" s="122" t="str">
        <v>fraction of N that is lost through leaching and runoff</v>
      </c>
      <c r="P69" s="123"/>
      <c r="Q69" s="113" t="str">
        <v>fraction</v>
      </c>
      <c r="R69" s="115" t="str">
        <v>Constant</v>
      </c>
      <c r="S69" s="113"/>
    </row>
    <row r="70" spans="1:19" ht="20.100000000000001" customHeight="1" x14ac:dyDescent="0.2">
      <c r="D70" s="113" t="str">
        <v>z</v>
      </c>
      <c r="E70" s="122" t="str">
        <v>location in leaching zone</v>
      </c>
      <c r="F70" s="123"/>
      <c r="G70" s="113" t="str">
        <v/>
      </c>
      <c r="H70" s="249" t="str">
        <v>Input</v>
      </c>
      <c r="I70" s="113">
        <f>X_Cell_Site_LeachingZone</f>
        <v>0</v>
      </c>
      <c r="N70" s="113" t="str">
        <v>z</v>
      </c>
      <c r="O70" s="122" t="str">
        <v>location in leaching zone</v>
      </c>
      <c r="P70" s="123"/>
      <c r="Q70" s="113" t="str">
        <v/>
      </c>
      <c r="R70" s="249" t="str">
        <v>Input</v>
      </c>
      <c r="S70" s="113"/>
    </row>
    <row r="71" spans="1:19" ht="20.100000000000001" customHeight="1" x14ac:dyDescent="0.2">
      <c r="D71" s="113" t="str">
        <v>j</v>
      </c>
      <c r="E71" s="122" t="str">
        <v>production system</v>
      </c>
      <c r="F71" s="123"/>
      <c r="G71" s="113" t="str">
        <v/>
      </c>
      <c r="H71" s="249" t="str">
        <v>Input</v>
      </c>
      <c r="I71" s="113" t="str">
        <f>IF(ISBLANK(X_Cell_ManureSentOffsite_ManureProductionSystem), "Pasture", X_Cell_ManureSentOffsite_ManureProductionSystem)</f>
        <v>Crop</v>
      </c>
      <c r="N71" s="113" t="str">
        <v>j</v>
      </c>
      <c r="O71" s="122" t="str">
        <v>production system</v>
      </c>
      <c r="P71" s="123"/>
      <c r="Q71" s="113" t="str">
        <v/>
      </c>
      <c r="R71" s="249" t="str">
        <v>Input</v>
      </c>
      <c r="S71" s="113"/>
    </row>
    <row r="72" spans="1:19" ht="20.100000000000001" customHeight="1" x14ac:dyDescent="0.2">
      <c r="D72" s="113" t="str">
        <v>ir</v>
      </c>
      <c r="E72" s="122" t="str">
        <v>irrigation method</v>
      </c>
      <c r="F72" s="123"/>
      <c r="G72" s="113" t="str">
        <v/>
      </c>
      <c r="H72" s="249" t="str">
        <v>Input</v>
      </c>
      <c r="I72" s="113" t="str">
        <f>IF(ISBLANK(X_Cell_ManureSentOffsite_ManureIrrigationMethod), "Not irrigated", X_Cell_ManureSentOffsite_ManureIrrigationMethod)</f>
        <v>Sprinkler irrigation</v>
      </c>
      <c r="N72" s="113" t="str">
        <v>ir</v>
      </c>
      <c r="O72" s="122" t="str">
        <v>irrigation method</v>
      </c>
      <c r="P72" s="123"/>
      <c r="Q72" s="113" t="str">
        <v/>
      </c>
      <c r="R72" s="249" t="str">
        <v>Input</v>
      </c>
      <c r="S72" s="113"/>
    </row>
    <row r="74" spans="1:19" ht="20.100000000000001" customHeight="1" x14ac:dyDescent="0.2">
      <c r="D74" s="88" t="s">
        <v>1159</v>
      </c>
      <c r="E74" s="83" cm="1">
        <f t="array" ref="E74">Fertiliser_Equations_LeachingAndRunoff.VEERG_5_5_1_1__3_MassOfNitrogenLeachedFromOrganicFertiliser(I67,I68,I69)</f>
        <v>240</v>
      </c>
      <c r="F74" s="89" t="str">
        <f>$E$65</f>
        <v>kg N</v>
      </c>
      <c r="N74" s="88" t="s">
        <v>1159</v>
      </c>
      <c r="O74" s="83" cm="1">
        <f t="array" ref="O74">Fertiliser_Equations_LeachingAndRunoff.VEERG_5_5_1_1__3_MassOfNitrogenLeachedFromOrganicFertiliser(S67,I68,I69)</f>
        <v>480</v>
      </c>
      <c r="P74" s="89" t="str">
        <f>$E$65</f>
        <v>kg N</v>
      </c>
    </row>
    <row r="77" spans="1:19" ht="20.100000000000001" customHeight="1" x14ac:dyDescent="0.2">
      <c r="D77" s="2" t="str" cm="1">
        <f t="array" ref="D77">Fertiliser_Equations_LeachingAndRunoff.VEERG_5_5_1_1__1_FertiliserLeachingAndRunoffN2OEmissions_Title()</f>
        <v>Nitrous oxide emissions from nitrogen leaching and runoff from the application of all fertilisers across all production systems j</v>
      </c>
      <c r="N77" s="2" t="str" cm="1">
        <f t="array" ref="N77">Fertiliser_Equations_LeachingAndRunoff.VEERG_5_5_1_1__1_FertiliserLeachingAndRunoffN2OEmissions_Title()</f>
        <v>Nitrous oxide emissions from nitrogen leaching and runoff from the application of all fertilisers across all production systems j</v>
      </c>
    </row>
    <row r="78" spans="1:19" ht="20.100000000000001" customHeight="1" x14ac:dyDescent="0.2">
      <c r="D78" s="17" t="str" cm="1">
        <f t="array" ref="D78">Fertiliser_Equations_LeachingAndRunoff.VEERG_5_5_1_1__1_FertiliserLeachingAndRunoffN2OEmissions_Source()</f>
        <v>VEERG 2026: 5.5, Equation (1)</v>
      </c>
      <c r="N78" s="17" t="str" cm="1">
        <f t="array" ref="N78">Fertiliser_Equations_LeachingAndRunoff.VEERG_5_5_1_1__1_FertiliserLeachingAndRunoffN2OEmissions_Source()</f>
        <v>VEERG 2026: 5.5, Equation (1)</v>
      </c>
    </row>
    <row r="79" spans="1:19" ht="20.100000000000001" customHeight="1" x14ac:dyDescent="0.2">
      <c r="D79" s="112" t="s">
        <v>328</v>
      </c>
      <c r="E79" s="112" t="str">
        <f ca="1">Common_InputFunctions.Utility_DisplayFunctionName(VEERG_5_5_1_1__1_FertiliserLeachingAndRunoffN2OEmissions_Result_Method1)</f>
        <v>=Fertiliser_Equations_LeachingAndRunoff.VEERG_5_5_1_1__1_FertiliserLeachingAndRunoffN2OEmissions</v>
      </c>
      <c r="N79" s="112" t="s">
        <v>328</v>
      </c>
      <c r="O79" s="112" t="str">
        <f ca="1">Common_InputFunctions.Utility_DisplayFunctionName(VEERG_5_5_1_1__1_FertiliserLeachingAndRunoffN2OEmissions_Result_Method2)</f>
        <v>=Fertiliser_Equations_LeachingAndRunoff.VEERG_5_5_1_1__1_FertiliserLeachingAndRunoffN2OEmissions</v>
      </c>
    </row>
    <row r="82" spans="4:20" ht="20.100000000000001" customHeight="1" x14ac:dyDescent="0.2">
      <c r="D82" s="75" t="s">
        <v>329</v>
      </c>
      <c r="E82" s="1" t="str" cm="1">
        <f t="array" ref="E82">Fertiliser_Equations_LeachingAndRunoff.VEERG_5_5_1_1__1_FertiliserLeachingAndRunoffN2OEmissions_Variable()</f>
        <v>E_fertleach</v>
      </c>
      <c r="N82" s="75" t="s">
        <v>329</v>
      </c>
      <c r="O82" s="1" t="str" cm="1">
        <f t="array" ref="O82">Fertiliser_Equations_LeachingAndRunoff.VEERG_5_5_1_1__1_FertiliserLeachingAndRunoffN2OEmissions_Variable()</f>
        <v>E_fertleach</v>
      </c>
    </row>
    <row r="83" spans="4:20" ht="20.100000000000001" customHeight="1" x14ac:dyDescent="0.2">
      <c r="D83" s="75" t="s">
        <v>118</v>
      </c>
      <c r="E83" s="9" t="str" cm="1">
        <f t="array" ref="E83">Fertiliser_Equations_LeachingAndRunoff.VEERG_5_5_1_1__1_FertiliserLeachingAndRunoffN2OEmissions_Unit()</f>
        <v>t N2O</v>
      </c>
      <c r="N83" s="75" t="s">
        <v>118</v>
      </c>
      <c r="O83" s="9" t="str" cm="1">
        <f t="array" ref="O83">Fertiliser_Equations_LeachingAndRunoff.VEERG_5_5_1_1__1_FertiliserLeachingAndRunoffN2OEmissions_Unit()</f>
        <v>t N2O</v>
      </c>
    </row>
    <row r="85" spans="4:20" ht="20.100000000000001" customHeight="1" x14ac:dyDescent="0.2">
      <c r="D85" s="113" t="str" cm="1">
        <f t="array" ref="D85:E88">_xlfn.CHOOSECOLS(Fertiliser_Equations_LeachingAndRunoff.VEERG_5_5_1_1__1_FertiliserLeachingAndRunoffN2OEmissions_Arguments(), 1, 2)</f>
        <v>M_leachinorganicj</v>
      </c>
      <c r="E85" s="122" t="str">
        <v>mass of nitrogen lost through leaching and runoff from inorganic fertiliser application in production system j</v>
      </c>
      <c r="F85" s="136"/>
      <c r="G85" s="123"/>
      <c r="H85" s="113" t="str" cm="1">
        <f t="array" ref="H85:I88">_xlfn.CHOOSECOLS(Fertiliser_Equations_LeachingAndRunoff.VEERG_5_5_1_1__1_FertiliserLeachingAndRunoffN2OEmissions_Arguments(), 3,4)</f>
        <v>kg N</v>
      </c>
      <c r="I85" s="115" t="str">
        <v>Calculated from 5.5.1.1 (2)</v>
      </c>
      <c r="J85" s="113">
        <v>0</v>
      </c>
      <c r="N85" s="113" t="str" cm="1">
        <f t="array" ref="N85:O88">_xlfn.CHOOSECOLS(Fertiliser_Equations_LeachingAndRunoff.VEERG_5_5_1_1__1_FertiliserLeachingAndRunoffN2OEmissions_Arguments(), 1, 2)</f>
        <v>M_leachinorganicj</v>
      </c>
      <c r="O85" s="122" t="str">
        <v>mass of nitrogen lost through leaching and runoff from inorganic fertiliser application in production system j</v>
      </c>
      <c r="P85" s="136"/>
      <c r="Q85" s="123"/>
      <c r="R85" s="113" t="str" cm="1">
        <f t="array" ref="R85:S88">_xlfn.CHOOSECOLS(Fertiliser_Equations_LeachingAndRunoff.VEERG_5_5_1_1__1_FertiliserLeachingAndRunoffN2OEmissions_Arguments(), 3,4)</f>
        <v>kg N</v>
      </c>
      <c r="S85" s="115" t="str">
        <v>Calculated from 5.5.1.1 (2)</v>
      </c>
      <c r="T85" s="113"/>
    </row>
    <row r="86" spans="4:20" ht="20.100000000000001" customHeight="1" x14ac:dyDescent="0.2">
      <c r="D86" s="113" t="str">
        <v>M_leachorganicj</v>
      </c>
      <c r="E86" s="122" t="str">
        <v>mass of nitrogen lost through leaching and runoff from organic fertiliser application</v>
      </c>
      <c r="F86" s="136"/>
      <c r="G86" s="123"/>
      <c r="H86" s="113" t="str">
        <v>kg N</v>
      </c>
      <c r="I86" s="115" t="str">
        <v>Calculated from 5.5.1.1 (3)</v>
      </c>
      <c r="J86" s="113">
        <f>E74</f>
        <v>240</v>
      </c>
      <c r="N86" s="113" t="str">
        <v>M_leachorganicj</v>
      </c>
      <c r="O86" s="122" t="str">
        <v>mass of nitrogen lost through leaching and runoff from organic fertiliser application</v>
      </c>
      <c r="P86" s="136"/>
      <c r="Q86" s="123"/>
      <c r="R86" s="113" t="str">
        <v>kg N</v>
      </c>
      <c r="S86" s="115" t="str">
        <v>Calculated from 5.5.1.1 (3)</v>
      </c>
      <c r="T86" s="113">
        <f>O74</f>
        <v>480</v>
      </c>
    </row>
    <row r="87" spans="4:20" ht="20.100000000000001" customHeight="1" x14ac:dyDescent="0.2">
      <c r="D87" s="113" t="str">
        <v>EF_leach</v>
      </c>
      <c r="E87" s="122" t="str">
        <v>emission factor for nitrogen leaching and runoff</v>
      </c>
      <c r="F87" s="136"/>
      <c r="G87" s="123"/>
      <c r="H87" s="113" t="str">
        <v>kg N2O-N/kg N</v>
      </c>
      <c r="I87" s="115" t="str">
        <v>Constant</v>
      </c>
      <c r="J87" s="113">
        <f>Fertiliser_EFLeach_Data</f>
        <v>1.0999999999999999E-2</v>
      </c>
      <c r="N87" s="113" t="str">
        <v>EF_leach</v>
      </c>
      <c r="O87" s="122" t="str">
        <v>emission factor for nitrogen leaching and runoff</v>
      </c>
      <c r="P87" s="136"/>
      <c r="Q87" s="123"/>
      <c r="R87" s="113" t="str">
        <v>kg N2O-N/kg N</v>
      </c>
      <c r="S87" s="115" t="str">
        <v>Constant</v>
      </c>
      <c r="T87" s="113"/>
    </row>
    <row r="88" spans="4:20" ht="20.100000000000001" customHeight="1" x14ac:dyDescent="0.2">
      <c r="D88" s="113" t="str">
        <v>C_N2O</v>
      </c>
      <c r="E88" s="122" t="str">
        <v>factor to convert elemental mass of nitrous oxide to molecular mass</v>
      </c>
      <c r="F88" s="136"/>
      <c r="G88" s="123"/>
      <c r="H88" s="113" t="str">
        <v/>
      </c>
      <c r="I88" s="115" t="str">
        <v>Constant</v>
      </c>
      <c r="J88" s="126">
        <f>Common_InputFunctions.Utility_LookupValueInTableNumber("N2O",Table_GasToMolecularConversionFactor[Gas],Table_GasToMolecularConversionFactor[Conversion factor combined])</f>
        <v>1.5714285714285714</v>
      </c>
      <c r="N88" s="113" t="str">
        <v>C_N2O</v>
      </c>
      <c r="O88" s="122" t="str">
        <v>factor to convert elemental mass of nitrous oxide to molecular mass</v>
      </c>
      <c r="P88" s="136"/>
      <c r="Q88" s="123"/>
      <c r="R88" s="113" t="str">
        <v/>
      </c>
      <c r="S88" s="115" t="str">
        <v>Constant</v>
      </c>
      <c r="T88" s="126"/>
    </row>
    <row r="90" spans="4:20" ht="20.100000000000001" customHeight="1" x14ac:dyDescent="0.2">
      <c r="D90" s="85" t="s">
        <v>844</v>
      </c>
      <c r="E90" s="86" cm="1">
        <f t="array" ref="E90">Fertiliser_Equations_LeachingAndRunoff.VEERG_5_5_1_1__1_FertiliserLeachingAndRunoffN2OEmissions(J85,J86,J87,J88)</f>
        <v>4.1485714285714277E-3</v>
      </c>
      <c r="F90" s="95" t="str">
        <f>$E$83</f>
        <v>t N2O</v>
      </c>
      <c r="N90" s="85" t="s">
        <v>844</v>
      </c>
      <c r="O90" s="86" cm="1">
        <f t="array" ref="O90">Fertiliser_Equations_LeachingAndRunoff.VEERG_5_5_1_1__1_FertiliserLeachingAndRunoffN2OEmissions(J85,T86,J87,J88)</f>
        <v>8.2971428571428554E-3</v>
      </c>
      <c r="P90" s="95" t="str">
        <f>$E$83</f>
        <v>t N2O</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97D94-BA31-40E5-9825-DC8E86A2BCEF}">
  <sheetPr>
    <tabColor theme="2" tint="-0.499984740745262"/>
  </sheetPr>
  <dimension ref="A1:W45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5" width="30.7109375" style="1" customWidth="1"/>
    <col min="6" max="6" width="31.140625" style="1" customWidth="1"/>
    <col min="7" max="7" width="32.5703125" style="1" customWidth="1"/>
    <col min="8" max="12" width="30.7109375" style="1" customWidth="1"/>
    <col min="13" max="13" width="30.7109375" customWidth="1"/>
    <col min="14" max="20" width="30.7109375" style="1" customWidth="1"/>
    <col min="21" max="21" width="4.7109375" style="1" customWidth="1"/>
  </cols>
  <sheetData>
    <row r="1" spans="1:21" s="20" customFormat="1" ht="30" customHeight="1" x14ac:dyDescent="0.35">
      <c r="A1" s="10" t="e" vm="1">
        <v>#VALUE!</v>
      </c>
      <c r="C1" s="20" t="s">
        <v>491</v>
      </c>
    </row>
    <row r="2" spans="1:21" s="3" customFormat="1" ht="20.100000000000001" customHeight="1" x14ac:dyDescent="0.2">
      <c r="A2"/>
    </row>
    <row r="3" spans="1:21"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row>
    <row r="4" spans="1:21" ht="20.100000000000001" customHeight="1" x14ac:dyDescent="0.2">
      <c r="A4" s="5" t="str">
        <f>HYPERLINK("#'Results - Activity period'!A1", "Results - Activity period")</f>
        <v>Results - Activity period</v>
      </c>
      <c r="M4" s="8"/>
    </row>
    <row r="5" spans="1:21" ht="20.100000000000001" customHeight="1" x14ac:dyDescent="0.2">
      <c r="A5" s="5" t="str">
        <f>HYPERLINK("#'Results - Product EI'!A1", "Results - Product Emissions Intensity")</f>
        <v>Results - Product Emissions Intensity</v>
      </c>
      <c r="D5" s="2" t="str" cm="1">
        <f t="array" ref="D5">SourceData_Poultry.SourceData_Poultry_DietProperties_Title()</f>
        <v>Poultry - Diet properties</v>
      </c>
      <c r="M5" s="1"/>
    </row>
    <row r="6" spans="1:21" ht="20.100000000000001" customHeight="1" x14ac:dyDescent="0.2">
      <c r="D6" s="17" t="str" cm="1">
        <f t="array" ref="D6">SourceData_Poultry.SourceData_Poultry_DietProperties_Source()</f>
        <v>VEERG 2026: Table A.1.7.1: Poultry - Diet properties</v>
      </c>
      <c r="M6" s="1"/>
    </row>
    <row r="7" spans="1:21" ht="20.100000000000001" customHeight="1" x14ac:dyDescent="0.2">
      <c r="M7" s="1"/>
    </row>
    <row r="8" spans="1:21" ht="20.100000000000001" customHeight="1" x14ac:dyDescent="0.2">
      <c r="A8" s="7" t="s">
        <v>0</v>
      </c>
      <c r="D8" s="19" t="s">
        <v>492</v>
      </c>
      <c r="E8" s="19" t="s">
        <v>297</v>
      </c>
      <c r="F8" s="19" t="s">
        <v>298</v>
      </c>
      <c r="G8" s="19" t="s">
        <v>493</v>
      </c>
      <c r="H8" s="19" t="s">
        <v>494</v>
      </c>
      <c r="M8" s="1"/>
    </row>
    <row r="9" spans="1:21" ht="20.100000000000001" customHeight="1" x14ac:dyDescent="0.2">
      <c r="A9" s="5" t="str">
        <f>HYPERLINK("#'Input - Enterprise'!A1", "Enterprise")</f>
        <v>Enterprise</v>
      </c>
      <c r="D9" s="19" t="str" cm="1">
        <f t="array" ref="D9">Common_InputFunctions.Utility_DisplayArrayInTable(SourceData_Poultry.SourceData_Poultry_DietProperties_Data(), Table_SourceData_Poultry_DietProperties[[#Headers],[Nutrient analysis]], 0)</f>
        <v>Dry matter intake (kg/head/day)</v>
      </c>
      <c r="E9" s="19" cm="1">
        <f t="array" ref="E9">Common_InputFunctions.Utility_DisplayArrayInTable(SourceData_Poultry.SourceData_Poultry_DietProperties_Data(), Table_SourceData_Poultry_DietProperties[[#Headers],[Nutrient analysis]], 0)</f>
        <v>8.5999999999999993E-2</v>
      </c>
      <c r="F9" s="19" cm="1">
        <f t="array" ref="F9">Common_InputFunctions.Utility_DisplayArrayInTable(SourceData_Poultry.SourceData_Poultry_DietProperties_Data(), Table_SourceData_Poultry_DietProperties[[#Headers],[Nutrient analysis]], 0)</f>
        <v>9.2999999999999999E-2</v>
      </c>
      <c r="G9" s="19" cm="1">
        <f t="array" ref="G9">Common_InputFunctions.Utility_DisplayArrayInTable(SourceData_Poultry.SourceData_Poultry_DietProperties_Data(), Table_SourceData_Poultry_DietProperties[[#Headers],[Nutrient analysis]], 0)</f>
        <v>0.10299999999999999</v>
      </c>
      <c r="H9" s="19" cm="1">
        <f t="array" ref="H9">Common_InputFunctions.Utility_DisplayArrayInTable(SourceData_Poultry.SourceData_Poultry_DietProperties_Data(), Table_SourceData_Poultry_DietProperties[[#Headers],[Nutrient analysis]], 0)</f>
        <v>9.2999999999999999E-2</v>
      </c>
      <c r="M9" s="1"/>
    </row>
    <row r="10" spans="1:21" ht="20.100000000000001" customHeight="1" x14ac:dyDescent="0.2">
      <c r="A10" s="5" t="str">
        <f>HYPERLINK("#'Input - Site'!A1", "Site")</f>
        <v>Site</v>
      </c>
      <c r="D10" s="1" t="str" cm="1">
        <f t="array" ref="D10">Common_InputFunctions.Utility_DisplayArrayInTable(SourceData_Poultry.SourceData_Poultry_DietProperties_Data(), Table_SourceData_Poultry_DietProperties[[#Headers],[Nutrient analysis]], 0)</f>
        <v>Dry matter digestibility</v>
      </c>
      <c r="E10" s="19" cm="1">
        <f t="array" ref="E10">Common_InputFunctions.Utility_DisplayArrayInTable(SourceData_Poultry.SourceData_Poultry_DietProperties_Data(), Table_SourceData_Poultry_DietProperties[[#Headers],[Nutrient analysis]], 0)</f>
        <v>0.8</v>
      </c>
      <c r="F10" s="19" cm="1">
        <f t="array" ref="F10">Common_InputFunctions.Utility_DisplayArrayInTable(SourceData_Poultry.SourceData_Poultry_DietProperties_Data(), Table_SourceData_Poultry_DietProperties[[#Headers],[Nutrient analysis]], 0)</f>
        <v>0.8</v>
      </c>
      <c r="G10" s="19" cm="1">
        <f t="array" ref="G10">Common_InputFunctions.Utility_DisplayArrayInTable(SourceData_Poultry.SourceData_Poultry_DietProperties_Data(), Table_SourceData_Poultry_DietProperties[[#Headers],[Nutrient analysis]], 0)</f>
        <v>0.8</v>
      </c>
      <c r="H10" s="19" cm="1">
        <f t="array" ref="H10">Common_InputFunctions.Utility_DisplayArrayInTable(SourceData_Poultry.SourceData_Poultry_DietProperties_Data(), Table_SourceData_Poultry_DietProperties[[#Headers],[Nutrient analysis]], 0)</f>
        <v>0.8</v>
      </c>
      <c r="M10" s="1"/>
    </row>
    <row r="11" spans="1:21" ht="20.100000000000001" customHeight="1" x14ac:dyDescent="0.2">
      <c r="A11" s="5" t="str">
        <f>HYPERLINK("#'Input - Poultry'!A1", "Poultry")</f>
        <v>Poultry</v>
      </c>
      <c r="D11" s="1" t="str" cm="1">
        <f t="array" ref="D11">Common_InputFunctions.Utility_DisplayArrayInTable(SourceData_Poultry.SourceData_Poultry_DietProperties_Data(), Table_SourceData_Poultry_DietProperties[[#Headers],[Nutrient analysis]], 0)</f>
        <v>Crude protein</v>
      </c>
      <c r="E11" s="19" cm="1">
        <f t="array" ref="E11">Common_InputFunctions.Utility_DisplayArrayInTable(SourceData_Poultry.SourceData_Poultry_DietProperties_Data(), Table_SourceData_Poultry_DietProperties[[#Headers],[Nutrient analysis]], 0)</f>
        <v>0.19</v>
      </c>
      <c r="F11" s="19" cm="1">
        <f t="array" ref="F11">Common_InputFunctions.Utility_DisplayArrayInTable(SourceData_Poultry.SourceData_Poultry_DietProperties_Data(), Table_SourceData_Poultry_DietProperties[[#Headers],[Nutrient analysis]], 0)</f>
        <v>0.23</v>
      </c>
      <c r="G11" s="19" cm="1">
        <f t="array" ref="G11">Common_InputFunctions.Utility_DisplayArrayInTable(SourceData_Poultry.SourceData_Poultry_DietProperties_Data(), Table_SourceData_Poultry_DietProperties[[#Headers],[Nutrient analysis]], 0)</f>
        <v>0.19</v>
      </c>
      <c r="H11" s="19" cm="1">
        <f t="array" ref="H11">Common_InputFunctions.Utility_DisplayArrayInTable(SourceData_Poultry.SourceData_Poultry_DietProperties_Data(), Table_SourceData_Poultry_DietProperties[[#Headers],[Nutrient analysis]], 0)</f>
        <v>0.23</v>
      </c>
      <c r="M11" s="1"/>
    </row>
    <row r="12" spans="1:21" ht="20.100000000000001" customHeight="1" x14ac:dyDescent="0.2">
      <c r="A12" s="5" t="str">
        <f>HYPERLINK("#'Input - Livestock sales'!A1", "Livestock sales")</f>
        <v>Livestock sales</v>
      </c>
      <c r="D12" s="1" t="str" cm="1">
        <f t="array" ref="D12">Common_InputFunctions.Utility_DisplayArrayInTable(SourceData_Poultry.SourceData_Poultry_DietProperties_Data(), Table_SourceData_Poultry_DietProperties[[#Headers],[Nutrient analysis]], 0)</f>
        <v>Nitrogen retention rate</v>
      </c>
      <c r="E12" s="19" cm="1">
        <f t="array" ref="E12">Common_InputFunctions.Utility_DisplayArrayInTable(SourceData_Poultry.SourceData_Poultry_DietProperties_Data(), Table_SourceData_Poultry_DietProperties[[#Headers],[Nutrient analysis]], 0)</f>
        <v>0.35</v>
      </c>
      <c r="F12" s="19" cm="1">
        <f t="array" ref="F12">Common_InputFunctions.Utility_DisplayArrayInTable(SourceData_Poultry.SourceData_Poultry_DietProperties_Data(), Table_SourceData_Poultry_DietProperties[[#Headers],[Nutrient analysis]], 0)</f>
        <v>0.47</v>
      </c>
      <c r="G12" s="19" cm="1">
        <f t="array" ref="G12">Common_InputFunctions.Utility_DisplayArrayInTable(SourceData_Poultry.SourceData_Poultry_DietProperties_Data(), Table_SourceData_Poultry_DietProperties[[#Headers],[Nutrient analysis]], 0)</f>
        <v>0.32</v>
      </c>
      <c r="H12" s="19" cm="1">
        <f t="array" ref="H12">Common_InputFunctions.Utility_DisplayArrayInTable(SourceData_Poultry.SourceData_Poultry_DietProperties_Data(), Table_SourceData_Poultry_DietProperties[[#Headers],[Nutrient analysis]], 0)</f>
        <v>0.47</v>
      </c>
      <c r="M12" s="1"/>
    </row>
    <row r="13" spans="1:21" ht="20.100000000000001" customHeight="1" x14ac:dyDescent="0.2">
      <c r="A13" s="5" t="str">
        <f>HYPERLINK("#'Input - Poultry purchases'!A1", "Poultry purchases")</f>
        <v>Poultry purchases</v>
      </c>
      <c r="D13" s="1" t="str" cm="1">
        <f t="array" ref="D13">Common_InputFunctions.Utility_DisplayArrayInTable(SourceData_Poultry.SourceData_Poultry_DietProperties_Data(), Table_SourceData_Poultry_DietProperties[[#Headers],[Nutrient analysis]], 0)</f>
        <v>Manure ash</v>
      </c>
      <c r="E13" s="19" cm="1">
        <f t="array" ref="E13">Common_InputFunctions.Utility_DisplayArrayInTable(SourceData_Poultry.SourceData_Poultry_DietProperties_Data(), Table_SourceData_Poultry_DietProperties[[#Headers],[Nutrient analysis]], 0)</f>
        <v>0.18</v>
      </c>
      <c r="F13" s="19" cm="1">
        <f t="array" ref="F13">Common_InputFunctions.Utility_DisplayArrayInTable(SourceData_Poultry.SourceData_Poultry_DietProperties_Data(), Table_SourceData_Poultry_DietProperties[[#Headers],[Nutrient analysis]], 0)</f>
        <v>0.15</v>
      </c>
      <c r="G13" s="19" cm="1">
        <f t="array" ref="G13">Common_InputFunctions.Utility_DisplayArrayInTable(SourceData_Poultry.SourceData_Poultry_DietProperties_Data(), Table_SourceData_Poultry_DietProperties[[#Headers],[Nutrient analysis]], 0)</f>
        <v>0.18</v>
      </c>
      <c r="H13" s="19" cm="1">
        <f t="array" ref="H13">Common_InputFunctions.Utility_DisplayArrayInTable(SourceData_Poultry.SourceData_Poultry_DietProperties_Data(), Table_SourceData_Poultry_DietProperties[[#Headers],[Nutrient analysis]], 0)</f>
        <v>0.15</v>
      </c>
      <c r="M13" s="1"/>
    </row>
    <row r="14" spans="1:21" ht="20.100000000000001" customHeight="1" x14ac:dyDescent="0.2">
      <c r="A14" s="5" t="str">
        <f>HYPERLINK("#'Input - Fuel'!A1", "Fuel")</f>
        <v>Fuel</v>
      </c>
      <c r="M14" s="1"/>
    </row>
    <row r="15" spans="1:21" ht="20.100000000000001" customHeight="1" x14ac:dyDescent="0.2">
      <c r="A15" s="5" t="str">
        <f>HYPERLINK("#'Input - Electricity'!A1", "Electricity")</f>
        <v>Electricity</v>
      </c>
      <c r="M15" s="1"/>
    </row>
    <row r="16" spans="1:21" ht="20.100000000000001" customHeight="1" x14ac:dyDescent="0.2">
      <c r="A16" s="5" t="str">
        <f>HYPERLINK("#'Input - Common farm inputs'!A1", "Common farm inputs")</f>
        <v>Common farm inputs</v>
      </c>
      <c r="M16" s="1"/>
    </row>
    <row r="17" spans="1:13" ht="20.100000000000001" customHeight="1" x14ac:dyDescent="0.2">
      <c r="A17" s="5" t="str">
        <f>HYPERLINK("#'Input - Livestock farm Inputs'!A1", "Livestock farm Inputs")</f>
        <v>Livestock farm Inputs</v>
      </c>
      <c r="D17" s="2" t="str" cm="1">
        <f t="array" ref="D17">SourceData_Poultry.SourceData_Poultry_MethaneEmissionsPotential_Title()</f>
        <v>Poultry - Methane emissions potential per class</v>
      </c>
      <c r="M17" s="1"/>
    </row>
    <row r="18" spans="1:13" ht="20.100000000000001" customHeight="1" x14ac:dyDescent="0.2">
      <c r="A18" s="5" t="str">
        <f>HYPERLINK("#'Input - Freight'!A1", "Freight")</f>
        <v>Freight</v>
      </c>
      <c r="D18" s="17" t="str" cm="1">
        <f t="array" ref="D18">SourceData_Poultry.SourceData_Poultry_MethaneEmissionsPotential_Source()</f>
        <v>VEERG 2026: 4.6.2.3 CONSTANT: Poultry - Methane emissions potential per class</v>
      </c>
      <c r="M18" s="1"/>
    </row>
    <row r="19" spans="1:13" ht="20.100000000000001" customHeight="1" x14ac:dyDescent="0.2">
      <c r="A19" s="5" t="str">
        <f>HYPERLINK("#'Input - Solid waste'!A1", "Solid waste")</f>
        <v>Solid waste</v>
      </c>
      <c r="D19" s="19" t="s">
        <v>495</v>
      </c>
      <c r="E19" s="19" t="s">
        <v>496</v>
      </c>
      <c r="M19" s="1"/>
    </row>
    <row r="20" spans="1:13" ht="20.100000000000001" customHeight="1" x14ac:dyDescent="0.2">
      <c r="A20" s="5" t="str">
        <f>HYPERLINK("#'Input - Manure sent off-site'!A1", "Manure sent off-site")</f>
        <v>Manure sent off-site</v>
      </c>
      <c r="D20" s="19" t="str" cm="1">
        <f t="array" ref="D20">Common_InputFunctions.Utility_DisplayArrayInTable(SourceData_Poultry.SourceData_Poultry_MethaneEmissionsPotential_Data(), Table_SourceData_Poultry_MethaneEmissionsPotential[[#Headers],[Poultry class]], 0)</f>
        <v>Layers</v>
      </c>
      <c r="E20" s="19" cm="1">
        <f t="array" ref="E20">Common_InputFunctions.Utility_DisplayArrayInTable(SourceData_Poultry.SourceData_Poultry_MethaneEmissionsPotential_Data(), Table_SourceData_Poultry_MethaneEmissionsPotential[[#Headers],[Poultry class]], 0)</f>
        <v>0.39</v>
      </c>
      <c r="M20" s="1"/>
    </row>
    <row r="21" spans="1:13" ht="20.100000000000001" customHeight="1" x14ac:dyDescent="0.2">
      <c r="A21" s="5" t="str">
        <f>HYPERLINK("#'Input - Data quality'!A1", "Data quality")</f>
        <v>Data quality</v>
      </c>
      <c r="D21" s="1" t="str" cm="1">
        <f t="array" ref="D21">Common_InputFunctions.Utility_DisplayArrayInTable(SourceData_Poultry.SourceData_Poultry_MethaneEmissionsPotential_Data(), Table_SourceData_Poultry_MethaneEmissionsPotential[[#Headers],[Poultry class]], 0)</f>
        <v>Meat chickens</v>
      </c>
      <c r="E21" s="19" cm="1">
        <f t="array" ref="E21">Common_InputFunctions.Utility_DisplayArrayInTable(SourceData_Poultry.SourceData_Poultry_MethaneEmissionsPotential_Data(), Table_SourceData_Poultry_MethaneEmissionsPotential[[#Headers],[Poultry class]], 0)</f>
        <v>0.36</v>
      </c>
      <c r="M21" s="1"/>
    </row>
    <row r="22" spans="1:13" ht="20.100000000000001" customHeight="1" x14ac:dyDescent="0.2">
      <c r="A22" s="5" t="str">
        <f>HYPERLINK("#'Input - Fert Prod System'!A1", "Fert Prod System")</f>
        <v>Fert Prod System</v>
      </c>
      <c r="M22" s="1"/>
    </row>
    <row r="23" spans="1:13" ht="20.100000000000001" customHeight="1" x14ac:dyDescent="0.2">
      <c r="A23" s="5" t="str">
        <f>HYPERLINK("#'Input - Fertiliser'!A1", "Fertiliser")</f>
        <v>Fertiliser</v>
      </c>
      <c r="M23" s="1"/>
    </row>
    <row r="24" spans="1:13" ht="20.100000000000001" customHeight="1" x14ac:dyDescent="0.2">
      <c r="M24" s="1"/>
    </row>
    <row r="25" spans="1:13" ht="20.100000000000001" customHeight="1" x14ac:dyDescent="0.2">
      <c r="M25" s="1"/>
    </row>
    <row r="26" spans="1:13" ht="20.100000000000001" customHeight="1" x14ac:dyDescent="0.2">
      <c r="A26" s="6" t="s">
        <v>2</v>
      </c>
      <c r="D26" s="2" t="s">
        <v>497</v>
      </c>
      <c r="G26" s="2" t="s">
        <v>498</v>
      </c>
      <c r="J26" s="2" t="s">
        <v>499</v>
      </c>
      <c r="M26" s="1"/>
    </row>
    <row r="27" spans="1:13" ht="20.100000000000001" customHeight="1" x14ac:dyDescent="0.2">
      <c r="A27" s="5" t="str">
        <f>HYPERLINK("#'4.6.1.1-2 Methane'!A1", "4.6.1.1-2 Manure Methane")</f>
        <v>4.6.1.1-2 Manure Methane</v>
      </c>
      <c r="M27" s="1"/>
    </row>
    <row r="28" spans="1:13" ht="20.100000000000001" customHeight="1" x14ac:dyDescent="0.2">
      <c r="A28" s="5" t="str">
        <f>HYPERLINK("#'4.6.1.3-4 Direct N20'!A1", "4.6.1.3-4 Manure Direct N2O")</f>
        <v>4.6.1.3-4 Manure Direct N2O</v>
      </c>
      <c r="D28" s="137" t="s">
        <v>350</v>
      </c>
      <c r="E28" s="19" t="s">
        <v>500</v>
      </c>
      <c r="G28" s="137" t="s">
        <v>350</v>
      </c>
      <c r="H28" s="19" t="s">
        <v>500</v>
      </c>
      <c r="J28" s="137" t="s">
        <v>350</v>
      </c>
      <c r="K28" s="19" t="s">
        <v>500</v>
      </c>
      <c r="M28" s="1"/>
    </row>
    <row r="29" spans="1:13" ht="20.100000000000001" customHeight="1" x14ac:dyDescent="0.2">
      <c r="A29" s="5" t="str">
        <f>HYPERLINK("#'4.6.1.5-6 Atmos Dep'!A1", "4.6.1.5-6 Manure Atmos Dep")</f>
        <v>4.6.1.5-6 Manure Atmos Dep</v>
      </c>
      <c r="D29" s="19" t="s">
        <v>78</v>
      </c>
      <c r="E29" s="19" t="s">
        <v>501</v>
      </c>
      <c r="G29" s="19" t="s">
        <v>78</v>
      </c>
      <c r="H29" s="19" t="s">
        <v>501</v>
      </c>
      <c r="J29" s="19" t="s">
        <v>75</v>
      </c>
      <c r="K29" s="19" t="s">
        <v>502</v>
      </c>
      <c r="M29" s="1"/>
    </row>
    <row r="30" spans="1:13" ht="20.100000000000001" customHeight="1" x14ac:dyDescent="0.2">
      <c r="A30" s="5" t="str">
        <f>HYPERLINK("#'4.6.1.7-8 Leaching and runoff'!A1", "4.6.1.7-8 Manure Leaching and runoff")</f>
        <v>4.6.1.7-8 Manure Leaching and runoff</v>
      </c>
      <c r="D30" s="19" t="s">
        <v>503</v>
      </c>
      <c r="E30" s="19" t="s">
        <v>504</v>
      </c>
      <c r="G30" s="19" t="s">
        <v>503</v>
      </c>
      <c r="H30" s="19" t="s">
        <v>504</v>
      </c>
      <c r="J30" s="19" t="s">
        <v>74</v>
      </c>
      <c r="K30" s="19" t="s">
        <v>505</v>
      </c>
      <c r="M30" s="1"/>
    </row>
    <row r="31" spans="1:13" ht="20.100000000000001" customHeight="1" x14ac:dyDescent="0.2">
      <c r="A31" s="5" t="str">
        <f>HYPERLINK("#'4.6.1.9 Manure applied to soils'!A1", "4.6.1.9 Manure applied to soils")</f>
        <v>4.6.1.9 Manure applied to soils</v>
      </c>
      <c r="D31" s="19" t="s">
        <v>506</v>
      </c>
      <c r="E31" s="19" t="s">
        <v>507</v>
      </c>
      <c r="G31" s="19" t="s">
        <v>506</v>
      </c>
      <c r="H31" s="19" t="s">
        <v>507</v>
      </c>
      <c r="J31" s="1" t="s">
        <v>71</v>
      </c>
      <c r="K31" s="1" t="s">
        <v>508</v>
      </c>
      <c r="M31" s="1"/>
    </row>
    <row r="32" spans="1:13" ht="20.100000000000001" customHeight="1" x14ac:dyDescent="0.2">
      <c r="A32" s="5" t="str">
        <f>HYPERLINK("#'4.6.1.10-11 Soil direct N2O'!A1", "4.6.1.10-11 Soil direct N2O")</f>
        <v>4.6.1.10-11 Soil direct N2O</v>
      </c>
      <c r="D32" s="19" t="s">
        <v>82</v>
      </c>
      <c r="E32" s="19" t="s">
        <v>509</v>
      </c>
      <c r="G32" s="19" t="s">
        <v>82</v>
      </c>
      <c r="H32" s="19" t="s">
        <v>509</v>
      </c>
      <c r="J32" s="19" t="s">
        <v>80</v>
      </c>
      <c r="K32" s="19" t="s">
        <v>510</v>
      </c>
      <c r="M32" s="1"/>
    </row>
    <row r="33" spans="1:13" ht="20.100000000000001" customHeight="1" x14ac:dyDescent="0.2">
      <c r="A33" s="5" t="str">
        <f>HYPERLINK("#'4.6.1.12-13 Soil atmos dep'!A1", "4.6.1.12-13 Soil atmos dep")</f>
        <v>4.6.1.12-13 Soil atmos dep</v>
      </c>
      <c r="D33" s="19" t="s">
        <v>75</v>
      </c>
      <c r="E33" s="19" t="s">
        <v>502</v>
      </c>
      <c r="G33" s="1" t="s">
        <v>511</v>
      </c>
      <c r="H33" s="19" t="s">
        <v>511</v>
      </c>
      <c r="J33" s="19" t="s">
        <v>81</v>
      </c>
      <c r="K33" s="19" t="s">
        <v>512</v>
      </c>
      <c r="M33" s="1"/>
    </row>
    <row r="34" spans="1:13" ht="20.100000000000001" customHeight="1" x14ac:dyDescent="0.2">
      <c r="A34" s="5" t="str">
        <f>HYPERLINK("#'4.6.1.14-15 Soil leach runoff'!A1", "4.6.1.14-15 Soil leach runoff")</f>
        <v>4.6.1.14-15 Soil leach runoff</v>
      </c>
      <c r="D34" s="19" t="s">
        <v>74</v>
      </c>
      <c r="E34" s="19" t="s">
        <v>505</v>
      </c>
      <c r="J34" s="1" t="s">
        <v>511</v>
      </c>
      <c r="K34" s="19" t="s">
        <v>511</v>
      </c>
      <c r="M34" s="1"/>
    </row>
    <row r="35" spans="1:13" ht="20.100000000000001" customHeight="1" x14ac:dyDescent="0.2">
      <c r="A35" s="5" t="str">
        <f>HYPERLINK("#'8.1.1.1-2 Transport fuel'!A1", "8.1.1.1-2 Transport fuel")</f>
        <v>8.1.1.1-2 Transport fuel</v>
      </c>
      <c r="D35" s="1" t="s">
        <v>71</v>
      </c>
      <c r="E35" s="1" t="s">
        <v>508</v>
      </c>
      <c r="M35" s="1"/>
    </row>
    <row r="36" spans="1:13" ht="20.100000000000001" customHeight="1" x14ac:dyDescent="0.2">
      <c r="A36" s="5" t="str">
        <f>HYPERLINK("#'8.2.1.1-2 Stationary fuel'!A1", "8.2.1.1-2 Stationary fuel")</f>
        <v>8.2.1.1-2 Stationary fuel</v>
      </c>
      <c r="D36" s="19" t="s">
        <v>80</v>
      </c>
      <c r="E36" s="19" t="s">
        <v>510</v>
      </c>
      <c r="M36" s="1"/>
    </row>
    <row r="37" spans="1:13" ht="20.100000000000001" customHeight="1" x14ac:dyDescent="0.2">
      <c r="A37" s="5" t="str">
        <f>HYPERLINK("#'10.1.1-2 Solid waste treatment'!A1", "10.1.1.1-2 Solid waste")</f>
        <v>10.1.1.1-2 Solid waste</v>
      </c>
      <c r="D37" s="19" t="s">
        <v>81</v>
      </c>
      <c r="E37" s="19" t="s">
        <v>512</v>
      </c>
      <c r="M37" s="1"/>
    </row>
    <row r="38" spans="1:13" ht="20.100000000000001" customHeight="1" x14ac:dyDescent="0.2">
      <c r="A38" s="5" t="str">
        <f>HYPERLINK("#'14.1.1-2 Purchased electricity'!A1", "14.1.1-2 Purchased electricity")</f>
        <v>14.1.1-2 Purchased electricity</v>
      </c>
      <c r="D38" s="1" t="s">
        <v>511</v>
      </c>
      <c r="E38" s="19" t="s">
        <v>511</v>
      </c>
      <c r="M38" s="1"/>
    </row>
    <row r="39" spans="1:13" ht="20.100000000000001" customHeight="1" x14ac:dyDescent="0.2">
      <c r="A39" s="5" t="str">
        <f>HYPERLINK("#'15 Scope 3'!A1", "15 Scope 3")</f>
        <v>15 Scope 3</v>
      </c>
      <c r="M39" s="1"/>
    </row>
    <row r="40" spans="1:13" ht="20.100000000000001" customHeight="1" x14ac:dyDescent="0.2">
      <c r="A40" s="5" t="str">
        <f>HYPERLINK("#'Calcs - Manure sent off-site'!A1", "Calcs - Manure sent off-site")</f>
        <v>Calcs - Manure sent off-site</v>
      </c>
      <c r="M40" s="1"/>
    </row>
    <row r="41" spans="1:13" ht="20.100000000000001" customHeight="1" x14ac:dyDescent="0.2">
      <c r="A41" s="5" t="str">
        <f>HYPERLINK("#'5.1.1.1-2 Inorganic fert N2O'!A1", "5.1.1.1-2 Inorganic fert N2O")</f>
        <v>5.1.1.1-2 Inorganic fert N2O</v>
      </c>
      <c r="M41" s="1"/>
    </row>
    <row r="42" spans="1:13" ht="20.100000000000001" customHeight="1" x14ac:dyDescent="0.2">
      <c r="A42" s="5" t="str">
        <f>HYPERLINK("#'5.1.1.3-4 Inorganic fert CO2'!A1", "5.1.1.3-4 Inorganic fert CO2")</f>
        <v>5.1.1.3-4 Inorganic fert CO2</v>
      </c>
      <c r="D42" s="2" t="s">
        <v>513</v>
      </c>
      <c r="G42" s="2" t="s">
        <v>514</v>
      </c>
      <c r="J42" s="2" t="s">
        <v>515</v>
      </c>
      <c r="M42" s="1"/>
    </row>
    <row r="43" spans="1:13" ht="20.100000000000001" customHeight="1" x14ac:dyDescent="0.2">
      <c r="A43" s="5" t="str">
        <f>HYPERLINK("#'5.2.1.1-2 Organic Fert N2O'!A1", "5.2.1.1-2 Organic Fert N2O")</f>
        <v>5.2.1.1-2 Organic Fert N2O</v>
      </c>
      <c r="M43" s="1"/>
    </row>
    <row r="44" spans="1:13" ht="20.100000000000001" customHeight="1" x14ac:dyDescent="0.2">
      <c r="A44" s="5" t="str">
        <f>HYPERLINK("#'5.3.1.1-2 Lime CO2'!A1", "5.3.1.1-2 Lime CO2")</f>
        <v>5.3.1.1-2 Lime CO2</v>
      </c>
      <c r="D44" s="19" t="s">
        <v>311</v>
      </c>
      <c r="G44" s="19" t="s">
        <v>311</v>
      </c>
      <c r="J44" s="19" t="s">
        <v>63</v>
      </c>
      <c r="M44" s="1"/>
    </row>
    <row r="45" spans="1:13" ht="20.100000000000001" customHeight="1" x14ac:dyDescent="0.2">
      <c r="A45" s="5" t="str">
        <f>HYPERLINK("#'5.4.1.1-4 Atmos deposition'!A1", "5.4.1.1-4 Atmos deposition")</f>
        <v>5.4.1.1-4 Atmos deposition</v>
      </c>
      <c r="D45" s="19" t="str" cm="1">
        <f t="array" ref="D45">Common_InputFunctions.Utility_DisplayArrayInTable(SourceData_Poultry.SourceData_Poultry_ProductionSystems_Data(), Table_SourceData_Poultry_ProductionSystems[[#Headers],[Production system]], 0)</f>
        <v>Free range</v>
      </c>
      <c r="G45" s="19" t="str">
        <f>'Constants - Common'!$F$187</f>
        <v>Pasture</v>
      </c>
      <c r="J45" s="19" t="s">
        <v>516</v>
      </c>
      <c r="M45" s="1"/>
    </row>
    <row r="46" spans="1:13" ht="20.100000000000001" customHeight="1" x14ac:dyDescent="0.2">
      <c r="A46" s="5" t="str">
        <f>HYPERLINK("#'5.5.1.1-2 Leaching and runoff'!A1", "5.5.1.1-2 Leaching and runoff")</f>
        <v>5.5.1.1-2 Leaching and runoff</v>
      </c>
      <c r="D46" s="1" t="str" cm="1">
        <f t="array" ref="D46">Common_InputFunctions.Utility_DisplayArrayInTable(SourceData_Poultry.SourceData_Poultry_ProductionSystems_Data(), Table_SourceData_Poultry_ProductionSystems[[#Headers],[Production system]], 0)</f>
        <v>Barn</v>
      </c>
      <c r="G46" s="1" t="str">
        <f>'Constants - Common'!$F$188</f>
        <v>Crop</v>
      </c>
      <c r="J46" s="19" t="s">
        <v>517</v>
      </c>
      <c r="M46" s="1"/>
    </row>
    <row r="47" spans="1:13" ht="20.100000000000001" customHeight="1" x14ac:dyDescent="0.2">
      <c r="D47" s="1" t="str" cm="1">
        <f t="array" ref="D47">Common_InputFunctions.Utility_DisplayArrayInTable(SourceData_Poultry.SourceData_Poultry_ProductionSystems_Data(), Table_SourceData_Poultry_ProductionSystems[[#Headers],[Production system]], 0)</f>
        <v>Cage</v>
      </c>
      <c r="J47" s="1" t="s">
        <v>326</v>
      </c>
      <c r="M47" s="1"/>
    </row>
    <row r="48" spans="1:13" ht="20.100000000000001" customHeight="1" x14ac:dyDescent="0.2">
      <c r="J48" s="1" t="s">
        <v>518</v>
      </c>
      <c r="M48" s="1"/>
    </row>
    <row r="49" spans="1:14" ht="20.100000000000001" customHeight="1" x14ac:dyDescent="0.2">
      <c r="A49" s="80" t="s">
        <v>1</v>
      </c>
      <c r="J49" s="1" t="s">
        <v>519</v>
      </c>
      <c r="M49" s="1"/>
    </row>
    <row r="50" spans="1:14" ht="20.100000000000001" customHeight="1" x14ac:dyDescent="0.2">
      <c r="A50" s="81" t="str">
        <f>HYPERLINK("#'Constants - Poultry'!A1", "Constants - Poultry")</f>
        <v>Constants - Poultry</v>
      </c>
      <c r="M50" s="1"/>
    </row>
    <row r="51" spans="1:14" ht="20.100000000000001" customHeight="1" x14ac:dyDescent="0.2">
      <c r="A51" s="5" t="str">
        <f>HYPERLINK("#'Constants - Common livestock'!A1", "Constants - Common Livestock")</f>
        <v>Constants - Common Livestock</v>
      </c>
      <c r="D51" s="2" t="str" cm="1">
        <f t="array" ref="D51">SourceData_Poultry.SourceData_Poultry_MCF_Title()</f>
        <v>Poultry - MCFs</v>
      </c>
      <c r="M51" s="1"/>
    </row>
    <row r="52" spans="1:14" ht="20.100000000000001" customHeight="1" x14ac:dyDescent="0.2">
      <c r="A52" s="5" t="str">
        <f>HYPERLINK("#'Constants - Electricity'!A1", "Constants - Electricity")</f>
        <v>Constants - Electricity</v>
      </c>
      <c r="D52" s="17" t="str" cm="1">
        <f t="array" ref="D52">SourceData_Poultry.SourceData_Poultry_MCF_Source()</f>
        <v>VEERG 2026: Table A.1.7.4: Poultry - MCFs</v>
      </c>
      <c r="M52" s="1"/>
    </row>
    <row r="53" spans="1:14" ht="20.100000000000001" customHeight="1" x14ac:dyDescent="0.2">
      <c r="A53" s="5" t="str">
        <f>HYPERLINK("#'Constants - Fertiliser'!A1", "Constants - Fertiliser")</f>
        <v>Constants - Fertiliser</v>
      </c>
      <c r="D53" s="25" t="str" cm="1">
        <f t="array" ref="D53:D57">SourceData_Poultry.SourceData_Poultry_MCF_Variation()</f>
        <v>VARIATION ON SOURCE:</v>
      </c>
      <c r="M53" s="1"/>
    </row>
    <row r="54" spans="1:14" ht="20.100000000000001" customHeight="1" x14ac:dyDescent="0.2">
      <c r="A54" s="5" t="str">
        <f>HYPERLINK("#'Constants - Fuel'!A1", "Constants - Fuel")</f>
        <v>Constants - Fuel</v>
      </c>
      <c r="D54" s="25" t="str">
        <v>Split NSW and ACT into separate states. Split QLD and NT into separate states.</v>
      </c>
      <c r="M54" s="1"/>
    </row>
    <row r="55" spans="1:14" ht="20.100000000000001" customHeight="1" x14ac:dyDescent="0.2">
      <c r="A55" s="5" t="str">
        <f>HYPERLINK("#'Constants - Scope 3'!A1", "Constants - Scope 3")</f>
        <v>Constants - Scope 3</v>
      </c>
      <c r="D55" s="25" t="str">
        <v>Included values for each state when 'All states' value is given.</v>
      </c>
      <c r="M55" s="1"/>
    </row>
    <row r="56" spans="1:14" ht="20.100000000000001" customHeight="1" x14ac:dyDescent="0.2">
      <c r="A56" s="5" t="str">
        <f>HYPERLINK("#'Constants - Solid Waste'!A1", "Constants - Solid Waste")</f>
        <v>Constants - Solid Waste</v>
      </c>
      <c r="D56" s="25" t="str">
        <v>Added 'NIR definition' column with MMS names that match NIR definitions.</v>
      </c>
      <c r="M56" s="1"/>
    </row>
    <row r="57" spans="1:14" ht="20.100000000000001" customHeight="1" x14ac:dyDescent="0.2">
      <c r="A57" s="5" t="str">
        <f>HYPERLINK("#'Constants - Common'!A1", "Constants - Common")</f>
        <v>Constants - Common</v>
      </c>
      <c r="D57" s="25" t="str">
        <v>Duplicated 'Poultry manure without litter' row for NIR MMS 'Belt manure removal' and 'Manure stored in house'</v>
      </c>
      <c r="M57" s="1"/>
    </row>
    <row r="58" spans="1:14" ht="20.100000000000001" customHeight="1" x14ac:dyDescent="0.2">
      <c r="M58" s="1"/>
    </row>
    <row r="59" spans="1:14" ht="20.100000000000001" customHeight="1" x14ac:dyDescent="0.2">
      <c r="D59" s="19" t="s">
        <v>520</v>
      </c>
      <c r="E59" s="19" t="s">
        <v>521</v>
      </c>
      <c r="F59" s="19" t="s">
        <v>522</v>
      </c>
      <c r="G59" s="19" t="s">
        <v>523</v>
      </c>
      <c r="H59" s="19" t="s">
        <v>524</v>
      </c>
      <c r="I59" s="19" t="s">
        <v>525</v>
      </c>
      <c r="J59" s="19" t="s">
        <v>526</v>
      </c>
      <c r="K59" s="19" t="s">
        <v>527</v>
      </c>
      <c r="L59" s="19" t="s">
        <v>528</v>
      </c>
      <c r="M59" s="19" t="s">
        <v>529</v>
      </c>
      <c r="N59" s="19" t="s">
        <v>530</v>
      </c>
    </row>
    <row r="60" spans="1:14" ht="20.100000000000001" customHeight="1" x14ac:dyDescent="0.2">
      <c r="D60" s="19" t="str" cm="1">
        <f t="array" ref="D60">Common_InputFunctions.Utility_DisplayArrayInTable(SourceData_Poultry.SourceData_Poultry_MCF_Data(), Table_SourceData_Poultry_MMSMCF[[#Headers],[MMS m]], 0)</f>
        <v>Poultry manure with litter</v>
      </c>
      <c r="E60" s="19" cm="1">
        <f t="array" ref="E60">Common_InputFunctions.Utility_DisplayArrayInTable(SourceData_Poultry.SourceData_Poultry_MCF_Data(), Table_SourceData_Poultry_MMSMCF[[#Headers],[MMS m]], 0)</f>
        <v>1.4999999999999999E-2</v>
      </c>
      <c r="F60" s="19" cm="1">
        <f t="array" ref="F60">Common_InputFunctions.Utility_DisplayArrayInTable(SourceData_Poultry.SourceData_Poultry_MCF_Data(), Table_SourceData_Poultry_MMSMCF[[#Headers],[MMS m]], 0)</f>
        <v>1.4999999999999999E-2</v>
      </c>
      <c r="G60" s="19" cm="1">
        <f t="array" ref="G60">Common_InputFunctions.Utility_DisplayArrayInTable(SourceData_Poultry.SourceData_Poultry_MCF_Data(), Table_SourceData_Poultry_MMSMCF[[#Headers],[MMS m]], 0)</f>
        <v>1.4999999999999999E-2</v>
      </c>
      <c r="H60" s="19" cm="1">
        <f t="array" ref="H60">Common_InputFunctions.Utility_DisplayArrayInTable(SourceData_Poultry.SourceData_Poultry_MCF_Data(), Table_SourceData_Poultry_MMSMCF[[#Headers],[MMS m]], 0)</f>
        <v>1.4999999999999999E-2</v>
      </c>
      <c r="I60" s="19" cm="1">
        <f t="array" ref="I60">Common_InputFunctions.Utility_DisplayArrayInTable(SourceData_Poultry.SourceData_Poultry_MCF_Data(), Table_SourceData_Poultry_MMSMCF[[#Headers],[MMS m]], 0)</f>
        <v>1.4999999999999999E-2</v>
      </c>
      <c r="J60" s="19" cm="1">
        <f t="array" ref="J60">Common_InputFunctions.Utility_DisplayArrayInTable(SourceData_Poultry.SourceData_Poultry_MCF_Data(), Table_SourceData_Poultry_MMSMCF[[#Headers],[MMS m]], 0)</f>
        <v>1.4999999999999999E-2</v>
      </c>
      <c r="K60" s="19" cm="1">
        <f t="array" ref="K60">Common_InputFunctions.Utility_DisplayArrayInTable(SourceData_Poultry.SourceData_Poultry_MCF_Data(), Table_SourceData_Poultry_MMSMCF[[#Headers],[MMS m]], 0)</f>
        <v>1.4999999999999999E-2</v>
      </c>
      <c r="L60" s="19" cm="1">
        <f t="array" ref="L60">Common_InputFunctions.Utility_DisplayArrayInTable(SourceData_Poultry.SourceData_Poultry_MCF_Data(), Table_SourceData_Poultry_MMSMCF[[#Headers],[MMS m]], 0)</f>
        <v>1.4999999999999999E-2</v>
      </c>
      <c r="M60" s="19" cm="1">
        <f t="array" ref="M60">Common_InputFunctions.Utility_DisplayArrayInTable(SourceData_Poultry.SourceData_Poultry_MCF_Data(), Table_SourceData_Poultry_MMSMCF[[#Headers],[MMS m]], 0)</f>
        <v>1.4999999999999999E-2</v>
      </c>
      <c r="N60" s="19" t="str" cm="1">
        <f t="array" ref="N60">Common_InputFunctions.Utility_DisplayArrayInTable(SourceData_Poultry.SourceData_Poultry_MCF_Data(), Table_SourceData_Poultry_MMSMCF[[#Headers],[MMS m]], 0)</f>
        <v>Poultry manure with bedding</v>
      </c>
    </row>
    <row r="61" spans="1:14" ht="20.100000000000001" customHeight="1" x14ac:dyDescent="0.2">
      <c r="D61" s="1" t="str" cm="1">
        <f t="array" ref="D61">Common_InputFunctions.Utility_DisplayArrayInTable(SourceData_Poultry.SourceData_Poultry_MCF_Data(), Table_SourceData_Poultry_MMSMCF[[#Headers],[MMS m]], 0)</f>
        <v>Poultry manure without litter</v>
      </c>
      <c r="E61" s="19" cm="1">
        <f t="array" ref="E61">Common_InputFunctions.Utility_DisplayArrayInTable(SourceData_Poultry.SourceData_Poultry_MCF_Data(), Table_SourceData_Poultry_MMSMCF[[#Headers],[MMS m]], 0)</f>
        <v>1.4999999999999999E-2</v>
      </c>
      <c r="F61" s="19" cm="1">
        <f t="array" ref="F61">Common_InputFunctions.Utility_DisplayArrayInTable(SourceData_Poultry.SourceData_Poultry_MCF_Data(), Table_SourceData_Poultry_MMSMCF[[#Headers],[MMS m]], 0)</f>
        <v>1.4999999999999999E-2</v>
      </c>
      <c r="G61" s="19" cm="1">
        <f t="array" ref="G61">Common_InputFunctions.Utility_DisplayArrayInTable(SourceData_Poultry.SourceData_Poultry_MCF_Data(), Table_SourceData_Poultry_MMSMCF[[#Headers],[MMS m]], 0)</f>
        <v>1.4999999999999999E-2</v>
      </c>
      <c r="H61" s="19" cm="1">
        <f t="array" ref="H61">Common_InputFunctions.Utility_DisplayArrayInTable(SourceData_Poultry.SourceData_Poultry_MCF_Data(), Table_SourceData_Poultry_MMSMCF[[#Headers],[MMS m]], 0)</f>
        <v>1.4999999999999999E-2</v>
      </c>
      <c r="I61" s="19" cm="1">
        <f t="array" ref="I61">Common_InputFunctions.Utility_DisplayArrayInTable(SourceData_Poultry.SourceData_Poultry_MCF_Data(), Table_SourceData_Poultry_MMSMCF[[#Headers],[MMS m]], 0)</f>
        <v>1.4999999999999999E-2</v>
      </c>
      <c r="J61" s="19" cm="1">
        <f t="array" ref="J61">Common_InputFunctions.Utility_DisplayArrayInTable(SourceData_Poultry.SourceData_Poultry_MCF_Data(), Table_SourceData_Poultry_MMSMCF[[#Headers],[MMS m]], 0)</f>
        <v>1.4999999999999999E-2</v>
      </c>
      <c r="K61" s="19" cm="1">
        <f t="array" ref="K61">Common_InputFunctions.Utility_DisplayArrayInTable(SourceData_Poultry.SourceData_Poultry_MCF_Data(), Table_SourceData_Poultry_MMSMCF[[#Headers],[MMS m]], 0)</f>
        <v>1.4999999999999999E-2</v>
      </c>
      <c r="L61" s="19" cm="1">
        <f t="array" ref="L61">Common_InputFunctions.Utility_DisplayArrayInTable(SourceData_Poultry.SourceData_Poultry_MCF_Data(), Table_SourceData_Poultry_MMSMCF[[#Headers],[MMS m]], 0)</f>
        <v>1.4999999999999999E-2</v>
      </c>
      <c r="M61" s="19" cm="1">
        <f t="array" ref="M61">Common_InputFunctions.Utility_DisplayArrayInTable(SourceData_Poultry.SourceData_Poultry_MCF_Data(), Table_SourceData_Poultry_MMSMCF[[#Headers],[MMS m]], 0)</f>
        <v>1.4999999999999999E-2</v>
      </c>
      <c r="N61" s="19" t="str" cm="1">
        <f t="array" ref="N61">Common_InputFunctions.Utility_DisplayArrayInTable(SourceData_Poultry.SourceData_Poultry_MCF_Data(), Table_SourceData_Poultry_MMSMCF[[#Headers],[MMS m]], 0)</f>
        <v>Belt manure removal</v>
      </c>
    </row>
    <row r="62" spans="1:14" ht="20.100000000000001" customHeight="1" x14ac:dyDescent="0.2">
      <c r="D62" s="1" t="str" cm="1">
        <f t="array" ref="D62">Common_InputFunctions.Utility_DisplayArrayInTable(SourceData_Poultry.SourceData_Poultry_MCF_Data(), Table_SourceData_Poultry_MMSMCF[[#Headers],[MMS m]], 0)</f>
        <v>Poultry manure without litter</v>
      </c>
      <c r="E62" s="19" cm="1">
        <f t="array" ref="E62">Common_InputFunctions.Utility_DisplayArrayInTable(SourceData_Poultry.SourceData_Poultry_MCF_Data(), Table_SourceData_Poultry_MMSMCF[[#Headers],[MMS m]], 0)</f>
        <v>1.4999999999999999E-2</v>
      </c>
      <c r="F62" s="19" cm="1">
        <f t="array" ref="F62">Common_InputFunctions.Utility_DisplayArrayInTable(SourceData_Poultry.SourceData_Poultry_MCF_Data(), Table_SourceData_Poultry_MMSMCF[[#Headers],[MMS m]], 0)</f>
        <v>1.4999999999999999E-2</v>
      </c>
      <c r="G62" s="19" cm="1">
        <f t="array" ref="G62">Common_InputFunctions.Utility_DisplayArrayInTable(SourceData_Poultry.SourceData_Poultry_MCF_Data(), Table_SourceData_Poultry_MMSMCF[[#Headers],[MMS m]], 0)</f>
        <v>1.4999999999999999E-2</v>
      </c>
      <c r="H62" s="19" cm="1">
        <f t="array" ref="H62">Common_InputFunctions.Utility_DisplayArrayInTable(SourceData_Poultry.SourceData_Poultry_MCF_Data(), Table_SourceData_Poultry_MMSMCF[[#Headers],[MMS m]], 0)</f>
        <v>1.4999999999999999E-2</v>
      </c>
      <c r="I62" s="19" cm="1">
        <f t="array" ref="I62">Common_InputFunctions.Utility_DisplayArrayInTable(SourceData_Poultry.SourceData_Poultry_MCF_Data(), Table_SourceData_Poultry_MMSMCF[[#Headers],[MMS m]], 0)</f>
        <v>1.4999999999999999E-2</v>
      </c>
      <c r="J62" s="19" cm="1">
        <f t="array" ref="J62">Common_InputFunctions.Utility_DisplayArrayInTable(SourceData_Poultry.SourceData_Poultry_MCF_Data(), Table_SourceData_Poultry_MMSMCF[[#Headers],[MMS m]], 0)</f>
        <v>1.4999999999999999E-2</v>
      </c>
      <c r="K62" s="19" cm="1">
        <f t="array" ref="K62">Common_InputFunctions.Utility_DisplayArrayInTable(SourceData_Poultry.SourceData_Poultry_MCF_Data(), Table_SourceData_Poultry_MMSMCF[[#Headers],[MMS m]], 0)</f>
        <v>1.4999999999999999E-2</v>
      </c>
      <c r="L62" s="19" cm="1">
        <f t="array" ref="L62">Common_InputFunctions.Utility_DisplayArrayInTable(SourceData_Poultry.SourceData_Poultry_MCF_Data(), Table_SourceData_Poultry_MMSMCF[[#Headers],[MMS m]], 0)</f>
        <v>1.4999999999999999E-2</v>
      </c>
      <c r="M62" s="19" cm="1">
        <f t="array" ref="M62">Common_InputFunctions.Utility_DisplayArrayInTable(SourceData_Poultry.SourceData_Poultry_MCF_Data(), Table_SourceData_Poultry_MMSMCF[[#Headers],[MMS m]], 0)</f>
        <v>1.4999999999999999E-2</v>
      </c>
      <c r="N62" s="19" t="str" cm="1">
        <f t="array" ref="N62">Common_InputFunctions.Utility_DisplayArrayInTable(SourceData_Poultry.SourceData_Poultry_MCF_Data(), Table_SourceData_Poultry_MMSMCF[[#Headers],[MMS m]], 0)</f>
        <v>Manure stored in house</v>
      </c>
    </row>
    <row r="63" spans="1:14" ht="20.100000000000001" customHeight="1" x14ac:dyDescent="0.2">
      <c r="D63" s="1" t="str" cm="1">
        <f t="array" ref="D63">Common_InputFunctions.Utility_DisplayArrayInTable(SourceData_Poultry.SourceData_Poultry_MCF_Data(), Table_SourceData_Poultry_MMSMCF[[#Headers],[MMS m]], 0)</f>
        <v>Pasture range and paddock</v>
      </c>
      <c r="E63" s="19" t="str" cm="1">
        <f t="array" ref="E63">Common_InputFunctions.Utility_DisplayArrayInTable(SourceData_Poultry.SourceData_Poultry_MCF_Data(), Table_SourceData_Poultry_MMSMCF[[#Headers],[MMS m]], 0)</f>
        <v>n/a</v>
      </c>
      <c r="F63" s="19" cm="1">
        <f t="array" ref="F63">Common_InputFunctions.Utility_DisplayArrayInTable(SourceData_Poultry.SourceData_Poultry_MCF_Data(), Table_SourceData_Poultry_MMSMCF[[#Headers],[MMS m]], 0)</f>
        <v>0.01</v>
      </c>
      <c r="G63" s="19" cm="1">
        <f t="array" ref="G63">Common_InputFunctions.Utility_DisplayArrayInTable(SourceData_Poultry.SourceData_Poultry_MCF_Data(), Table_SourceData_Poultry_MMSMCF[[#Headers],[MMS m]], 0)</f>
        <v>0.01</v>
      </c>
      <c r="H63" s="19" cm="1">
        <f t="array" ref="H63">Common_InputFunctions.Utility_DisplayArrayInTable(SourceData_Poultry.SourceData_Poultry_MCF_Data(), Table_SourceData_Poultry_MMSMCF[[#Headers],[MMS m]], 0)</f>
        <v>0.03</v>
      </c>
      <c r="I63" s="19" cm="1">
        <f t="array" ref="I63">Common_InputFunctions.Utility_DisplayArrayInTable(SourceData_Poultry.SourceData_Poultry_MCF_Data(), Table_SourceData_Poultry_MMSMCF[[#Headers],[MMS m]], 0)</f>
        <v>0.03</v>
      </c>
      <c r="J63" s="19" cm="1">
        <f t="array" ref="J63">Common_InputFunctions.Utility_DisplayArrayInTable(SourceData_Poultry.SourceData_Poultry_MCF_Data(), Table_SourceData_Poultry_MMSMCF[[#Headers],[MMS m]], 0)</f>
        <v>0.01</v>
      </c>
      <c r="K63" s="19" cm="1">
        <f t="array" ref="K63">Common_InputFunctions.Utility_DisplayArrayInTable(SourceData_Poultry.SourceData_Poultry_MCF_Data(), Table_SourceData_Poultry_MMSMCF[[#Headers],[MMS m]], 0)</f>
        <v>0.01</v>
      </c>
      <c r="L63" s="19" cm="1">
        <f t="array" ref="L63">Common_InputFunctions.Utility_DisplayArrayInTable(SourceData_Poultry.SourceData_Poultry_MCF_Data(), Table_SourceData_Poultry_MMSMCF[[#Headers],[MMS m]], 0)</f>
        <v>0.01</v>
      </c>
      <c r="M63" s="19" cm="1">
        <f t="array" ref="M63">Common_InputFunctions.Utility_DisplayArrayInTable(SourceData_Poultry.SourceData_Poultry_MCF_Data(), Table_SourceData_Poultry_MMSMCF[[#Headers],[MMS m]], 0)</f>
        <v>0.01</v>
      </c>
      <c r="N63" s="19" t="str" cm="1">
        <f t="array" ref="N63">Common_InputFunctions.Utility_DisplayArrayInTable(SourceData_Poultry.SourceData_Poultry_MCF_Data(), Table_SourceData_Poultry_MMSMCF[[#Headers],[MMS m]], 0)</f>
        <v>Pasture range and paddock</v>
      </c>
    </row>
    <row r="64" spans="1:14" ht="20.100000000000001" customHeight="1" x14ac:dyDescent="0.2">
      <c r="D64" s="1" t="str" cm="1">
        <f t="array" ref="D64">Common_InputFunctions.Utility_DisplayArrayInTable(SourceData_Poultry.SourceData_Poultry_MCF_Data(), Table_SourceData_Poultry_MMSMCF[[#Headers],[MMS m]], 0)</f>
        <v>Solid storage</v>
      </c>
      <c r="E64" s="19" cm="1">
        <f t="array" ref="E64">Common_InputFunctions.Utility_DisplayArrayInTable(SourceData_Poultry.SourceData_Poultry_MCF_Data(), Table_SourceData_Poultry_MMSMCF[[#Headers],[MMS m]], 0)</f>
        <v>0.02</v>
      </c>
      <c r="F64" s="19" cm="1">
        <f t="array" ref="F64">Common_InputFunctions.Utility_DisplayArrayInTable(SourceData_Poultry.SourceData_Poultry_MCF_Data(), Table_SourceData_Poultry_MMSMCF[[#Headers],[MMS m]], 0)</f>
        <v>0.02</v>
      </c>
      <c r="G64" s="19" cm="1">
        <f t="array" ref="G64">Common_InputFunctions.Utility_DisplayArrayInTable(SourceData_Poultry.SourceData_Poultry_MCF_Data(), Table_SourceData_Poultry_MMSMCF[[#Headers],[MMS m]], 0)</f>
        <v>0.02</v>
      </c>
      <c r="H64" s="19" cm="1">
        <f t="array" ref="H64">Common_InputFunctions.Utility_DisplayArrayInTable(SourceData_Poultry.SourceData_Poultry_MCF_Data(), Table_SourceData_Poultry_MMSMCF[[#Headers],[MMS m]], 0)</f>
        <v>0.02</v>
      </c>
      <c r="I64" s="19" cm="1">
        <f t="array" ref="I64">Common_InputFunctions.Utility_DisplayArrayInTable(SourceData_Poultry.SourceData_Poultry_MCF_Data(), Table_SourceData_Poultry_MMSMCF[[#Headers],[MMS m]], 0)</f>
        <v>0.02</v>
      </c>
      <c r="J64" s="19" cm="1">
        <f t="array" ref="J64">Common_InputFunctions.Utility_DisplayArrayInTable(SourceData_Poultry.SourceData_Poultry_MCF_Data(), Table_SourceData_Poultry_MMSMCF[[#Headers],[MMS m]], 0)</f>
        <v>0.02</v>
      </c>
      <c r="K64" s="19" cm="1">
        <f t="array" ref="K64">Common_InputFunctions.Utility_DisplayArrayInTable(SourceData_Poultry.SourceData_Poultry_MCF_Data(), Table_SourceData_Poultry_MMSMCF[[#Headers],[MMS m]], 0)</f>
        <v>0.02</v>
      </c>
      <c r="L64" s="19" cm="1">
        <f t="array" ref="L64">Common_InputFunctions.Utility_DisplayArrayInTable(SourceData_Poultry.SourceData_Poultry_MCF_Data(), Table_SourceData_Poultry_MMSMCF[[#Headers],[MMS m]], 0)</f>
        <v>0.02</v>
      </c>
      <c r="M64" s="19" cm="1">
        <f t="array" ref="M64">Common_InputFunctions.Utility_DisplayArrayInTable(SourceData_Poultry.SourceData_Poultry_MCF_Data(), Table_SourceData_Poultry_MMSMCF[[#Headers],[MMS m]], 0)</f>
        <v>0.02</v>
      </c>
      <c r="N64" s="19" t="str" cm="1">
        <f t="array" ref="N64">Common_InputFunctions.Utility_DisplayArrayInTable(SourceData_Poultry.SourceData_Poultry_MCF_Data(), Table_SourceData_Poultry_MMSMCF[[#Headers],[MMS m]], 0)</f>
        <v>Solid storage</v>
      </c>
    </row>
    <row r="65" spans="1:22" ht="20.100000000000001" customHeight="1" x14ac:dyDescent="0.2">
      <c r="D65" s="1" t="str" cm="1">
        <f t="array" ref="D65">Common_InputFunctions.Utility_DisplayArrayInTable(SourceData_Poultry.SourceData_Poultry_MCF_Data(), Table_SourceData_Poultry_MMSMCF[[#Headers],[MMS m]], 0)</f>
        <v>Composting (passive windrow)</v>
      </c>
      <c r="E65" s="19" t="str" cm="1">
        <f t="array" ref="E65">Common_InputFunctions.Utility_DisplayArrayInTable(SourceData_Poultry.SourceData_Poultry_MCF_Data(), Table_SourceData_Poultry_MMSMCF[[#Headers],[MMS m]], 0)</f>
        <v>n/a</v>
      </c>
      <c r="F65" s="19" cm="1">
        <f t="array" ref="F65">Common_InputFunctions.Utility_DisplayArrayInTable(SourceData_Poultry.SourceData_Poultry_MCF_Data(), Table_SourceData_Poultry_MMSMCF[[#Headers],[MMS m]], 0)</f>
        <v>0.01</v>
      </c>
      <c r="G65" s="19" cm="1">
        <f t="array" ref="G65">Common_InputFunctions.Utility_DisplayArrayInTable(SourceData_Poultry.SourceData_Poultry_MCF_Data(), Table_SourceData_Poultry_MMSMCF[[#Headers],[MMS m]], 0)</f>
        <v>0.01</v>
      </c>
      <c r="H65" s="19" cm="1">
        <f t="array" ref="H65">Common_InputFunctions.Utility_DisplayArrayInTable(SourceData_Poultry.SourceData_Poultry_MCF_Data(), Table_SourceData_Poultry_MMSMCF[[#Headers],[MMS m]], 0)</f>
        <v>0.01</v>
      </c>
      <c r="I65" s="19" cm="1">
        <f t="array" ref="I65">Common_InputFunctions.Utility_DisplayArrayInTable(SourceData_Poultry.SourceData_Poultry_MCF_Data(), Table_SourceData_Poultry_MMSMCF[[#Headers],[MMS m]], 0)</f>
        <v>0.01</v>
      </c>
      <c r="J65" s="19" cm="1">
        <f t="array" ref="J65">Common_InputFunctions.Utility_DisplayArrayInTable(SourceData_Poultry.SourceData_Poultry_MCF_Data(), Table_SourceData_Poultry_MMSMCF[[#Headers],[MMS m]], 0)</f>
        <v>0.01</v>
      </c>
      <c r="K65" s="19" cm="1">
        <f t="array" ref="K65">Common_InputFunctions.Utility_DisplayArrayInTable(SourceData_Poultry.SourceData_Poultry_MCF_Data(), Table_SourceData_Poultry_MMSMCF[[#Headers],[MMS m]], 0)</f>
        <v>0.01</v>
      </c>
      <c r="L65" s="19" cm="1">
        <f t="array" ref="L65">Common_InputFunctions.Utility_DisplayArrayInTable(SourceData_Poultry.SourceData_Poultry_MCF_Data(), Table_SourceData_Poultry_MMSMCF[[#Headers],[MMS m]], 0)</f>
        <v>0.01</v>
      </c>
      <c r="M65" s="19" cm="1">
        <f t="array" ref="M65">Common_InputFunctions.Utility_DisplayArrayInTable(SourceData_Poultry.SourceData_Poultry_MCF_Data(), Table_SourceData_Poultry_MMSMCF[[#Headers],[MMS m]], 0)</f>
        <v>5.0000000000000001E-3</v>
      </c>
      <c r="N65" s="19" t="str" cm="1">
        <f t="array" ref="N65">Common_InputFunctions.Utility_DisplayArrayInTable(SourceData_Poultry.SourceData_Poultry_MCF_Data(), Table_SourceData_Poultry_MMSMCF[[#Headers],[MMS m]], 0)</f>
        <v>Composting (passive windrow)</v>
      </c>
    </row>
    <row r="66" spans="1:22" ht="20.100000000000001" customHeight="1" x14ac:dyDescent="0.2">
      <c r="D66" s="1" t="str" cm="1">
        <f t="array" ref="D66">Common_InputFunctions.Utility_DisplayArrayInTable(SourceData_Poultry.SourceData_Poultry_MCF_Data(), Table_SourceData_Poultry_MMSMCF[[#Headers],[MMS m]], 0)</f>
        <v>Anaerobic digester / Covered pond</v>
      </c>
      <c r="E66" s="19" cm="1">
        <f t="array" ref="E66">Common_InputFunctions.Utility_DisplayArrayInTable(SourceData_Poultry.SourceData_Poultry_MCF_Data(), Table_SourceData_Poultry_MMSMCF[[#Headers],[MMS m]], 0)</f>
        <v>0.1</v>
      </c>
      <c r="F66" s="19" cm="1">
        <f t="array" ref="F66">Common_InputFunctions.Utility_DisplayArrayInTable(SourceData_Poultry.SourceData_Poultry_MCF_Data(), Table_SourceData_Poultry_MMSMCF[[#Headers],[MMS m]], 0)</f>
        <v>0.1</v>
      </c>
      <c r="G66" s="19" cm="1">
        <f t="array" ref="G66">Common_InputFunctions.Utility_DisplayArrayInTable(SourceData_Poultry.SourceData_Poultry_MCF_Data(), Table_SourceData_Poultry_MMSMCF[[#Headers],[MMS m]], 0)</f>
        <v>0.1</v>
      </c>
      <c r="H66" s="19" cm="1">
        <f t="array" ref="H66">Common_InputFunctions.Utility_DisplayArrayInTable(SourceData_Poultry.SourceData_Poultry_MCF_Data(), Table_SourceData_Poultry_MMSMCF[[#Headers],[MMS m]], 0)</f>
        <v>0.1</v>
      </c>
      <c r="I66" s="19" cm="1">
        <f t="array" ref="I66">Common_InputFunctions.Utility_DisplayArrayInTable(SourceData_Poultry.SourceData_Poultry_MCF_Data(), Table_SourceData_Poultry_MMSMCF[[#Headers],[MMS m]], 0)</f>
        <v>0.1</v>
      </c>
      <c r="J66" s="19" cm="1">
        <f t="array" ref="J66">Common_InputFunctions.Utility_DisplayArrayInTable(SourceData_Poultry.SourceData_Poultry_MCF_Data(), Table_SourceData_Poultry_MMSMCF[[#Headers],[MMS m]], 0)</f>
        <v>0.1</v>
      </c>
      <c r="K66" s="19" cm="1">
        <f t="array" ref="K66">Common_InputFunctions.Utility_DisplayArrayInTable(SourceData_Poultry.SourceData_Poultry_MCF_Data(), Table_SourceData_Poultry_MMSMCF[[#Headers],[MMS m]], 0)</f>
        <v>0.1</v>
      </c>
      <c r="L66" s="19" cm="1">
        <f t="array" ref="L66">Common_InputFunctions.Utility_DisplayArrayInTable(SourceData_Poultry.SourceData_Poultry_MCF_Data(), Table_SourceData_Poultry_MMSMCF[[#Headers],[MMS m]], 0)</f>
        <v>0.1</v>
      </c>
      <c r="M66" s="19" cm="1">
        <f t="array" ref="M66">Common_InputFunctions.Utility_DisplayArrayInTable(SourceData_Poultry.SourceData_Poultry_MCF_Data(), Table_SourceData_Poultry_MMSMCF[[#Headers],[MMS m]], 0)</f>
        <v>0.1</v>
      </c>
      <c r="N66" s="19" t="str" cm="1">
        <f t="array" ref="N66">Common_InputFunctions.Utility_DisplayArrayInTable(SourceData_Poultry.SourceData_Poultry_MCF_Data(), Table_SourceData_Poultry_MMSMCF[[#Headers],[MMS m]], 0)</f>
        <v>Digester / covered lagoons</v>
      </c>
    </row>
    <row r="67" spans="1:22" ht="20.100000000000001" customHeight="1" x14ac:dyDescent="0.2">
      <c r="D67" s="1" t="str" cm="1">
        <f t="array" ref="D67">Common_InputFunctions.Utility_DisplayArrayInTable(SourceData_Poultry.SourceData_Poultry_MCF_Data(), Table_SourceData_Poultry_MMSMCF[[#Headers],[MMS m]], 0)</f>
        <v>Direct processing</v>
      </c>
      <c r="E67" s="19" cm="1">
        <f t="array" ref="E67">Common_InputFunctions.Utility_DisplayArrayInTable(SourceData_Poultry.SourceData_Poultry_MCF_Data(), Table_SourceData_Poultry_MMSMCF[[#Headers],[MMS m]], 0)</f>
        <v>0</v>
      </c>
      <c r="F67" s="19" cm="1">
        <f t="array" ref="F67">Common_InputFunctions.Utility_DisplayArrayInTable(SourceData_Poultry.SourceData_Poultry_MCF_Data(), Table_SourceData_Poultry_MMSMCF[[#Headers],[MMS m]], 0)</f>
        <v>0</v>
      </c>
      <c r="G67" s="19" cm="1">
        <f t="array" ref="G67">Common_InputFunctions.Utility_DisplayArrayInTable(SourceData_Poultry.SourceData_Poultry_MCF_Data(), Table_SourceData_Poultry_MMSMCF[[#Headers],[MMS m]], 0)</f>
        <v>0</v>
      </c>
      <c r="H67" s="19" cm="1">
        <f t="array" ref="H67">Common_InputFunctions.Utility_DisplayArrayInTable(SourceData_Poultry.SourceData_Poultry_MCF_Data(), Table_SourceData_Poultry_MMSMCF[[#Headers],[MMS m]], 0)</f>
        <v>0</v>
      </c>
      <c r="I67" s="19" cm="1">
        <f t="array" ref="I67">Common_InputFunctions.Utility_DisplayArrayInTable(SourceData_Poultry.SourceData_Poultry_MCF_Data(), Table_SourceData_Poultry_MMSMCF[[#Headers],[MMS m]], 0)</f>
        <v>0</v>
      </c>
      <c r="J67" s="19" cm="1">
        <f t="array" ref="J67">Common_InputFunctions.Utility_DisplayArrayInTable(SourceData_Poultry.SourceData_Poultry_MCF_Data(), Table_SourceData_Poultry_MMSMCF[[#Headers],[MMS m]], 0)</f>
        <v>0</v>
      </c>
      <c r="K67" s="19" cm="1">
        <f t="array" ref="K67">Common_InputFunctions.Utility_DisplayArrayInTable(SourceData_Poultry.SourceData_Poultry_MCF_Data(), Table_SourceData_Poultry_MMSMCF[[#Headers],[MMS m]], 0)</f>
        <v>0</v>
      </c>
      <c r="L67" s="19" cm="1">
        <f t="array" ref="L67">Common_InputFunctions.Utility_DisplayArrayInTable(SourceData_Poultry.SourceData_Poultry_MCF_Data(), Table_SourceData_Poultry_MMSMCF[[#Headers],[MMS m]], 0)</f>
        <v>0</v>
      </c>
      <c r="M67" s="19" cm="1">
        <f t="array" ref="M67">Common_InputFunctions.Utility_DisplayArrayInTable(SourceData_Poultry.SourceData_Poultry_MCF_Data(), Table_SourceData_Poultry_MMSMCF[[#Headers],[MMS m]], 0)</f>
        <v>0</v>
      </c>
      <c r="N67" s="19" t="str" cm="1">
        <f t="array" ref="N67">Common_InputFunctions.Utility_DisplayArrayInTable(SourceData_Poultry.SourceData_Poultry_MCF_Data(), Table_SourceData_Poultry_MMSMCF[[#Headers],[MMS m]], 0)</f>
        <v>Direct processing</v>
      </c>
    </row>
    <row r="68" spans="1:22" ht="20.100000000000001" customHeight="1" x14ac:dyDescent="0.2">
      <c r="A68" s="79" t="str">
        <f>HYPERLINK("#A1", "▲ Back to top")</f>
        <v>▲ Back to top</v>
      </c>
      <c r="D68" s="1" t="str" cm="1">
        <f t="array" ref="D68">Common_InputFunctions.Utility_DisplayArrayInTable(SourceData_Poultry.SourceData_Poultry_MCF_Data(), Table_SourceData_Poultry_MMSMCF[[#Headers],[MMS m]], 0)</f>
        <v>Direct application to soil</v>
      </c>
      <c r="E68" s="19" cm="1">
        <f t="array" ref="E68">Common_InputFunctions.Utility_DisplayArrayInTable(SourceData_Poultry.SourceData_Poultry_MCF_Data(), Table_SourceData_Poultry_MMSMCF[[#Headers],[MMS m]], 0)</f>
        <v>0</v>
      </c>
      <c r="F68" s="19" cm="1">
        <f t="array" ref="F68">Common_InputFunctions.Utility_DisplayArrayInTable(SourceData_Poultry.SourceData_Poultry_MCF_Data(), Table_SourceData_Poultry_MMSMCF[[#Headers],[MMS m]], 0)</f>
        <v>0</v>
      </c>
      <c r="G68" s="19" cm="1">
        <f t="array" ref="G68">Common_InputFunctions.Utility_DisplayArrayInTable(SourceData_Poultry.SourceData_Poultry_MCF_Data(), Table_SourceData_Poultry_MMSMCF[[#Headers],[MMS m]], 0)</f>
        <v>0</v>
      </c>
      <c r="H68" s="19" cm="1">
        <f t="array" ref="H68">Common_InputFunctions.Utility_DisplayArrayInTable(SourceData_Poultry.SourceData_Poultry_MCF_Data(), Table_SourceData_Poultry_MMSMCF[[#Headers],[MMS m]], 0)</f>
        <v>0</v>
      </c>
      <c r="I68" s="19" cm="1">
        <f t="array" ref="I68">Common_InputFunctions.Utility_DisplayArrayInTable(SourceData_Poultry.SourceData_Poultry_MCF_Data(), Table_SourceData_Poultry_MMSMCF[[#Headers],[MMS m]], 0)</f>
        <v>0</v>
      </c>
      <c r="J68" s="19" cm="1">
        <f t="array" ref="J68">Common_InputFunctions.Utility_DisplayArrayInTable(SourceData_Poultry.SourceData_Poultry_MCF_Data(), Table_SourceData_Poultry_MMSMCF[[#Headers],[MMS m]], 0)</f>
        <v>0</v>
      </c>
      <c r="K68" s="19" cm="1">
        <f t="array" ref="K68">Common_InputFunctions.Utility_DisplayArrayInTable(SourceData_Poultry.SourceData_Poultry_MCF_Data(), Table_SourceData_Poultry_MMSMCF[[#Headers],[MMS m]], 0)</f>
        <v>0</v>
      </c>
      <c r="L68" s="19" cm="1">
        <f t="array" ref="L68">Common_InputFunctions.Utility_DisplayArrayInTable(SourceData_Poultry.SourceData_Poultry_MCF_Data(), Table_SourceData_Poultry_MMSMCF[[#Headers],[MMS m]], 0)</f>
        <v>0</v>
      </c>
      <c r="M68" s="19" cm="1">
        <f t="array" ref="M68">Common_InputFunctions.Utility_DisplayArrayInTable(SourceData_Poultry.SourceData_Poultry_MCF_Data(), Table_SourceData_Poultry_MMSMCF[[#Headers],[MMS m]], 0)</f>
        <v>0</v>
      </c>
      <c r="N68" s="19" t="str" cm="1">
        <f t="array" ref="N68">Common_InputFunctions.Utility_DisplayArrayInTable(SourceData_Poultry.SourceData_Poultry_MCF_Data(), Table_SourceData_Poultry_MMSMCF[[#Headers],[MMS m]], 0)</f>
        <v>Direct application</v>
      </c>
    </row>
    <row r="69" spans="1:22" ht="20.100000000000001" customHeight="1" x14ac:dyDescent="0.2">
      <c r="M69" s="1"/>
    </row>
    <row r="70" spans="1:22" ht="20.100000000000001" customHeight="1" x14ac:dyDescent="0.2">
      <c r="M70" s="1"/>
    </row>
    <row r="71" spans="1:22" ht="20.100000000000001" customHeight="1" x14ac:dyDescent="0.2">
      <c r="M71" s="1"/>
      <c r="V71" s="1"/>
    </row>
    <row r="72" spans="1:22" ht="20.100000000000001" customHeight="1" x14ac:dyDescent="0.2">
      <c r="D72" s="2" t="str" cm="1">
        <f t="array" ref="D72">SourceData_Poultry.SourceData_Poultry_VSL_Title()</f>
        <v>Poultry - Fraction of volatile solids lost in the primary MMS</v>
      </c>
      <c r="M72" s="1"/>
      <c r="V72" s="1"/>
    </row>
    <row r="73" spans="1:22" ht="20.100000000000001" customHeight="1" x14ac:dyDescent="0.2">
      <c r="D73" s="17" t="str" cm="1">
        <f t="array" ref="D73">SourceData_Poultry.SourceData_Poultry_VSL_Source()</f>
        <v>VEERG 2026: 4.6.2.3 CONSTANT</v>
      </c>
      <c r="M73" s="1"/>
      <c r="V73" s="1"/>
    </row>
    <row r="74" spans="1:22" ht="20.100000000000001" customHeight="1" x14ac:dyDescent="0.2">
      <c r="D74" s="25" t="str" cm="1">
        <f t="array" ref="D74">SourceData_Poultry.SourceData_Poultry_VSL_Variation()</f>
        <v>VARIATION ON SOURCE: Table generated from line items. Added 'NIR definition column'.</v>
      </c>
      <c r="M74" s="1"/>
      <c r="V74" s="1"/>
    </row>
    <row r="75" spans="1:22" ht="20.100000000000001" customHeight="1" x14ac:dyDescent="0.2">
      <c r="D75" s="19" t="s">
        <v>350</v>
      </c>
      <c r="E75" s="19" t="s">
        <v>531</v>
      </c>
      <c r="F75" s="19" t="s">
        <v>530</v>
      </c>
      <c r="M75" s="1"/>
      <c r="V75" s="1"/>
    </row>
    <row r="76" spans="1:22" ht="20.100000000000001" customHeight="1" x14ac:dyDescent="0.2">
      <c r="D76" s="19" t="str" cm="1">
        <f t="array" ref="D76">Common_InputFunctions.Utility_DisplayArrayInTable(SourceData_Poultry.SourceData_Poultry_VSL_Data(), Table_SourceData_Poultry_MMSVSL[[#Headers],[MMS]], 0)</f>
        <v>Poultry manure with litter</v>
      </c>
      <c r="E76" s="19" cm="1">
        <f t="array" ref="E76">Common_InputFunctions.Utility_DisplayArrayInTable(SourceData_Poultry.SourceData_Poultry_VSL_Data(), Table_SourceData_Poultry_MMSVSL[[#Headers],[MMS]], 0)</f>
        <v>0.15</v>
      </c>
      <c r="F76" s="19" t="str" cm="1">
        <f t="array" ref="F76">Common_InputFunctions.Utility_DisplayArrayInTable(SourceData_Poultry.SourceData_Poultry_VSL_Data(), Table_SourceData_Poultry_MMSVSL[[#Headers],[MMS]], 0)</f>
        <v>Poultry manure with bedding</v>
      </c>
      <c r="M76" s="1"/>
      <c r="V76" s="1"/>
    </row>
    <row r="77" spans="1:22" ht="20.100000000000001" customHeight="1" x14ac:dyDescent="0.2">
      <c r="D77" s="1" t="str" cm="1">
        <f t="array" ref="D77">Common_InputFunctions.Utility_DisplayArrayInTable(SourceData_Poultry.SourceData_Poultry_VSL_Data(), Table_SourceData_Poultry_MMSVSL[[#Headers],[MMS]], 0)</f>
        <v>Poultry manure without litter - stored in house</v>
      </c>
      <c r="E77" s="19" cm="1">
        <f t="array" ref="E77">Common_InputFunctions.Utility_DisplayArrayInTable(SourceData_Poultry.SourceData_Poultry_VSL_Data(), Table_SourceData_Poultry_MMSVSL[[#Headers],[MMS]], 0)</f>
        <v>0.2</v>
      </c>
      <c r="F77" s="19" t="str" cm="1">
        <f t="array" ref="F77">Common_InputFunctions.Utility_DisplayArrayInTable(SourceData_Poultry.SourceData_Poultry_VSL_Data(), Table_SourceData_Poultry_MMSVSL[[#Headers],[MMS]], 0)</f>
        <v>Manure stored in house</v>
      </c>
      <c r="M77" s="1"/>
      <c r="V77" s="1"/>
    </row>
    <row r="78" spans="1:22" ht="20.100000000000001" customHeight="1" x14ac:dyDescent="0.2">
      <c r="D78" s="1" t="str" cm="1">
        <f t="array" ref="D78">Common_InputFunctions.Utility_DisplayArrayInTable(SourceData_Poultry.SourceData_Poultry_VSL_Data(), Table_SourceData_Poultry_MMSVSL[[#Headers],[MMS]], 0)</f>
        <v>Poultry manure without litter - belt removal</v>
      </c>
      <c r="E78" s="19" cm="1">
        <f t="array" ref="E78">Common_InputFunctions.Utility_DisplayArrayInTable(SourceData_Poultry.SourceData_Poultry_VSL_Data(), Table_SourceData_Poultry_MMSVSL[[#Headers],[MMS]], 0)</f>
        <v>0</v>
      </c>
      <c r="F78" s="19" t="str" cm="1">
        <f t="array" ref="F78">Common_InputFunctions.Utility_DisplayArrayInTable(SourceData_Poultry.SourceData_Poultry_VSL_Data(), Table_SourceData_Poultry_MMSVSL[[#Headers],[MMS]], 0)</f>
        <v>Belt manure removal</v>
      </c>
      <c r="M78" s="1"/>
      <c r="V78" s="1"/>
    </row>
    <row r="79" spans="1:22" ht="20.100000000000001" customHeight="1" x14ac:dyDescent="0.2">
      <c r="M79" s="1"/>
      <c r="V79" s="1"/>
    </row>
    <row r="80" spans="1:22" ht="20.100000000000001" customHeight="1" x14ac:dyDescent="0.2">
      <c r="M80" s="1"/>
      <c r="V80" s="1"/>
    </row>
    <row r="81" spans="4:23" ht="20.100000000000001" customHeight="1" x14ac:dyDescent="0.2">
      <c r="D81" s="2" t="str" cm="1">
        <f t="array" ref="D81">SourceData_Poultry.SourceData_Poultry_FracGASMmT_Title()</f>
        <v>Poultry - Fraction of N volatilised by MMS ((kg NH3-N + NOx-N)/kgN) (FracGASMmT)</v>
      </c>
      <c r="M81" s="1"/>
      <c r="V81" s="1"/>
    </row>
    <row r="82" spans="4:23" ht="20.100000000000001" customHeight="1" x14ac:dyDescent="0.2">
      <c r="D82" s="17" t="str" cm="1">
        <f t="array" ref="D82">SourceData_Poultry.SourceData_Poultry_FracGASMmT_Source()</f>
        <v>VEERG 2026: Table A.1.7.2</v>
      </c>
      <c r="M82" s="1"/>
      <c r="V82" s="1"/>
    </row>
    <row r="83" spans="4:23" ht="20.100000000000001" customHeight="1" x14ac:dyDescent="0.2">
      <c r="D83" s="25" t="str" cm="1">
        <f t="array" ref="D83">SourceData_Poultry.SourceData_Poultry_FracGASMmT_Variation()</f>
        <v>VARIATION ON SOURCE: Added 'NIR definition column'.</v>
      </c>
      <c r="M83" s="1"/>
    </row>
    <row r="84" spans="4:23" ht="20.100000000000001" customHeight="1" x14ac:dyDescent="0.2">
      <c r="D84" s="19" t="s">
        <v>532</v>
      </c>
      <c r="E84" s="19" t="s">
        <v>533</v>
      </c>
      <c r="F84" s="19" t="s">
        <v>534</v>
      </c>
      <c r="M84" s="1"/>
    </row>
    <row r="85" spans="4:23" ht="20.100000000000001" customHeight="1" x14ac:dyDescent="0.2">
      <c r="D85" s="19" t="str" cm="1">
        <f t="array" ref="D85">Common_InputFunctions.Utility_DisplayArrayInTable(SourceData_Poultry.SourceData_Poultry_FracGASMmT_Data(), Table_SourceData_Poultry_FracGASM[[#Headers],[MMSm]], 0)</f>
        <v>Poultry manure with litter (housing)</v>
      </c>
      <c r="E85" s="19" cm="1">
        <f t="array" ref="E85">Common_InputFunctions.Utility_DisplayArrayInTable(SourceData_Poultry.SourceData_Poultry_FracGASMmT_Data(), Table_SourceData_Poultry_FracGASM[[#Headers],[MMSm]], 0)</f>
        <v>0.3</v>
      </c>
      <c r="F85" s="19" t="str" cm="1">
        <f t="array" ref="F85">Common_InputFunctions.Utility_DisplayArrayInTable(SourceData_Poultry.SourceData_Poultry_FracGASMmT_Data(), Table_SourceData_Poultry_FracGASM[[#Headers],[MMSm]], 0)</f>
        <v>Poultry manure with bedding</v>
      </c>
      <c r="M85" s="1"/>
      <c r="V85" s="1"/>
    </row>
    <row r="86" spans="4:23" ht="20.100000000000001" customHeight="1" x14ac:dyDescent="0.2">
      <c r="D86" s="1" t="str" cm="1">
        <f t="array" ref="D86">Common_InputFunctions.Utility_DisplayArrayInTable(SourceData_Poultry.SourceData_Poultry_FracGASMmT_Data(), Table_SourceData_Poultry_FracGASM[[#Headers],[MMSm]], 0)</f>
        <v>Poultry manure without litter (housing) Belt manure removal</v>
      </c>
      <c r="E86" s="19" cm="1">
        <f t="array" ref="E86">Common_InputFunctions.Utility_DisplayArrayInTable(SourceData_Poultry.SourceData_Poultry_FracGASMmT_Data(), Table_SourceData_Poultry_FracGASM[[#Headers],[MMSm]], 0)</f>
        <v>0.05</v>
      </c>
      <c r="F86" s="19" t="str" cm="1">
        <f t="array" ref="F86">Common_InputFunctions.Utility_DisplayArrayInTable(SourceData_Poultry.SourceData_Poultry_FracGASMmT_Data(), Table_SourceData_Poultry_FracGASM[[#Headers],[MMSm]], 0)</f>
        <v>Belt manure removal</v>
      </c>
      <c r="M86" s="1"/>
      <c r="V86" s="1"/>
    </row>
    <row r="87" spans="4:23" ht="20.100000000000001" customHeight="1" x14ac:dyDescent="0.2">
      <c r="D87" s="1" t="str" cm="1">
        <f t="array" ref="D87">Common_InputFunctions.Utility_DisplayArrayInTable(SourceData_Poultry.SourceData_Poultry_FracGASMmT_Data(), Table_SourceData_Poultry_FracGASM[[#Headers],[MMSm]], 0)</f>
        <v>Poultry manure without litter (housing) Manure stored in house under cages or slat</v>
      </c>
      <c r="E87" s="19" cm="1">
        <f t="array" ref="E87">Common_InputFunctions.Utility_DisplayArrayInTable(SourceData_Poultry.SourceData_Poultry_FracGASMmT_Data(), Table_SourceData_Poultry_FracGASM[[#Headers],[MMSm]], 0)</f>
        <v>0.4</v>
      </c>
      <c r="F87" s="19" t="str" cm="1">
        <f t="array" ref="F87">Common_InputFunctions.Utility_DisplayArrayInTable(SourceData_Poultry.SourceData_Poultry_FracGASMmT_Data(), Table_SourceData_Poultry_FracGASM[[#Headers],[MMSm]], 0)</f>
        <v>Manure stored in house</v>
      </c>
      <c r="M87" s="1"/>
      <c r="V87" s="1"/>
    </row>
    <row r="88" spans="4:23" ht="20.100000000000001" customHeight="1" x14ac:dyDescent="0.2">
      <c r="D88" s="1" t="str" cm="1">
        <f t="array" ref="D88">Common_InputFunctions.Utility_DisplayArrayInTable(SourceData_Poultry.SourceData_Poultry_FracGASMmT_Data(), Table_SourceData_Poultry_FracGASM[[#Headers],[MMSm]], 0)</f>
        <v>Solid storage (stockpile)</v>
      </c>
      <c r="E88" s="19" cm="1">
        <f t="array" ref="E88">Common_InputFunctions.Utility_DisplayArrayInTable(SourceData_Poultry.SourceData_Poultry_FracGASMmT_Data(), Table_SourceData_Poultry_FracGASM[[#Headers],[MMSm]], 0)</f>
        <v>0.2</v>
      </c>
      <c r="F88" s="19" t="str" cm="1">
        <f t="array" ref="F88">Common_InputFunctions.Utility_DisplayArrayInTable(SourceData_Poultry.SourceData_Poultry_FracGASMmT_Data(), Table_SourceData_Poultry_FracGASM[[#Headers],[MMSm]], 0)</f>
        <v>Solid storage</v>
      </c>
      <c r="M88" s="1"/>
      <c r="V88" s="1"/>
    </row>
    <row r="89" spans="4:23" ht="20.100000000000001" customHeight="1" x14ac:dyDescent="0.2">
      <c r="D89" s="1" t="str" cm="1">
        <f t="array" ref="D89">Common_InputFunctions.Utility_DisplayArrayInTable(SourceData_Poultry.SourceData_Poultry_FracGASMmT_Data(), Table_SourceData_Poultry_FracGASM[[#Headers],[MMSm]], 0)</f>
        <v>Composting (passive windrow)</v>
      </c>
      <c r="E89" s="19" cm="1">
        <f t="array" ref="E89">Common_InputFunctions.Utility_DisplayArrayInTable(SourceData_Poultry.SourceData_Poultry_FracGASMmT_Data(), Table_SourceData_Poultry_FracGASM[[#Headers],[MMSm]], 0)</f>
        <v>0.2</v>
      </c>
      <c r="F89" s="19" t="str" cm="1">
        <f t="array" ref="F89">Common_InputFunctions.Utility_DisplayArrayInTable(SourceData_Poultry.SourceData_Poultry_FracGASMmT_Data(), Table_SourceData_Poultry_FracGASM[[#Headers],[MMSm]], 0)</f>
        <v>Composting (passive windrow)</v>
      </c>
      <c r="M89" s="1"/>
      <c r="V89" s="1"/>
      <c r="W89" s="1"/>
    </row>
    <row r="90" spans="4:23" ht="20.100000000000001" customHeight="1" x14ac:dyDescent="0.2">
      <c r="D90" s="1" t="str" cm="1">
        <f t="array" ref="D90">Common_InputFunctions.Utility_DisplayArrayInTable(SourceData_Poultry.SourceData_Poultry_FracGASMmT_Data(), Table_SourceData_Poultry_FracGASM[[#Headers],[MMSm]], 0)</f>
        <v>Direct processing</v>
      </c>
      <c r="E90" s="19" cm="1">
        <f t="array" ref="E90">Common_InputFunctions.Utility_DisplayArrayInTable(SourceData_Poultry.SourceData_Poultry_FracGASMmT_Data(), Table_SourceData_Poultry_FracGASM[[#Headers],[MMSm]], 0)</f>
        <v>0</v>
      </c>
      <c r="F90" s="19" t="str" cm="1">
        <f t="array" ref="F90">Common_InputFunctions.Utility_DisplayArrayInTable(SourceData_Poultry.SourceData_Poultry_FracGASMmT_Data(), Table_SourceData_Poultry_FracGASM[[#Headers],[MMSm]], 0)</f>
        <v>Direct processing</v>
      </c>
      <c r="M90" s="1"/>
      <c r="V90" s="1"/>
      <c r="W90" s="1"/>
    </row>
    <row r="91" spans="4:23" ht="20.100000000000001" customHeight="1" x14ac:dyDescent="0.2">
      <c r="D91" s="1" t="str" cm="1">
        <f t="array" ref="D91">Common_InputFunctions.Utility_DisplayArrayInTable(SourceData_Poultry.SourceData_Poultry_FracGASMmT_Data(), Table_SourceData_Poultry_FracGASM[[#Headers],[MMSm]], 0)</f>
        <v>Anaerobic digester / covered pond</v>
      </c>
      <c r="E91" s="19" cm="1">
        <f t="array" ref="E91">Common_InputFunctions.Utility_DisplayArrayInTable(SourceData_Poultry.SourceData_Poultry_FracGASMmT_Data(), Table_SourceData_Poultry_FracGASM[[#Headers],[MMSm]], 0)</f>
        <v>0</v>
      </c>
      <c r="F91" s="19" t="str" cm="1">
        <f t="array" ref="F91">Common_InputFunctions.Utility_DisplayArrayInTable(SourceData_Poultry.SourceData_Poultry_FracGASMmT_Data(), Table_SourceData_Poultry_FracGASM[[#Headers],[MMSm]], 0)</f>
        <v>Digester / covered lagoons</v>
      </c>
      <c r="M91" s="1"/>
      <c r="V91" s="1"/>
    </row>
    <row r="92" spans="4:23" ht="20.100000000000001" customHeight="1" x14ac:dyDescent="0.2">
      <c r="M92" s="1"/>
      <c r="V92" s="1"/>
    </row>
    <row r="93" spans="4:23" ht="20.100000000000001" customHeight="1" x14ac:dyDescent="0.2">
      <c r="M93" s="1"/>
      <c r="V93" s="1"/>
    </row>
    <row r="94" spans="4:23" ht="20.100000000000001" customHeight="1" x14ac:dyDescent="0.2">
      <c r="D94" s="2" t="str" cm="1">
        <f t="array" ref="D94">SourceData_Poultry.SourceData_Poultry_EFmT_Title()</f>
        <v>Poultry - Nitrous oxide EFs by MMS (kgN2O-N/kgN) (EFmT)</v>
      </c>
      <c r="M94" s="1"/>
    </row>
    <row r="95" spans="4:23" ht="20.100000000000001" customHeight="1" x14ac:dyDescent="0.2">
      <c r="D95" s="17" t="str" cm="1">
        <f t="array" ref="D95">SourceData_Poultry.SourceData_Poultry_EFmT_Source()</f>
        <v>VEERG 2026: Table A.1.7.3</v>
      </c>
      <c r="M95" s="1"/>
    </row>
    <row r="96" spans="4:23" ht="20.100000000000001" customHeight="1" x14ac:dyDescent="0.2">
      <c r="D96" s="25" t="str" cm="1">
        <f t="array" ref="D96">SourceData_Poultry.SourceData_Poultry_EFmT_Variation()</f>
        <v>VARIATION ON SOURCE: Added 'NIR definition column'. Duplicated 'Poultry manure without litter' row for NIR MMS 'Belt manure removal' and 'Manure stored in house'.</v>
      </c>
      <c r="M96" s="1"/>
    </row>
    <row r="97" spans="1:13" ht="20.100000000000001" customHeight="1" x14ac:dyDescent="0.2">
      <c r="D97" s="19" t="s">
        <v>532</v>
      </c>
      <c r="E97" s="19" t="s">
        <v>535</v>
      </c>
      <c r="F97" s="19" t="s">
        <v>534</v>
      </c>
      <c r="M97" s="1"/>
    </row>
    <row r="98" spans="1:13" ht="20.100000000000001" customHeight="1" x14ac:dyDescent="0.2">
      <c r="A98" s="79" t="str">
        <f>HYPERLINK("#A1", "▲ Back to top")</f>
        <v>▲ Back to top</v>
      </c>
      <c r="D98" s="19" t="str" cm="1">
        <f t="array" ref="D98">Common_InputFunctions.Utility_DisplayArrayInTable(SourceData_Poultry.SourceData_Poultry_EFmT_Data(),Table_SourceData_Poultry_EFmT[[#Headers],[MMSm]], 0)</f>
        <v>Poultry manure with litter (housing)</v>
      </c>
      <c r="E98" s="19" cm="1">
        <f t="array" ref="E98">Common_InputFunctions.Utility_DisplayArrayInTable(SourceData_Poultry.SourceData_Poultry_EFmT_Data(),Table_SourceData_Poultry_EFmT[[#Headers],[MMSm]], 0)</f>
        <v>1E-3</v>
      </c>
      <c r="F98" s="19" t="str" cm="1">
        <f t="array" ref="F98">Common_InputFunctions.Utility_DisplayArrayInTable(SourceData_Poultry.SourceData_Poultry_EFmT_Data(),Table_SourceData_Poultry_EFmT[[#Headers],[MMSm]], 0)</f>
        <v>Poultry manure with bedding</v>
      </c>
      <c r="M98" s="1"/>
    </row>
    <row r="99" spans="1:13" ht="20.100000000000001" customHeight="1" x14ac:dyDescent="0.2">
      <c r="D99" s="1" t="str" cm="1">
        <f t="array" ref="D99">Common_InputFunctions.Utility_DisplayArrayInTable(SourceData_Poultry.SourceData_Poultry_EFmT_Data(),Table_SourceData_Poultry_EFmT[[#Headers],[MMSm]], 0)</f>
        <v>Poultry manure without litter (housing)</v>
      </c>
      <c r="E99" s="19" cm="1">
        <f t="array" ref="E99">Common_InputFunctions.Utility_DisplayArrayInTable(SourceData_Poultry.SourceData_Poultry_EFmT_Data(),Table_SourceData_Poultry_EFmT[[#Headers],[MMSm]], 0)</f>
        <v>1E-3</v>
      </c>
      <c r="F99" s="19" t="str" cm="1">
        <f t="array" ref="F99">Common_InputFunctions.Utility_DisplayArrayInTable(SourceData_Poultry.SourceData_Poultry_EFmT_Data(),Table_SourceData_Poultry_EFmT[[#Headers],[MMSm]], 0)</f>
        <v>Belt manure removal</v>
      </c>
      <c r="M99" s="1"/>
    </row>
    <row r="100" spans="1:13" ht="20.100000000000001" customHeight="1" x14ac:dyDescent="0.2">
      <c r="D100" s="1" t="str" cm="1">
        <f t="array" ref="D100">Common_InputFunctions.Utility_DisplayArrayInTable(SourceData_Poultry.SourceData_Poultry_EFmT_Data(),Table_SourceData_Poultry_EFmT[[#Headers],[MMSm]], 0)</f>
        <v>Poultry manure without litter (housing)</v>
      </c>
      <c r="E100" s="19" cm="1">
        <f t="array" ref="E100">Common_InputFunctions.Utility_DisplayArrayInTable(SourceData_Poultry.SourceData_Poultry_EFmT_Data(),Table_SourceData_Poultry_EFmT[[#Headers],[MMSm]], 0)</f>
        <v>1E-3</v>
      </c>
      <c r="F100" s="19" t="str" cm="1">
        <f t="array" ref="F100">Common_InputFunctions.Utility_DisplayArrayInTable(SourceData_Poultry.SourceData_Poultry_EFmT_Data(),Table_SourceData_Poultry_EFmT[[#Headers],[MMSm]], 0)</f>
        <v>Manure stored in house</v>
      </c>
      <c r="M100" s="1"/>
    </row>
    <row r="101" spans="1:13" ht="20.100000000000001" customHeight="1" x14ac:dyDescent="0.2">
      <c r="D101" s="1" t="str" cm="1">
        <f t="array" ref="D101">Common_InputFunctions.Utility_DisplayArrayInTable(SourceData_Poultry.SourceData_Poultry_EFmT_Data(),Table_SourceData_Poultry_EFmT[[#Headers],[MMSm]], 0)</f>
        <v>Pasture range and paddock (free range)</v>
      </c>
      <c r="E101" s="19" cm="1">
        <f t="array" ref="E101">Common_InputFunctions.Utility_DisplayArrayInTable(SourceData_Poultry.SourceData_Poultry_EFmT_Data(),Table_SourceData_Poultry_EFmT[[#Headers],[MMSm]], 0)</f>
        <v>0.02</v>
      </c>
      <c r="F101" s="19" t="str" cm="1">
        <f t="array" ref="F101">Common_InputFunctions.Utility_DisplayArrayInTable(SourceData_Poultry.SourceData_Poultry_EFmT_Data(),Table_SourceData_Poultry_EFmT[[#Headers],[MMSm]], 0)</f>
        <v>Pasture range and paddock</v>
      </c>
      <c r="M101" s="1"/>
    </row>
    <row r="102" spans="1:13" ht="20.100000000000001" customHeight="1" x14ac:dyDescent="0.2">
      <c r="D102" s="1" t="str" cm="1">
        <f t="array" ref="D102">Common_InputFunctions.Utility_DisplayArrayInTable(SourceData_Poultry.SourceData_Poultry_EFmT_Data(),Table_SourceData_Poultry_EFmT[[#Headers],[MMSm]], 0)</f>
        <v>Solid storage (stockpile)</v>
      </c>
      <c r="E102" s="19" cm="1">
        <f t="array" ref="E102">Common_InputFunctions.Utility_DisplayArrayInTable(SourceData_Poultry.SourceData_Poultry_EFmT_Data(),Table_SourceData_Poultry_EFmT[[#Headers],[MMSm]], 0)</f>
        <v>5.0000000000000001E-3</v>
      </c>
      <c r="F102" s="19" t="str" cm="1">
        <f t="array" ref="F102">Common_InputFunctions.Utility_DisplayArrayInTable(SourceData_Poultry.SourceData_Poultry_EFmT_Data(),Table_SourceData_Poultry_EFmT[[#Headers],[MMSm]], 0)</f>
        <v>Solid storage</v>
      </c>
      <c r="M102" s="1"/>
    </row>
    <row r="103" spans="1:13" ht="20.100000000000001" customHeight="1" x14ac:dyDescent="0.2">
      <c r="D103" s="1" t="str" cm="1">
        <f t="array" ref="D103">Common_InputFunctions.Utility_DisplayArrayInTable(SourceData_Poultry.SourceData_Poultry_EFmT_Data(),Table_SourceData_Poultry_EFmT[[#Headers],[MMSm]], 0)</f>
        <v>Composting (passive windrow)</v>
      </c>
      <c r="E103" s="19" cm="1">
        <f t="array" ref="E103">Common_InputFunctions.Utility_DisplayArrayInTable(SourceData_Poultry.SourceData_Poultry_EFmT_Data(),Table_SourceData_Poultry_EFmT[[#Headers],[MMSm]], 0)</f>
        <v>0.01</v>
      </c>
      <c r="F103" s="19" t="str" cm="1">
        <f t="array" ref="F103">Common_InputFunctions.Utility_DisplayArrayInTable(SourceData_Poultry.SourceData_Poultry_EFmT_Data(),Table_SourceData_Poultry_EFmT[[#Headers],[MMSm]], 0)</f>
        <v>Composting (passive windrow)</v>
      </c>
      <c r="M103" s="1"/>
    </row>
    <row r="104" spans="1:13" ht="20.100000000000001" customHeight="1" x14ac:dyDescent="0.2">
      <c r="D104" s="1" t="str" cm="1">
        <f t="array" ref="D104">Common_InputFunctions.Utility_DisplayArrayInTable(SourceData_Poultry.SourceData_Poultry_EFmT_Data(),Table_SourceData_Poultry_EFmT[[#Headers],[MMSm]], 0)</f>
        <v>Direct processing</v>
      </c>
      <c r="E104" s="19" cm="1">
        <f t="array" ref="E104">Common_InputFunctions.Utility_DisplayArrayInTable(SourceData_Poultry.SourceData_Poultry_EFmT_Data(),Table_SourceData_Poultry_EFmT[[#Headers],[MMSm]], 0)</f>
        <v>0</v>
      </c>
      <c r="F104" s="19" t="str" cm="1">
        <f t="array" ref="F104">Common_InputFunctions.Utility_DisplayArrayInTable(SourceData_Poultry.SourceData_Poultry_EFmT_Data(),Table_SourceData_Poultry_EFmT[[#Headers],[MMSm]], 0)</f>
        <v>Direct processing</v>
      </c>
      <c r="M104" s="1"/>
    </row>
    <row r="105" spans="1:13" ht="20.100000000000001" customHeight="1" x14ac:dyDescent="0.2">
      <c r="D105" s="1" t="str" cm="1">
        <f t="array" ref="D105">Common_InputFunctions.Utility_DisplayArrayInTable(SourceData_Poultry.SourceData_Poultry_EFmT_Data(),Table_SourceData_Poultry_EFmT[[#Headers],[MMSm]], 0)</f>
        <v>Anaerobic digester / covered pond</v>
      </c>
      <c r="E105" s="19" cm="1">
        <f t="array" ref="E105">Common_InputFunctions.Utility_DisplayArrayInTable(SourceData_Poultry.SourceData_Poultry_EFmT_Data(),Table_SourceData_Poultry_EFmT[[#Headers],[MMSm]], 0)</f>
        <v>0</v>
      </c>
      <c r="F105" s="19" t="str" cm="1">
        <f t="array" ref="F105">Common_InputFunctions.Utility_DisplayArrayInTable(SourceData_Poultry.SourceData_Poultry_EFmT_Data(),Table_SourceData_Poultry_EFmT[[#Headers],[MMSm]], 0)</f>
        <v>Digester / covered lagoons</v>
      </c>
      <c r="M105" s="1"/>
    </row>
    <row r="106" spans="1:13" ht="20.100000000000001" customHeight="1" x14ac:dyDescent="0.2">
      <c r="M106" s="1"/>
    </row>
    <row r="107" spans="1:13" ht="20.100000000000001" customHeight="1" x14ac:dyDescent="0.2">
      <c r="M107" s="1"/>
    </row>
    <row r="108" spans="1:13" ht="20.100000000000001" customHeight="1" x14ac:dyDescent="0.2">
      <c r="D108" s="2" t="str" cm="1">
        <f t="array" ref="D108">SourceData_Poultry.SourceData_Poultry_FractionOfNitrogenLostThroughLeachingAndRunoff_Title()</f>
        <v>Fraction of N that is lost through leaching and runoff</v>
      </c>
      <c r="M108" s="1"/>
    </row>
    <row r="109" spans="1:13" ht="20.100000000000001" customHeight="1" x14ac:dyDescent="0.2">
      <c r="D109" s="17" t="str" cm="1">
        <f t="array" ref="D109">SourceData_Poultry.SourceData_Poultry_FractionOfNitrogenLostThroughLeachingAndRunoff_Source()</f>
        <v>VEERG 2026: 4.6.2.3 CONSTANTS</v>
      </c>
      <c r="M109" s="1"/>
    </row>
    <row r="110" spans="1:13" ht="20.100000000000001" customHeight="1" x14ac:dyDescent="0.2">
      <c r="D110" s="75" t="str" cm="1">
        <f t="array" ref="D110">SourceData_Poultry.SourceData_Poultry_FractionOfNitrogenLostThroughLeachingAndRunoff_Variable()</f>
        <v>Frac_LEACH_MS</v>
      </c>
      <c r="E110" s="1" cm="1">
        <f t="array" ref="E110">SourceData_Poultry.SourceData_Poultry_FractionOfNitrogenLostThroughLeachingAndRunoff_Data()</f>
        <v>0.02</v>
      </c>
      <c r="M110" s="1"/>
    </row>
    <row r="111" spans="1:13" ht="20.100000000000001" customHeight="1" x14ac:dyDescent="0.2">
      <c r="M111" s="1"/>
    </row>
    <row r="112" spans="1:13" ht="20.100000000000001" customHeight="1" x14ac:dyDescent="0.2">
      <c r="D112" s="2" t="str" cm="1">
        <f t="array" ref="D112">SourceData_Poultry.SourceData_Poultry_FracGAMSSoil_Title()</f>
        <v>Fraction of nitrogen volatilised from urine and faeces deposited on pasture</v>
      </c>
      <c r="M112" s="1"/>
    </row>
    <row r="113" spans="4:22" ht="20.100000000000001" customHeight="1" x14ac:dyDescent="0.2">
      <c r="D113" s="17" t="str" cm="1">
        <f t="array" ref="D113">SourceData_Poultry.SourceData_Poultry_FracGAMSSoil_Source()</f>
        <v>VEERG 2026: 4.6.2.3 CONSTANTS</v>
      </c>
      <c r="M113" s="1"/>
    </row>
    <row r="114" spans="4:22" ht="20.100000000000001" customHeight="1" x14ac:dyDescent="0.2">
      <c r="D114" s="25" t="str" cm="1">
        <f t="array" ref="D114">SourceData_Poultry.SourceData_Poultry_FracGAMSSoil_Variation()</f>
        <v>VARIATION ON SOURCE: This constant is not documented in the draft, used the same value of 0.21 as all other livestock.</v>
      </c>
      <c r="M114" s="1"/>
    </row>
    <row r="115" spans="4:22" ht="20.100000000000001" customHeight="1" x14ac:dyDescent="0.2">
      <c r="D115" s="75" t="str" cm="1">
        <f t="array" ref="D115">SourceData_Poultry.SourceData_Poultry_FracGAMSSoil_Variable()</f>
        <v>FracGASM_soil</v>
      </c>
      <c r="E115" s="1" cm="1">
        <f t="array" ref="E115">SourceData_Poultry.SourceData_Poultry_FracGAMSSoil_Data()</f>
        <v>0.21</v>
      </c>
      <c r="F115" s="9" t="str" cm="1">
        <f t="array" ref="F115">SourceData_Poultry.SourceData_Poultry_FracGAMSSoil_Unit()</f>
        <v>(kg NH3-N + NOx-N)/kg N</v>
      </c>
      <c r="M115" s="1"/>
      <c r="V115" s="1"/>
    </row>
    <row r="116" spans="4:22" ht="20.100000000000001" customHeight="1" x14ac:dyDescent="0.2">
      <c r="M116" s="1"/>
      <c r="V116" s="1"/>
    </row>
    <row r="117" spans="4:22" ht="20.100000000000001" customHeight="1" x14ac:dyDescent="0.2">
      <c r="D117" s="2" t="str" cm="1">
        <f t="array" ref="D117">SourceData_Poultry.SourceData_Poultry_Liveweights_Title()</f>
        <v>Poultry - Liveweights (Wco) (kg)</v>
      </c>
      <c r="M117" s="1"/>
      <c r="V117" s="1"/>
    </row>
    <row r="118" spans="4:22" ht="20.100000000000001" customHeight="1" x14ac:dyDescent="0.2">
      <c r="D118" s="17" t="str" cm="1">
        <f t="array" ref="D118">SourceData_Poultry.SourceData_Poultry_Liveweights_Source()</f>
        <v>VEERG 2026: Table A.1.7.5</v>
      </c>
      <c r="M118" s="1"/>
    </row>
    <row r="119" spans="4:22" ht="20.100000000000001" customHeight="1" x14ac:dyDescent="0.2">
      <c r="D119" s="19" t="s">
        <v>536</v>
      </c>
      <c r="E119" s="19" t="s">
        <v>537</v>
      </c>
      <c r="M119" s="1"/>
    </row>
    <row r="120" spans="4:22" ht="20.100000000000001" customHeight="1" x14ac:dyDescent="0.2">
      <c r="D120" s="19" t="str" cm="1">
        <f t="array" ref="D120">Common_InputFunctions.Utility_DisplayArrayInTable(SourceData_Poultry.SourceData_Poultry_Liveweights_Data(),Table_SourceData_Poultry_Liveweights[[#Headers],[Livestock class j]],0)</f>
        <v>Chicken</v>
      </c>
      <c r="E120" s="19" cm="1">
        <f t="array" ref="E120">Common_InputFunctions.Utility_DisplayArrayInTable(SourceData_Poultry.SourceData_Poultry_Liveweights_Data(),Table_SourceData_Poultry_Liveweights[[#Headers],[Livestock class j]],0)</f>
        <v>1.3</v>
      </c>
      <c r="M120" s="1"/>
    </row>
    <row r="121" spans="4:22" ht="20.100000000000001" customHeight="1" x14ac:dyDescent="0.2">
      <c r="D121" s="1" t="str" cm="1">
        <f t="array" ref="D121">Common_InputFunctions.Utility_DisplayArrayInTable(SourceData_Poultry.SourceData_Poultry_Liveweights_Data(),Table_SourceData_Poultry_Liveweights[[#Headers],[Livestock class j]],0)</f>
        <v>Hen &gt;/=1 yr</v>
      </c>
      <c r="E121" s="19" cm="1">
        <f t="array" ref="E121">Common_InputFunctions.Utility_DisplayArrayInTable(SourceData_Poultry.SourceData_Poultry_Liveweights_Data(),Table_SourceData_Poultry_Liveweights[[#Headers],[Livestock class j]],0)</f>
        <v>2</v>
      </c>
      <c r="M121" s="1"/>
    </row>
    <row r="122" spans="4:22" ht="20.100000000000001" customHeight="1" x14ac:dyDescent="0.2">
      <c r="D122" s="1" t="str" cm="1">
        <f t="array" ref="D122">Common_InputFunctions.Utility_DisplayArrayInTable(SourceData_Poultry.SourceData_Poultry_Liveweights_Data(),Table_SourceData_Poultry_Liveweights[[#Headers],[Livestock class j]],0)</f>
        <v>Pullets</v>
      </c>
      <c r="E122" s="19" cm="1">
        <f t="array" ref="E122">Common_InputFunctions.Utility_DisplayArrayInTable(SourceData_Poultry.SourceData_Poultry_Liveweights_Data(),Table_SourceData_Poultry_Liveweights[[#Headers],[Livestock class j]],0)</f>
        <v>1.4</v>
      </c>
      <c r="M122" s="1"/>
    </row>
    <row r="123" spans="4:22" ht="20.100000000000001" customHeight="1" x14ac:dyDescent="0.2">
      <c r="D123" s="1" t="str" cm="1">
        <f t="array" ref="D123">Common_InputFunctions.Utility_DisplayArrayInTable(SourceData_Poultry.SourceData_Poultry_Liveweights_Data(),Table_SourceData_Poultry_Liveweights[[#Headers],[Livestock class j]],0)</f>
        <v>Broilers</v>
      </c>
      <c r="E123" s="19" cm="1">
        <f t="array" ref="E123">Common_InputFunctions.Utility_DisplayArrayInTable(SourceData_Poultry.SourceData_Poultry_Liveweights_Data(),Table_SourceData_Poultry_Liveweights[[#Headers],[Livestock class j]],0)</f>
        <v>1.2</v>
      </c>
      <c r="M123" s="1"/>
    </row>
    <row r="124" spans="4:22" ht="20.100000000000001" customHeight="1" x14ac:dyDescent="0.2">
      <c r="M124" s="1"/>
    </row>
    <row r="125" spans="4:22" ht="20.100000000000001" customHeight="1" x14ac:dyDescent="0.2">
      <c r="M125" s="1"/>
      <c r="V125" s="1"/>
    </row>
    <row r="126" spans="4:22" ht="20.100000000000001" customHeight="1" x14ac:dyDescent="0.2">
      <c r="M126" s="1"/>
      <c r="V126" s="1"/>
    </row>
    <row r="127" spans="4:22" ht="20.100000000000001" customHeight="1" x14ac:dyDescent="0.2">
      <c r="M127" s="1"/>
      <c r="V127" s="1"/>
    </row>
    <row r="128" spans="4:22" ht="20.100000000000001" customHeight="1" x14ac:dyDescent="0.2">
      <c r="M128" s="1"/>
      <c r="V128" s="1"/>
    </row>
    <row r="129" spans="13:22" ht="20.100000000000001" customHeight="1" x14ac:dyDescent="0.2">
      <c r="M129" s="1"/>
      <c r="V129" s="1"/>
    </row>
    <row r="130" spans="13:22" ht="20.100000000000001" customHeight="1" x14ac:dyDescent="0.2">
      <c r="M130" s="1"/>
      <c r="V130" s="1"/>
    </row>
    <row r="131" spans="13:22" ht="20.100000000000001" customHeight="1" x14ac:dyDescent="0.2">
      <c r="M131" s="1"/>
    </row>
    <row r="132" spans="13:22" ht="20.100000000000001" customHeight="1" x14ac:dyDescent="0.2">
      <c r="M132" s="1"/>
    </row>
    <row r="133" spans="13:22" ht="20.100000000000001" customHeight="1" x14ac:dyDescent="0.2">
      <c r="M133" s="1"/>
    </row>
    <row r="134" spans="13:22" ht="20.100000000000001" customHeight="1" x14ac:dyDescent="0.2">
      <c r="M134" s="1"/>
    </row>
    <row r="135" spans="13:22" ht="20.100000000000001" customHeight="1" x14ac:dyDescent="0.2">
      <c r="M135" s="1"/>
    </row>
    <row r="136" spans="13:22" ht="20.100000000000001" customHeight="1" x14ac:dyDescent="0.2">
      <c r="M136" s="1"/>
    </row>
    <row r="137" spans="13:22" ht="20.100000000000001" customHeight="1" x14ac:dyDescent="0.2">
      <c r="M137" s="1"/>
    </row>
    <row r="138" spans="13:22" ht="20.100000000000001" customHeight="1" x14ac:dyDescent="0.2">
      <c r="M138" s="1"/>
    </row>
    <row r="139" spans="13:22" ht="20.100000000000001" customHeight="1" x14ac:dyDescent="0.2">
      <c r="M139" s="1"/>
    </row>
    <row r="140" spans="13:22" ht="20.100000000000001" customHeight="1" x14ac:dyDescent="0.2">
      <c r="M140" s="1"/>
    </row>
    <row r="141" spans="13:22" ht="20.100000000000001" customHeight="1" x14ac:dyDescent="0.2">
      <c r="M141" s="1"/>
    </row>
    <row r="142" spans="13:22" ht="20.100000000000001" customHeight="1" x14ac:dyDescent="0.2">
      <c r="M142" s="1"/>
    </row>
    <row r="143" spans="13:22" ht="20.100000000000001" customHeight="1" x14ac:dyDescent="0.2">
      <c r="M143" s="1"/>
    </row>
    <row r="144" spans="13:22" ht="20.100000000000001" customHeight="1" x14ac:dyDescent="0.2">
      <c r="M144" s="1"/>
    </row>
    <row r="145" spans="13:13" ht="20.100000000000001" customHeight="1" x14ac:dyDescent="0.2">
      <c r="M145" s="1"/>
    </row>
    <row r="146" spans="13:13" ht="20.100000000000001" customHeight="1" x14ac:dyDescent="0.2">
      <c r="M146" s="1"/>
    </row>
    <row r="147" spans="13:13" ht="20.100000000000001" customHeight="1" x14ac:dyDescent="0.2">
      <c r="M147" s="1"/>
    </row>
    <row r="148" spans="13:13" ht="20.100000000000001" customHeight="1" x14ac:dyDescent="0.2">
      <c r="M148" s="1"/>
    </row>
    <row r="149" spans="13:13" ht="20.100000000000001" customHeight="1" x14ac:dyDescent="0.2">
      <c r="M149" s="1"/>
    </row>
    <row r="150" spans="13:13" ht="20.100000000000001" customHeight="1" x14ac:dyDescent="0.2">
      <c r="M150" s="1"/>
    </row>
    <row r="151" spans="13:13" ht="20.100000000000001" customHeight="1" x14ac:dyDescent="0.2">
      <c r="M151" s="1"/>
    </row>
    <row r="152" spans="13:13" ht="20.100000000000001" customHeight="1" x14ac:dyDescent="0.2">
      <c r="M152" s="1"/>
    </row>
    <row r="153" spans="13:13" ht="20.100000000000001" customHeight="1" x14ac:dyDescent="0.2">
      <c r="M153" s="1"/>
    </row>
    <row r="154" spans="13:13" ht="20.100000000000001" customHeight="1" x14ac:dyDescent="0.2">
      <c r="M154" s="1"/>
    </row>
    <row r="155" spans="13:13" ht="20.100000000000001" customHeight="1" x14ac:dyDescent="0.2">
      <c r="M155" s="1"/>
    </row>
    <row r="156" spans="13:13" ht="20.100000000000001" customHeight="1" x14ac:dyDescent="0.2">
      <c r="M156" s="1"/>
    </row>
    <row r="157" spans="13:13" ht="20.100000000000001" customHeight="1" x14ac:dyDescent="0.2">
      <c r="M157" s="1"/>
    </row>
    <row r="158" spans="13:13" ht="20.100000000000001" customHeight="1" x14ac:dyDescent="0.2">
      <c r="M158" s="1"/>
    </row>
    <row r="159" spans="13:13" ht="20.100000000000001" customHeight="1" x14ac:dyDescent="0.2">
      <c r="M159" s="1"/>
    </row>
    <row r="160" spans="13:13" ht="20.100000000000001" customHeight="1" x14ac:dyDescent="0.2">
      <c r="M160" s="1"/>
    </row>
    <row r="161" spans="13:13" ht="20.100000000000001" customHeight="1" x14ac:dyDescent="0.2">
      <c r="M161" s="1"/>
    </row>
    <row r="162" spans="13:13" ht="20.100000000000001" customHeight="1" x14ac:dyDescent="0.2">
      <c r="M162" s="1"/>
    </row>
    <row r="163" spans="13:13" ht="20.100000000000001" customHeight="1" x14ac:dyDescent="0.2">
      <c r="M163" s="1"/>
    </row>
    <row r="164" spans="13:13" ht="20.100000000000001" customHeight="1" x14ac:dyDescent="0.2">
      <c r="M164" s="1"/>
    </row>
    <row r="165" spans="13:13" ht="20.100000000000001" customHeight="1" x14ac:dyDescent="0.2">
      <c r="M165" s="1"/>
    </row>
    <row r="166" spans="13:13" ht="20.100000000000001" customHeight="1" x14ac:dyDescent="0.2">
      <c r="M166" s="1"/>
    </row>
    <row r="167" spans="13:13" ht="20.100000000000001" customHeight="1" x14ac:dyDescent="0.2">
      <c r="M167" s="1"/>
    </row>
    <row r="168" spans="13:13" ht="20.100000000000001" customHeight="1" x14ac:dyDescent="0.2">
      <c r="M168" s="1"/>
    </row>
    <row r="169" spans="13:13" ht="20.100000000000001" customHeight="1" x14ac:dyDescent="0.2">
      <c r="M169" s="1"/>
    </row>
    <row r="170" spans="13:13" ht="20.100000000000001" customHeight="1" x14ac:dyDescent="0.2">
      <c r="M170" s="1"/>
    </row>
    <row r="171" spans="13:13" ht="20.100000000000001" customHeight="1" x14ac:dyDescent="0.2">
      <c r="M171" s="1"/>
    </row>
    <row r="172" spans="13:13" ht="20.100000000000001" customHeight="1" x14ac:dyDescent="0.2">
      <c r="M172" s="1"/>
    </row>
    <row r="173" spans="13:13" ht="20.100000000000001" customHeight="1" x14ac:dyDescent="0.2">
      <c r="M173" s="1"/>
    </row>
    <row r="174" spans="13:13" ht="20.100000000000001" customHeight="1" x14ac:dyDescent="0.2">
      <c r="M174" s="1"/>
    </row>
    <row r="175" spans="13:13" ht="20.100000000000001" customHeight="1" x14ac:dyDescent="0.2">
      <c r="M175" s="1"/>
    </row>
    <row r="176" spans="13:13" ht="20.100000000000001" customHeight="1" x14ac:dyDescent="0.2">
      <c r="M176" s="1"/>
    </row>
    <row r="177" spans="13:13" ht="20.100000000000001" customHeight="1" x14ac:dyDescent="0.2">
      <c r="M177" s="1"/>
    </row>
    <row r="178" spans="13:13" ht="20.100000000000001" customHeight="1" x14ac:dyDescent="0.2">
      <c r="M178" s="1"/>
    </row>
    <row r="179" spans="13:13" ht="20.100000000000001" customHeight="1" x14ac:dyDescent="0.2">
      <c r="M179" s="1"/>
    </row>
    <row r="180" spans="13:13" ht="20.100000000000001" customHeight="1" x14ac:dyDescent="0.2">
      <c r="M180" s="1"/>
    </row>
    <row r="181" spans="13:13" ht="20.100000000000001" customHeight="1" x14ac:dyDescent="0.2">
      <c r="M181" s="1"/>
    </row>
    <row r="182" spans="13:13" ht="20.100000000000001" customHeight="1" x14ac:dyDescent="0.2">
      <c r="M182" s="1"/>
    </row>
    <row r="183" spans="13:13" ht="20.100000000000001" customHeight="1" x14ac:dyDescent="0.2">
      <c r="M183" s="1"/>
    </row>
    <row r="184" spans="13:13" ht="20.100000000000001" customHeight="1" x14ac:dyDescent="0.2">
      <c r="M184" s="1"/>
    </row>
    <row r="185" spans="13:13" ht="20.100000000000001" customHeight="1" x14ac:dyDescent="0.2">
      <c r="M185" s="1"/>
    </row>
    <row r="186" spans="13:13" ht="20.100000000000001" customHeight="1" x14ac:dyDescent="0.2">
      <c r="M186" s="1"/>
    </row>
    <row r="187" spans="13:13" ht="20.100000000000001" customHeight="1" x14ac:dyDescent="0.2">
      <c r="M187" s="1"/>
    </row>
    <row r="188" spans="13:13" ht="20.100000000000001" customHeight="1" x14ac:dyDescent="0.2">
      <c r="M188" s="1"/>
    </row>
    <row r="189" spans="13:13" ht="20.100000000000001" customHeight="1" x14ac:dyDescent="0.2">
      <c r="M189" s="1"/>
    </row>
    <row r="190" spans="13:13" ht="20.100000000000001" customHeight="1" x14ac:dyDescent="0.2">
      <c r="M190" s="1"/>
    </row>
    <row r="191" spans="13:13" ht="20.100000000000001" customHeight="1" x14ac:dyDescent="0.2">
      <c r="M191" s="1"/>
    </row>
    <row r="192" spans="13:13" ht="20.100000000000001" customHeight="1" x14ac:dyDescent="0.2">
      <c r="M192" s="1"/>
    </row>
    <row r="193" spans="13:13" ht="20.100000000000001" customHeight="1" x14ac:dyDescent="0.2">
      <c r="M193" s="1"/>
    </row>
    <row r="194" spans="13:13" ht="20.100000000000001" customHeight="1" x14ac:dyDescent="0.2">
      <c r="M194" s="1"/>
    </row>
    <row r="195" spans="13:13" ht="20.100000000000001" customHeight="1" x14ac:dyDescent="0.2">
      <c r="M195" s="1"/>
    </row>
    <row r="196" spans="13:13" ht="20.100000000000001" customHeight="1" x14ac:dyDescent="0.2">
      <c r="M196" s="1"/>
    </row>
    <row r="197" spans="13:13" ht="20.100000000000001" customHeight="1" x14ac:dyDescent="0.2">
      <c r="M197" s="1"/>
    </row>
    <row r="198" spans="13:13" ht="20.100000000000001" customHeight="1" x14ac:dyDescent="0.2">
      <c r="M198" s="1"/>
    </row>
    <row r="199" spans="13:13" ht="20.100000000000001" customHeight="1" x14ac:dyDescent="0.2">
      <c r="M199" s="1"/>
    </row>
    <row r="200" spans="13:13" ht="20.100000000000001" customHeight="1" x14ac:dyDescent="0.2">
      <c r="M200" s="1"/>
    </row>
    <row r="201" spans="13:13" ht="20.100000000000001" customHeight="1" x14ac:dyDescent="0.2">
      <c r="M201" s="1"/>
    </row>
    <row r="202" spans="13:13" ht="20.100000000000001" customHeight="1" x14ac:dyDescent="0.2">
      <c r="M202" s="1"/>
    </row>
    <row r="203" spans="13:13" ht="20.100000000000001" customHeight="1" x14ac:dyDescent="0.2">
      <c r="M203" s="1"/>
    </row>
    <row r="204" spans="13:13" ht="20.100000000000001" customHeight="1" x14ac:dyDescent="0.2">
      <c r="M204" s="1"/>
    </row>
    <row r="205" spans="13:13" ht="20.100000000000001" customHeight="1" x14ac:dyDescent="0.2">
      <c r="M205" s="1"/>
    </row>
    <row r="206" spans="13:13" ht="20.100000000000001" customHeight="1" x14ac:dyDescent="0.2">
      <c r="M206" s="1"/>
    </row>
    <row r="207" spans="13:13" ht="20.100000000000001" customHeight="1" x14ac:dyDescent="0.2">
      <c r="M207" s="1"/>
    </row>
    <row r="208" spans="13:13" ht="20.100000000000001" customHeight="1" x14ac:dyDescent="0.2">
      <c r="M208" s="1"/>
    </row>
    <row r="209" spans="13:13" ht="20.100000000000001" customHeight="1" x14ac:dyDescent="0.2">
      <c r="M209" s="1"/>
    </row>
    <row r="210" spans="13:13" ht="20.100000000000001" customHeight="1" x14ac:dyDescent="0.2">
      <c r="M210" s="1"/>
    </row>
    <row r="211" spans="13:13" ht="20.100000000000001" customHeight="1" x14ac:dyDescent="0.2">
      <c r="M211" s="1"/>
    </row>
    <row r="212" spans="13:13" ht="20.100000000000001" customHeight="1" x14ac:dyDescent="0.2">
      <c r="M212" s="1"/>
    </row>
    <row r="213" spans="13:13" ht="20.100000000000001" customHeight="1" x14ac:dyDescent="0.2">
      <c r="M213" s="1"/>
    </row>
    <row r="214" spans="13:13" ht="20.100000000000001" customHeight="1" x14ac:dyDescent="0.2">
      <c r="M214" s="1"/>
    </row>
    <row r="215" spans="13:13" ht="20.100000000000001" customHeight="1" x14ac:dyDescent="0.2">
      <c r="M215" s="1"/>
    </row>
    <row r="216" spans="13:13" ht="20.100000000000001" customHeight="1" x14ac:dyDescent="0.2">
      <c r="M216" s="1"/>
    </row>
    <row r="217" spans="13:13" ht="20.100000000000001" customHeight="1" x14ac:dyDescent="0.2">
      <c r="M217" s="1"/>
    </row>
    <row r="218" spans="13:13" ht="20.100000000000001" customHeight="1" x14ac:dyDescent="0.2">
      <c r="M218" s="1"/>
    </row>
    <row r="219" spans="13:13" ht="20.100000000000001" customHeight="1" x14ac:dyDescent="0.2">
      <c r="M219" s="1"/>
    </row>
    <row r="220" spans="13:13" ht="20.100000000000001" customHeight="1" x14ac:dyDescent="0.2">
      <c r="M220" s="1"/>
    </row>
    <row r="221" spans="13:13" ht="20.100000000000001" customHeight="1" x14ac:dyDescent="0.2">
      <c r="M221" s="1"/>
    </row>
    <row r="222" spans="13:13" ht="20.100000000000001" customHeight="1" x14ac:dyDescent="0.2">
      <c r="M222" s="1"/>
    </row>
    <row r="223" spans="13:13" ht="20.100000000000001" customHeight="1" x14ac:dyDescent="0.2">
      <c r="M223" s="1"/>
    </row>
    <row r="224" spans="13:13" ht="20.100000000000001" customHeight="1" x14ac:dyDescent="0.2">
      <c r="M224" s="1"/>
    </row>
    <row r="225" spans="13:13" ht="20.100000000000001" customHeight="1" x14ac:dyDescent="0.2">
      <c r="M225" s="1"/>
    </row>
    <row r="226" spans="13:13" ht="20.100000000000001" customHeight="1" x14ac:dyDescent="0.2">
      <c r="M226" s="1"/>
    </row>
    <row r="227" spans="13:13" ht="20.100000000000001" customHeight="1" x14ac:dyDescent="0.2">
      <c r="M227" s="1"/>
    </row>
    <row r="228" spans="13:13" ht="20.100000000000001" customHeight="1" x14ac:dyDescent="0.2">
      <c r="M228" s="1"/>
    </row>
    <row r="229" spans="13:13" ht="20.100000000000001" customHeight="1" x14ac:dyDescent="0.2">
      <c r="M229" s="1"/>
    </row>
    <row r="230" spans="13:13" ht="20.100000000000001" customHeight="1" x14ac:dyDescent="0.2">
      <c r="M230" s="1"/>
    </row>
    <row r="231" spans="13:13" ht="20.100000000000001" customHeight="1" x14ac:dyDescent="0.2">
      <c r="M231" s="1"/>
    </row>
    <row r="232" spans="13:13" ht="20.100000000000001" customHeight="1" x14ac:dyDescent="0.2">
      <c r="M232" s="1"/>
    </row>
    <row r="233" spans="13:13" ht="20.100000000000001" customHeight="1" x14ac:dyDescent="0.2">
      <c r="M233" s="1"/>
    </row>
    <row r="234" spans="13:13" ht="20.100000000000001" customHeight="1" x14ac:dyDescent="0.2">
      <c r="M234" s="1"/>
    </row>
    <row r="235" spans="13:13" ht="20.100000000000001" customHeight="1" x14ac:dyDescent="0.2">
      <c r="M235" s="1"/>
    </row>
    <row r="236" spans="13:13" ht="20.100000000000001" customHeight="1" x14ac:dyDescent="0.2">
      <c r="M236" s="1"/>
    </row>
    <row r="237" spans="13:13" ht="20.100000000000001" customHeight="1" x14ac:dyDescent="0.2">
      <c r="M237" s="1"/>
    </row>
    <row r="238" spans="13:13" ht="20.100000000000001" customHeight="1" x14ac:dyDescent="0.2">
      <c r="M238" s="1"/>
    </row>
    <row r="239" spans="13:13" ht="20.100000000000001" customHeight="1" x14ac:dyDescent="0.2">
      <c r="M239" s="1"/>
    </row>
    <row r="240" spans="13:13" ht="20.100000000000001" customHeight="1" x14ac:dyDescent="0.2">
      <c r="M240" s="1"/>
    </row>
    <row r="241" spans="13:13" ht="20.100000000000001" customHeight="1" x14ac:dyDescent="0.2">
      <c r="M241" s="1"/>
    </row>
    <row r="242" spans="13:13" ht="20.100000000000001" customHeight="1" x14ac:dyDescent="0.2">
      <c r="M242" s="1"/>
    </row>
    <row r="243" spans="13:13" ht="20.100000000000001" customHeight="1" x14ac:dyDescent="0.2">
      <c r="M243" s="1"/>
    </row>
    <row r="244" spans="13:13" ht="20.100000000000001" customHeight="1" x14ac:dyDescent="0.2">
      <c r="M244" s="1"/>
    </row>
    <row r="245" spans="13:13" ht="20.100000000000001" customHeight="1" x14ac:dyDescent="0.2">
      <c r="M245" s="1"/>
    </row>
    <row r="246" spans="13:13" ht="20.100000000000001" customHeight="1" x14ac:dyDescent="0.2">
      <c r="M246" s="1"/>
    </row>
    <row r="247" spans="13:13" ht="20.100000000000001" customHeight="1" x14ac:dyDescent="0.2">
      <c r="M247" s="1"/>
    </row>
    <row r="248" spans="13:13" ht="20.100000000000001" customHeight="1" x14ac:dyDescent="0.2">
      <c r="M248" s="1"/>
    </row>
    <row r="249" spans="13:13" ht="20.100000000000001" customHeight="1" x14ac:dyDescent="0.2">
      <c r="M249" s="1"/>
    </row>
    <row r="250" spans="13:13" ht="20.100000000000001" customHeight="1" x14ac:dyDescent="0.2">
      <c r="M250" s="1"/>
    </row>
    <row r="251" spans="13:13" ht="20.100000000000001" customHeight="1" x14ac:dyDescent="0.2">
      <c r="M251" s="1"/>
    </row>
    <row r="252" spans="13:13" ht="20.100000000000001" customHeight="1" x14ac:dyDescent="0.2">
      <c r="M252" s="1"/>
    </row>
    <row r="253" spans="13:13" ht="20.100000000000001" customHeight="1" x14ac:dyDescent="0.2">
      <c r="M253" s="1"/>
    </row>
    <row r="254" spans="13:13" ht="20.100000000000001" customHeight="1" x14ac:dyDescent="0.2">
      <c r="M254" s="1"/>
    </row>
    <row r="255" spans="13:13" ht="20.100000000000001" customHeight="1" x14ac:dyDescent="0.2">
      <c r="M255" s="1"/>
    </row>
    <row r="256" spans="13:13" ht="20.100000000000001" customHeight="1" x14ac:dyDescent="0.2">
      <c r="M256" s="1"/>
    </row>
    <row r="257" spans="13:13" ht="20.100000000000001" customHeight="1" x14ac:dyDescent="0.2">
      <c r="M257" s="1"/>
    </row>
    <row r="258" spans="13:13" ht="20.100000000000001" customHeight="1" x14ac:dyDescent="0.2">
      <c r="M258" s="1"/>
    </row>
    <row r="259" spans="13:13" ht="20.100000000000001" customHeight="1" x14ac:dyDescent="0.2">
      <c r="M259" s="1"/>
    </row>
    <row r="260" spans="13:13" ht="20.100000000000001" customHeight="1" x14ac:dyDescent="0.2">
      <c r="M260" s="1"/>
    </row>
    <row r="261" spans="13:13" ht="20.100000000000001" customHeight="1" x14ac:dyDescent="0.2">
      <c r="M261" s="1"/>
    </row>
    <row r="262" spans="13:13" ht="20.100000000000001" customHeight="1" x14ac:dyDescent="0.2">
      <c r="M262" s="1"/>
    </row>
    <row r="263" spans="13:13" ht="20.100000000000001" customHeight="1" x14ac:dyDescent="0.2">
      <c r="M263" s="1"/>
    </row>
    <row r="264" spans="13:13" ht="20.100000000000001" customHeight="1" x14ac:dyDescent="0.2">
      <c r="M264" s="1"/>
    </row>
    <row r="265" spans="13:13" ht="20.100000000000001" customHeight="1" x14ac:dyDescent="0.2">
      <c r="M265" s="1"/>
    </row>
    <row r="266" spans="13:13" ht="20.100000000000001" customHeight="1" x14ac:dyDescent="0.2">
      <c r="M266" s="1"/>
    </row>
    <row r="267" spans="13:13" ht="20.100000000000001" customHeight="1" x14ac:dyDescent="0.2">
      <c r="M267" s="1"/>
    </row>
    <row r="268" spans="13:13" ht="20.100000000000001" customHeight="1" x14ac:dyDescent="0.2">
      <c r="M268" s="1"/>
    </row>
    <row r="269" spans="13:13" ht="20.100000000000001" customHeight="1" x14ac:dyDescent="0.2">
      <c r="M269" s="1"/>
    </row>
    <row r="270" spans="13:13" ht="20.100000000000001" customHeight="1" x14ac:dyDescent="0.2">
      <c r="M270" s="1"/>
    </row>
    <row r="271" spans="13:13" ht="20.100000000000001" customHeight="1" x14ac:dyDescent="0.2">
      <c r="M271" s="1"/>
    </row>
    <row r="272" spans="13:13" ht="20.100000000000001" customHeight="1" x14ac:dyDescent="0.2">
      <c r="M272" s="1"/>
    </row>
    <row r="273" spans="13:13" ht="20.100000000000001" customHeight="1" x14ac:dyDescent="0.2">
      <c r="M273" s="1"/>
    </row>
    <row r="274" spans="13:13" ht="20.100000000000001" customHeight="1" x14ac:dyDescent="0.2">
      <c r="M274" s="1"/>
    </row>
    <row r="275" spans="13:13" ht="20.100000000000001" customHeight="1" x14ac:dyDescent="0.2">
      <c r="M275" s="1"/>
    </row>
    <row r="276" spans="13:13" ht="20.100000000000001" customHeight="1" x14ac:dyDescent="0.2">
      <c r="M276" s="1"/>
    </row>
    <row r="277" spans="13:13" ht="20.100000000000001" customHeight="1" x14ac:dyDescent="0.2">
      <c r="M277" s="1"/>
    </row>
    <row r="278" spans="13:13" ht="20.100000000000001" customHeight="1" x14ac:dyDescent="0.2">
      <c r="M278" s="1"/>
    </row>
    <row r="279" spans="13:13" ht="20.100000000000001" customHeight="1" x14ac:dyDescent="0.2">
      <c r="M279" s="1"/>
    </row>
    <row r="280" spans="13:13" ht="20.100000000000001" customHeight="1" x14ac:dyDescent="0.2">
      <c r="M280" s="1"/>
    </row>
    <row r="281" spans="13:13" ht="20.100000000000001" customHeight="1" x14ac:dyDescent="0.2">
      <c r="M281" s="1"/>
    </row>
    <row r="282" spans="13:13" ht="20.100000000000001" customHeight="1" x14ac:dyDescent="0.2">
      <c r="M282" s="1"/>
    </row>
    <row r="283" spans="13:13" ht="20.100000000000001" customHeight="1" x14ac:dyDescent="0.2">
      <c r="M283" s="1"/>
    </row>
    <row r="284" spans="13:13" ht="20.100000000000001" customHeight="1" x14ac:dyDescent="0.2">
      <c r="M284" s="1"/>
    </row>
    <row r="285" spans="13:13" ht="20.100000000000001" customHeight="1" x14ac:dyDescent="0.2">
      <c r="M285" s="1"/>
    </row>
    <row r="286" spans="13:13" ht="20.100000000000001" customHeight="1" x14ac:dyDescent="0.2">
      <c r="M286" s="1"/>
    </row>
    <row r="287" spans="13:13" ht="20.100000000000001" customHeight="1" x14ac:dyDescent="0.2">
      <c r="M287" s="1"/>
    </row>
    <row r="288" spans="13:13" ht="20.100000000000001" customHeight="1" x14ac:dyDescent="0.2">
      <c r="M288" s="1"/>
    </row>
    <row r="289" spans="13:13" ht="20.100000000000001" customHeight="1" x14ac:dyDescent="0.2">
      <c r="M289" s="1"/>
    </row>
    <row r="290" spans="13:13" ht="20.100000000000001" customHeight="1" x14ac:dyDescent="0.2">
      <c r="M290" s="1"/>
    </row>
    <row r="291" spans="13:13" ht="20.100000000000001" customHeight="1" x14ac:dyDescent="0.2">
      <c r="M291" s="1"/>
    </row>
    <row r="292" spans="13:13" ht="20.100000000000001" customHeight="1" x14ac:dyDescent="0.2">
      <c r="M292" s="1"/>
    </row>
    <row r="293" spans="13:13" ht="20.100000000000001" customHeight="1" x14ac:dyDescent="0.2">
      <c r="M293" s="1"/>
    </row>
    <row r="294" spans="13:13" ht="20.100000000000001" customHeight="1" x14ac:dyDescent="0.2">
      <c r="M294" s="1"/>
    </row>
    <row r="295" spans="13:13" ht="20.100000000000001" customHeight="1" x14ac:dyDescent="0.2">
      <c r="M295" s="1"/>
    </row>
    <row r="296" spans="13:13" ht="20.100000000000001" customHeight="1" x14ac:dyDescent="0.2">
      <c r="M296" s="1"/>
    </row>
    <row r="297" spans="13:13" ht="20.100000000000001" customHeight="1" x14ac:dyDescent="0.2">
      <c r="M297" s="1"/>
    </row>
    <row r="298" spans="13:13" ht="20.100000000000001" customHeight="1" x14ac:dyDescent="0.2">
      <c r="M298" s="1"/>
    </row>
    <row r="299" spans="13:13" ht="20.100000000000001" customHeight="1" x14ac:dyDescent="0.2">
      <c r="M299" s="1"/>
    </row>
    <row r="300" spans="13:13" ht="20.100000000000001" customHeight="1" x14ac:dyDescent="0.2">
      <c r="M300" s="1"/>
    </row>
    <row r="301" spans="13:13" ht="20.100000000000001" customHeight="1" x14ac:dyDescent="0.2">
      <c r="M301" s="1"/>
    </row>
    <row r="302" spans="13:13" ht="20.100000000000001" customHeight="1" x14ac:dyDescent="0.2">
      <c r="M302" s="1"/>
    </row>
    <row r="303" spans="13:13" ht="20.100000000000001" customHeight="1" x14ac:dyDescent="0.2">
      <c r="M303" s="1"/>
    </row>
    <row r="304" spans="13:13" ht="20.100000000000001" customHeight="1" x14ac:dyDescent="0.2">
      <c r="M304" s="1"/>
    </row>
    <row r="305" spans="13:13" ht="20.100000000000001" customHeight="1" x14ac:dyDescent="0.2">
      <c r="M305" s="1"/>
    </row>
    <row r="306" spans="13:13" ht="20.100000000000001" customHeight="1" x14ac:dyDescent="0.2">
      <c r="M306" s="1"/>
    </row>
    <row r="307" spans="13:13" ht="20.100000000000001" customHeight="1" x14ac:dyDescent="0.2">
      <c r="M307" s="1"/>
    </row>
    <row r="308" spans="13:13" ht="20.100000000000001" customHeight="1" x14ac:dyDescent="0.2">
      <c r="M308" s="1"/>
    </row>
    <row r="309" spans="13:13" ht="20.100000000000001" customHeight="1" x14ac:dyDescent="0.2">
      <c r="M309" s="1"/>
    </row>
    <row r="310" spans="13:13" ht="20.100000000000001" customHeight="1" x14ac:dyDescent="0.2">
      <c r="M310" s="1"/>
    </row>
    <row r="311" spans="13:13" ht="20.100000000000001" customHeight="1" x14ac:dyDescent="0.2">
      <c r="M311" s="1"/>
    </row>
    <row r="312" spans="13:13" ht="20.100000000000001" customHeight="1" x14ac:dyDescent="0.2">
      <c r="M312" s="1"/>
    </row>
    <row r="313" spans="13:13" ht="20.100000000000001" customHeight="1" x14ac:dyDescent="0.2">
      <c r="M313" s="1"/>
    </row>
    <row r="314" spans="13:13" ht="20.100000000000001" customHeight="1" x14ac:dyDescent="0.2">
      <c r="M314" s="1"/>
    </row>
    <row r="315" spans="13:13" ht="20.100000000000001" customHeight="1" x14ac:dyDescent="0.2">
      <c r="M315" s="1"/>
    </row>
    <row r="316" spans="13:13" ht="20.100000000000001" customHeight="1" x14ac:dyDescent="0.2">
      <c r="M316" s="1"/>
    </row>
    <row r="317" spans="13:13" ht="20.100000000000001" customHeight="1" x14ac:dyDescent="0.2">
      <c r="M317" s="1"/>
    </row>
    <row r="318" spans="13:13" ht="20.100000000000001" customHeight="1" x14ac:dyDescent="0.2">
      <c r="M318" s="1"/>
    </row>
    <row r="319" spans="13:13" ht="20.100000000000001" customHeight="1" x14ac:dyDescent="0.2">
      <c r="M319" s="1"/>
    </row>
    <row r="320" spans="13:13" ht="20.100000000000001" customHeight="1" x14ac:dyDescent="0.2">
      <c r="M320" s="1"/>
    </row>
    <row r="321" spans="13:13" ht="20.100000000000001" customHeight="1" x14ac:dyDescent="0.2">
      <c r="M321" s="1"/>
    </row>
    <row r="322" spans="13:13" ht="20.100000000000001" customHeight="1" x14ac:dyDescent="0.2">
      <c r="M322" s="1"/>
    </row>
    <row r="323" spans="13:13" ht="20.100000000000001" customHeight="1" x14ac:dyDescent="0.2">
      <c r="M323" s="1"/>
    </row>
    <row r="324" spans="13:13" ht="20.100000000000001" customHeight="1" x14ac:dyDescent="0.2">
      <c r="M324" s="1"/>
    </row>
    <row r="325" spans="13:13" ht="20.100000000000001" customHeight="1" x14ac:dyDescent="0.2">
      <c r="M325" s="1"/>
    </row>
    <row r="326" spans="13:13" ht="20.100000000000001" customHeight="1" x14ac:dyDescent="0.2">
      <c r="M326" s="1"/>
    </row>
    <row r="327" spans="13:13" ht="20.100000000000001" customHeight="1" x14ac:dyDescent="0.2">
      <c r="M327" s="1"/>
    </row>
    <row r="328" spans="13:13" ht="20.100000000000001" customHeight="1" x14ac:dyDescent="0.2">
      <c r="M328" s="1"/>
    </row>
    <row r="329" spans="13:13" ht="20.100000000000001" customHeight="1" x14ac:dyDescent="0.2">
      <c r="M329" s="1"/>
    </row>
    <row r="330" spans="13:13" ht="20.100000000000001" customHeight="1" x14ac:dyDescent="0.2">
      <c r="M330" s="1"/>
    </row>
    <row r="331" spans="13:13" ht="20.100000000000001" customHeight="1" x14ac:dyDescent="0.2">
      <c r="M331" s="1"/>
    </row>
    <row r="332" spans="13:13" ht="20.100000000000001" customHeight="1" x14ac:dyDescent="0.2">
      <c r="M332" s="1"/>
    </row>
    <row r="333" spans="13:13" ht="20.100000000000001" customHeight="1" x14ac:dyDescent="0.2">
      <c r="M333" s="1"/>
    </row>
    <row r="334" spans="13:13" ht="20.100000000000001" customHeight="1" x14ac:dyDescent="0.2">
      <c r="M334" s="1"/>
    </row>
    <row r="335" spans="13:13" ht="20.100000000000001" customHeight="1" x14ac:dyDescent="0.2">
      <c r="M335" s="1"/>
    </row>
    <row r="336" spans="13:13" ht="20.100000000000001" customHeight="1" x14ac:dyDescent="0.2">
      <c r="M336" s="1"/>
    </row>
    <row r="337" spans="13:13" ht="20.100000000000001" customHeight="1" x14ac:dyDescent="0.2">
      <c r="M337" s="1"/>
    </row>
    <row r="338" spans="13:13" ht="20.100000000000001" customHeight="1" x14ac:dyDescent="0.2">
      <c r="M338" s="1"/>
    </row>
    <row r="339" spans="13:13" ht="20.100000000000001" customHeight="1" x14ac:dyDescent="0.2">
      <c r="M339" s="1"/>
    </row>
    <row r="340" spans="13:13" ht="20.100000000000001" customHeight="1" x14ac:dyDescent="0.2">
      <c r="M340" s="1"/>
    </row>
    <row r="341" spans="13:13" ht="20.100000000000001" customHeight="1" x14ac:dyDescent="0.2">
      <c r="M341" s="1"/>
    </row>
    <row r="342" spans="13:13" ht="20.100000000000001" customHeight="1" x14ac:dyDescent="0.2">
      <c r="M342" s="1"/>
    </row>
    <row r="343" spans="13:13" ht="20.100000000000001" customHeight="1" x14ac:dyDescent="0.2">
      <c r="M343" s="1"/>
    </row>
    <row r="344" spans="13:13" ht="20.100000000000001" customHeight="1" x14ac:dyDescent="0.2">
      <c r="M344" s="1"/>
    </row>
    <row r="345" spans="13:13" ht="20.100000000000001" customHeight="1" x14ac:dyDescent="0.2">
      <c r="M345" s="1"/>
    </row>
    <row r="346" spans="13:13" ht="20.100000000000001" customHeight="1" x14ac:dyDescent="0.2">
      <c r="M346" s="1"/>
    </row>
    <row r="347" spans="13:13" ht="20.100000000000001" customHeight="1" x14ac:dyDescent="0.2">
      <c r="M347" s="1"/>
    </row>
    <row r="348" spans="13:13" ht="20.100000000000001" customHeight="1" x14ac:dyDescent="0.2">
      <c r="M348" s="1"/>
    </row>
    <row r="349" spans="13:13" ht="20.100000000000001" customHeight="1" x14ac:dyDescent="0.2">
      <c r="M349" s="1"/>
    </row>
    <row r="350" spans="13:13" ht="20.100000000000001" customHeight="1" x14ac:dyDescent="0.2">
      <c r="M350" s="1"/>
    </row>
    <row r="351" spans="13:13" ht="20.100000000000001" customHeight="1" x14ac:dyDescent="0.2">
      <c r="M351" s="1"/>
    </row>
    <row r="352" spans="13:13" ht="20.100000000000001" customHeight="1" x14ac:dyDescent="0.2">
      <c r="M352" s="1"/>
    </row>
    <row r="353" spans="13:13" ht="20.100000000000001" customHeight="1" x14ac:dyDescent="0.2">
      <c r="M353" s="1"/>
    </row>
    <row r="354" spans="13:13" ht="20.100000000000001" customHeight="1" x14ac:dyDescent="0.2">
      <c r="M354" s="1"/>
    </row>
    <row r="355" spans="13:13" ht="20.100000000000001" customHeight="1" x14ac:dyDescent="0.2">
      <c r="M355" s="1"/>
    </row>
    <row r="356" spans="13:13" ht="20.100000000000001" customHeight="1" x14ac:dyDescent="0.2">
      <c r="M356" s="1"/>
    </row>
    <row r="357" spans="13:13" ht="20.100000000000001" customHeight="1" x14ac:dyDescent="0.2">
      <c r="M357" s="1"/>
    </row>
    <row r="358" spans="13:13" ht="20.100000000000001" customHeight="1" x14ac:dyDescent="0.2">
      <c r="M358" s="1"/>
    </row>
    <row r="359" spans="13:13" ht="20.100000000000001" customHeight="1" x14ac:dyDescent="0.2">
      <c r="M359" s="1"/>
    </row>
    <row r="360" spans="13:13" ht="20.100000000000001" customHeight="1" x14ac:dyDescent="0.2">
      <c r="M360" s="1"/>
    </row>
    <row r="361" spans="13:13" ht="20.100000000000001" customHeight="1" x14ac:dyDescent="0.2">
      <c r="M361" s="1"/>
    </row>
    <row r="362" spans="13:13" ht="20.100000000000001" customHeight="1" x14ac:dyDescent="0.2">
      <c r="M362" s="1"/>
    </row>
    <row r="363" spans="13:13" ht="20.100000000000001" customHeight="1" x14ac:dyDescent="0.2">
      <c r="M363" s="1"/>
    </row>
    <row r="364" spans="13:13" ht="20.100000000000001" customHeight="1" x14ac:dyDescent="0.2">
      <c r="M364" s="1"/>
    </row>
    <row r="365" spans="13:13" ht="20.100000000000001" customHeight="1" x14ac:dyDescent="0.2">
      <c r="M365" s="1"/>
    </row>
    <row r="366" spans="13:13" ht="20.100000000000001" customHeight="1" x14ac:dyDescent="0.2">
      <c r="M366" s="1"/>
    </row>
    <row r="367" spans="13:13" ht="20.100000000000001" customHeight="1" x14ac:dyDescent="0.2">
      <c r="M367" s="1"/>
    </row>
    <row r="368" spans="13:13" ht="20.100000000000001" customHeight="1" x14ac:dyDescent="0.2">
      <c r="M368" s="1"/>
    </row>
    <row r="369" spans="13:13" ht="20.100000000000001" customHeight="1" x14ac:dyDescent="0.2">
      <c r="M369" s="1"/>
    </row>
    <row r="370" spans="13:13" ht="20.100000000000001" customHeight="1" x14ac:dyDescent="0.2">
      <c r="M370" s="1"/>
    </row>
    <row r="371" spans="13:13" ht="20.100000000000001" customHeight="1" x14ac:dyDescent="0.2">
      <c r="M371" s="1"/>
    </row>
    <row r="372" spans="13:13" ht="20.100000000000001" customHeight="1" x14ac:dyDescent="0.2">
      <c r="M372" s="1"/>
    </row>
    <row r="373" spans="13:13" ht="20.100000000000001" customHeight="1" x14ac:dyDescent="0.2">
      <c r="M373" s="1"/>
    </row>
    <row r="374" spans="13:13" ht="20.100000000000001" customHeight="1" x14ac:dyDescent="0.2">
      <c r="M374" s="1"/>
    </row>
    <row r="375" spans="13:13" ht="20.100000000000001" customHeight="1" x14ac:dyDescent="0.2">
      <c r="M375" s="1"/>
    </row>
    <row r="376" spans="13:13" ht="20.100000000000001" customHeight="1" x14ac:dyDescent="0.2">
      <c r="M376" s="1"/>
    </row>
    <row r="377" spans="13:13" ht="20.100000000000001" customHeight="1" x14ac:dyDescent="0.2">
      <c r="M377" s="1"/>
    </row>
    <row r="378" spans="13:13" ht="20.100000000000001" customHeight="1" x14ac:dyDescent="0.2">
      <c r="M378" s="1"/>
    </row>
    <row r="379" spans="13:13" ht="20.100000000000001" customHeight="1" x14ac:dyDescent="0.2">
      <c r="M379" s="1"/>
    </row>
    <row r="380" spans="13:13" ht="20.100000000000001" customHeight="1" x14ac:dyDescent="0.2">
      <c r="M380" s="1"/>
    </row>
    <row r="381" spans="13:13" ht="20.100000000000001" customHeight="1" x14ac:dyDescent="0.2">
      <c r="M381" s="1"/>
    </row>
    <row r="382" spans="13:13" ht="20.100000000000001" customHeight="1" x14ac:dyDescent="0.2">
      <c r="M382" s="1"/>
    </row>
    <row r="383" spans="13:13" ht="20.100000000000001" customHeight="1" x14ac:dyDescent="0.2">
      <c r="M383" s="1"/>
    </row>
    <row r="384" spans="13:13" ht="20.100000000000001" customHeight="1" x14ac:dyDescent="0.2">
      <c r="M384" s="1"/>
    </row>
    <row r="385" spans="13:13" ht="20.100000000000001" customHeight="1" x14ac:dyDescent="0.2">
      <c r="M385" s="1"/>
    </row>
    <row r="386" spans="13:13" ht="20.100000000000001" customHeight="1" x14ac:dyDescent="0.2">
      <c r="M386" s="1"/>
    </row>
    <row r="387" spans="13:13" ht="20.100000000000001" customHeight="1" x14ac:dyDescent="0.2">
      <c r="M387" s="1"/>
    </row>
    <row r="388" spans="13:13" ht="20.100000000000001" customHeight="1" x14ac:dyDescent="0.2">
      <c r="M388" s="1"/>
    </row>
    <row r="389" spans="13:13" ht="20.100000000000001" customHeight="1" x14ac:dyDescent="0.2">
      <c r="M389" s="1"/>
    </row>
    <row r="390" spans="13:13" ht="20.100000000000001" customHeight="1" x14ac:dyDescent="0.2">
      <c r="M390" s="1"/>
    </row>
    <row r="391" spans="13:13" ht="20.100000000000001" customHeight="1" x14ac:dyDescent="0.2">
      <c r="M391" s="1"/>
    </row>
    <row r="392" spans="13:13" ht="20.100000000000001" customHeight="1" x14ac:dyDescent="0.2">
      <c r="M392" s="1"/>
    </row>
    <row r="393" spans="13:13" ht="20.100000000000001" customHeight="1" x14ac:dyDescent="0.2">
      <c r="M393" s="1"/>
    </row>
    <row r="394" spans="13:13" ht="20.100000000000001" customHeight="1" x14ac:dyDescent="0.2">
      <c r="M394" s="1"/>
    </row>
    <row r="395" spans="13:13" ht="20.100000000000001" customHeight="1" x14ac:dyDescent="0.2">
      <c r="M395" s="1"/>
    </row>
    <row r="396" spans="13:13" ht="20.100000000000001" customHeight="1" x14ac:dyDescent="0.2">
      <c r="M396" s="1"/>
    </row>
    <row r="397" spans="13:13" ht="20.100000000000001" customHeight="1" x14ac:dyDescent="0.2">
      <c r="M397" s="1"/>
    </row>
    <row r="398" spans="13:13" ht="20.100000000000001" customHeight="1" x14ac:dyDescent="0.2">
      <c r="M398" s="1"/>
    </row>
    <row r="399" spans="13:13" ht="20.100000000000001" customHeight="1" x14ac:dyDescent="0.2">
      <c r="M399" s="1"/>
    </row>
    <row r="400" spans="13:13" ht="20.100000000000001" customHeight="1" x14ac:dyDescent="0.2">
      <c r="M400" s="1"/>
    </row>
    <row r="401" spans="13:13" ht="20.100000000000001" customHeight="1" x14ac:dyDescent="0.2">
      <c r="M401" s="1"/>
    </row>
    <row r="402" spans="13:13" ht="20.100000000000001" customHeight="1" x14ac:dyDescent="0.2">
      <c r="M402" s="1"/>
    </row>
    <row r="403" spans="13:13" ht="20.100000000000001" customHeight="1" x14ac:dyDescent="0.2">
      <c r="M403" s="1"/>
    </row>
    <row r="404" spans="13:13" ht="20.100000000000001" customHeight="1" x14ac:dyDescent="0.2">
      <c r="M404" s="1"/>
    </row>
    <row r="405" spans="13:13" ht="20.100000000000001" customHeight="1" x14ac:dyDescent="0.2">
      <c r="M405" s="1"/>
    </row>
    <row r="406" spans="13:13" ht="20.100000000000001" customHeight="1" x14ac:dyDescent="0.2">
      <c r="M406" s="1"/>
    </row>
    <row r="407" spans="13:13" ht="20.100000000000001" customHeight="1" x14ac:dyDescent="0.2">
      <c r="M407" s="1"/>
    </row>
    <row r="408" spans="13:13" ht="20.100000000000001" customHeight="1" x14ac:dyDescent="0.2">
      <c r="M408" s="1"/>
    </row>
    <row r="409" spans="13:13" ht="20.100000000000001" customHeight="1" x14ac:dyDescent="0.2">
      <c r="M409" s="1"/>
    </row>
    <row r="410" spans="13:13" ht="20.100000000000001" customHeight="1" x14ac:dyDescent="0.2">
      <c r="M410" s="1"/>
    </row>
    <row r="411" spans="13:13" ht="20.100000000000001" customHeight="1" x14ac:dyDescent="0.2">
      <c r="M411" s="1"/>
    </row>
    <row r="412" spans="13:13" ht="20.100000000000001" customHeight="1" x14ac:dyDescent="0.2">
      <c r="M412" s="1"/>
    </row>
    <row r="413" spans="13:13" ht="20.100000000000001" customHeight="1" x14ac:dyDescent="0.2">
      <c r="M413" s="1"/>
    </row>
    <row r="414" spans="13:13" ht="20.100000000000001" customHeight="1" x14ac:dyDescent="0.2">
      <c r="M414" s="1"/>
    </row>
    <row r="415" spans="13:13" ht="20.100000000000001" customHeight="1" x14ac:dyDescent="0.2">
      <c r="M415" s="1"/>
    </row>
    <row r="416" spans="13:13" ht="20.100000000000001" customHeight="1" x14ac:dyDescent="0.2">
      <c r="M416" s="1"/>
    </row>
    <row r="417" spans="13:13" ht="20.100000000000001" customHeight="1" x14ac:dyDescent="0.2">
      <c r="M417" s="1"/>
    </row>
    <row r="418" spans="13:13" ht="20.100000000000001" customHeight="1" x14ac:dyDescent="0.2">
      <c r="M418" s="1"/>
    </row>
    <row r="419" spans="13:13" ht="20.100000000000001" customHeight="1" x14ac:dyDescent="0.2">
      <c r="M419" s="1"/>
    </row>
    <row r="420" spans="13:13" ht="20.100000000000001" customHeight="1" x14ac:dyDescent="0.2">
      <c r="M420" s="1"/>
    </row>
    <row r="421" spans="13:13" ht="20.100000000000001" customHeight="1" x14ac:dyDescent="0.2">
      <c r="M421" s="1"/>
    </row>
    <row r="422" spans="13:13" ht="20.100000000000001" customHeight="1" x14ac:dyDescent="0.2">
      <c r="M422" s="1"/>
    </row>
    <row r="423" spans="13:13" ht="20.100000000000001" customHeight="1" x14ac:dyDescent="0.2">
      <c r="M423" s="1"/>
    </row>
    <row r="424" spans="13:13" ht="20.100000000000001" customHeight="1" x14ac:dyDescent="0.2">
      <c r="M424" s="1"/>
    </row>
    <row r="425" spans="13:13" ht="20.100000000000001" customHeight="1" x14ac:dyDescent="0.2">
      <c r="M425" s="1"/>
    </row>
    <row r="426" spans="13:13" ht="20.100000000000001" customHeight="1" x14ac:dyDescent="0.2">
      <c r="M426" s="1"/>
    </row>
    <row r="427" spans="13:13" ht="20.100000000000001" customHeight="1" x14ac:dyDescent="0.2">
      <c r="M427" s="1"/>
    </row>
    <row r="428" spans="13:13" ht="20.100000000000001" customHeight="1" x14ac:dyDescent="0.2">
      <c r="M428" s="1"/>
    </row>
    <row r="429" spans="13:13" ht="20.100000000000001" customHeight="1" x14ac:dyDescent="0.2">
      <c r="M429" s="1"/>
    </row>
    <row r="430" spans="13:13" ht="20.100000000000001" customHeight="1" x14ac:dyDescent="0.2">
      <c r="M430" s="1"/>
    </row>
    <row r="431" spans="13:13" ht="20.100000000000001" customHeight="1" x14ac:dyDescent="0.2">
      <c r="M431" s="1"/>
    </row>
    <row r="432" spans="13:13" ht="20.100000000000001" customHeight="1" x14ac:dyDescent="0.2">
      <c r="M432" s="1"/>
    </row>
    <row r="433" spans="13:13" ht="20.100000000000001" customHeight="1" x14ac:dyDescent="0.2">
      <c r="M433" s="1"/>
    </row>
    <row r="434" spans="13:13" ht="20.100000000000001" customHeight="1" x14ac:dyDescent="0.2">
      <c r="M434" s="1"/>
    </row>
    <row r="435" spans="13:13" ht="20.100000000000001" customHeight="1" x14ac:dyDescent="0.2">
      <c r="M435" s="1"/>
    </row>
    <row r="436" spans="13:13" ht="20.100000000000001" customHeight="1" x14ac:dyDescent="0.2">
      <c r="M436" s="1"/>
    </row>
    <row r="437" spans="13:13" ht="20.100000000000001" customHeight="1" x14ac:dyDescent="0.2">
      <c r="M437" s="1"/>
    </row>
    <row r="438" spans="13:13" ht="20.100000000000001" customHeight="1" x14ac:dyDescent="0.2">
      <c r="M438" s="1"/>
    </row>
    <row r="439" spans="13:13" ht="20.100000000000001" customHeight="1" x14ac:dyDescent="0.2">
      <c r="M439" s="1"/>
    </row>
    <row r="440" spans="13:13" ht="20.100000000000001" customHeight="1" x14ac:dyDescent="0.2">
      <c r="M440" s="1"/>
    </row>
    <row r="441" spans="13:13" ht="20.100000000000001" customHeight="1" x14ac:dyDescent="0.2">
      <c r="M441" s="1"/>
    </row>
    <row r="442" spans="13:13" ht="20.100000000000001" customHeight="1" x14ac:dyDescent="0.2">
      <c r="M442" s="1"/>
    </row>
    <row r="443" spans="13:13" ht="20.100000000000001" customHeight="1" x14ac:dyDescent="0.2">
      <c r="M443" s="1"/>
    </row>
    <row r="444" spans="13:13" ht="20.100000000000001" customHeight="1" x14ac:dyDescent="0.2">
      <c r="M444" s="1"/>
    </row>
    <row r="445" spans="13:13" ht="20.100000000000001" customHeight="1" x14ac:dyDescent="0.2">
      <c r="M445" s="1"/>
    </row>
    <row r="446" spans="13:13" ht="20.100000000000001" customHeight="1" x14ac:dyDescent="0.2">
      <c r="M446" s="1"/>
    </row>
    <row r="447" spans="13:13" ht="20.100000000000001" customHeight="1" x14ac:dyDescent="0.2">
      <c r="M447" s="1"/>
    </row>
    <row r="448" spans="13:13" ht="20.100000000000001" customHeight="1" x14ac:dyDescent="0.2">
      <c r="M448" s="1"/>
    </row>
    <row r="449" spans="13:13" ht="20.100000000000001" customHeight="1" x14ac:dyDescent="0.2">
      <c r="M449" s="1"/>
    </row>
    <row r="450" spans="13:13" ht="20.100000000000001" customHeight="1" x14ac:dyDescent="0.2">
      <c r="M450" s="1"/>
    </row>
    <row r="451" spans="13:13" ht="20.100000000000001" customHeight="1" x14ac:dyDescent="0.2">
      <c r="M451" s="1"/>
    </row>
    <row r="452" spans="13:13" ht="20.100000000000001" customHeight="1" x14ac:dyDescent="0.2">
      <c r="M452" s="1"/>
    </row>
  </sheetData>
  <pageMargins left="0.7" right="0.7" top="0.75" bottom="0.75" header="0.3" footer="0.3"/>
  <pageSetup paperSize="9" orientation="portrait" r:id="rId1"/>
  <tableParts count="13">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4A3936-69A0-454B-9B5A-7D11A69D8A3B}">
  <sheetPr>
    <tabColor theme="2" tint="-0.499984740745262"/>
  </sheetPr>
  <dimension ref="A1:M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10" t="e" vm="1">
        <v>#VALUE!</v>
      </c>
      <c r="C1" s="20" t="s">
        <v>1189</v>
      </c>
      <c r="D1" s="20"/>
      <c r="E1" s="20"/>
      <c r="F1" s="20"/>
      <c r="G1" s="20"/>
      <c r="H1" s="20"/>
      <c r="I1" s="20"/>
      <c r="J1" s="20"/>
      <c r="K1" s="20"/>
      <c r="L1" s="20"/>
      <c r="M1" s="20"/>
    </row>
    <row r="2" spans="1:13" ht="20.100000000000001" customHeight="1" x14ac:dyDescent="0.2">
      <c r="C2" s="3"/>
      <c r="D2" s="3"/>
      <c r="E2" s="3"/>
      <c r="F2" s="3"/>
      <c r="G2" s="3"/>
      <c r="H2" s="3"/>
      <c r="I2" s="3"/>
      <c r="J2" s="3"/>
      <c r="K2" s="3"/>
      <c r="L2" s="3"/>
      <c r="M2" s="3"/>
    </row>
    <row r="3" spans="1:13" ht="20.100000000000001" customHeight="1" x14ac:dyDescent="0.2">
      <c r="A3" s="5" t="str">
        <f>HYPERLINK("#'Home'!A1", "Home")</f>
        <v>Home</v>
      </c>
      <c r="C3" s="22"/>
      <c r="D3" s="22"/>
      <c r="E3" s="22"/>
      <c r="F3" s="22"/>
      <c r="G3" s="22"/>
      <c r="H3" s="22"/>
      <c r="I3" s="22"/>
      <c r="J3" s="22"/>
      <c r="K3" s="22"/>
      <c r="L3" s="22"/>
      <c r="M3" s="22"/>
    </row>
    <row r="4" spans="1:13" ht="20.100000000000001" customHeight="1" x14ac:dyDescent="0.2">
      <c r="A4" s="5" t="str">
        <f>HYPERLINK("#'Results - Activity period'!A1", "Results - Activity period")</f>
        <v>Results - Activity period</v>
      </c>
    </row>
    <row r="5" spans="1:13" ht="20.100000000000001" customHeight="1" x14ac:dyDescent="0.2">
      <c r="A5" s="5" t="str">
        <f>HYPERLINK("#'Results - Product EI'!A1", "Results - Product Emissions Intensity")</f>
        <v>Results - Product Emissions Intensity</v>
      </c>
    </row>
    <row r="6" spans="1:13" ht="20.100000000000001" customHeight="1" x14ac:dyDescent="0.2">
      <c r="D6" s="2" t="str" cm="1">
        <f t="array" ref="D6">CommonLivestock_SourceData.SourceData_Livestock_Common_SymbolsMMS_Title()</f>
        <v>Table 5.12 Additional symbols used in algorithms for manure related emissions</v>
      </c>
      <c r="E6" s="24"/>
      <c r="F6" s="24"/>
      <c r="G6" s="24"/>
      <c r="H6" s="24"/>
    </row>
    <row r="7" spans="1:13" ht="20.100000000000001" customHeight="1" x14ac:dyDescent="0.2">
      <c r="D7" s="24" t="str" cm="1">
        <f t="array" ref="D7">CommonLivestock_SourceData.SourceData_Livestock_Common_SymbolsMMS_Vairable()</f>
        <v>MMS</v>
      </c>
      <c r="E7" s="24"/>
      <c r="F7" s="24"/>
      <c r="G7" s="24"/>
      <c r="H7" s="24"/>
    </row>
    <row r="8" spans="1:13" ht="20.100000000000001" customHeight="1" x14ac:dyDescent="0.2">
      <c r="A8" s="7" t="s">
        <v>0</v>
      </c>
      <c r="D8" s="17" t="str" cm="1">
        <f t="array" ref="D8">CommonLivestock_SourceData.SourceData_Livestock_Common_SymbolsMMS_Source()</f>
        <v>National Inventory Report 2023 Volume 1: Table 5.12</v>
      </c>
      <c r="E8" s="24"/>
      <c r="F8" s="24"/>
      <c r="G8" s="24"/>
      <c r="H8" s="24"/>
    </row>
    <row r="9" spans="1:13" ht="20.100000000000001" customHeight="1" x14ac:dyDescent="0.2">
      <c r="A9" s="5" t="str">
        <f>HYPERLINK("#'Input - Enterprise'!A1", "Enterprise")</f>
        <v>Enterprise</v>
      </c>
      <c r="D9" s="26" t="s">
        <v>1190</v>
      </c>
      <c r="E9" s="19" t="s">
        <v>1191</v>
      </c>
      <c r="F9" s="19" t="s">
        <v>500</v>
      </c>
      <c r="G9" s="24"/>
    </row>
    <row r="10" spans="1:13" ht="20.100000000000001" customHeight="1" x14ac:dyDescent="0.2">
      <c r="A10" s="5" t="str">
        <f>HYPERLINK("#'Input - Site'!A1", "Site")</f>
        <v>Site</v>
      </c>
      <c r="D10" s="26" t="str" cm="1">
        <f t="array" ref="D10">Common_InputFunctions.Utility_DisplayArrayInTable(CommonLivestock_SourceData.SourceData_Livestock_Common_SymbolsMMS_Data(), Table_Data_MMSSymbols[[#Headers],[Symbol]], 0)</f>
        <v>1</v>
      </c>
      <c r="E10" s="26" t="str" cm="1">
        <f t="array" ref="E10">Common_InputFunctions.Utility_DisplayArrayInTable(CommonLivestock_SourceData.SourceData_Livestock_Common_SymbolsMMS_Data(), Table_Data_MMSSymbols[[#Headers],[Symbol]], 0)</f>
        <v>Anaerobic lagoon</v>
      </c>
      <c r="F10" s="26" t="str" cm="1">
        <f t="array" ref="F10">Common_InputFunctions.Utility_DisplayArrayInTable(CommonLivestock_SourceData.SourceData_Livestock_Common_SymbolsMMS_Data(), Table_Data_MMSSymbols[[#Headers],[Symbol]], 0)</f>
        <v>Anaerobic lagoon (m=1)</v>
      </c>
      <c r="G10" s="24"/>
    </row>
    <row r="11" spans="1:13" ht="20.100000000000001" customHeight="1" x14ac:dyDescent="0.2">
      <c r="A11" s="5" t="str">
        <f>HYPERLINK("#'Input - Poultry'!A1", "Poultry")</f>
        <v>Poultry</v>
      </c>
      <c r="D11" s="26" t="str" cm="1">
        <f t="array" ref="D11">Common_InputFunctions.Utility_DisplayArrayInTable(CommonLivestock_SourceData.SourceData_Livestock_Common_SymbolsMMS_Data(), Table_Data_MMSSymbols[[#Headers],[Symbol]], 0)</f>
        <v>2</v>
      </c>
      <c r="E11" s="26" t="str" cm="1">
        <f t="array" ref="E11">Common_InputFunctions.Utility_DisplayArrayInTable(CommonLivestock_SourceData.SourceData_Livestock_Common_SymbolsMMS_Data(), Table_Data_MMSSymbols[[#Headers],[Symbol]], 0)</f>
        <v>Liquid systems</v>
      </c>
      <c r="F11" s="26" t="str" cm="1">
        <f t="array" ref="F11">Common_InputFunctions.Utility_DisplayArrayInTable(CommonLivestock_SourceData.SourceData_Livestock_Common_SymbolsMMS_Data(), Table_Data_MMSSymbols[[#Headers],[Symbol]], 0)</f>
        <v>Liquid systems (m=2)</v>
      </c>
      <c r="G11" s="24"/>
    </row>
    <row r="12" spans="1:13" ht="20.100000000000001" customHeight="1" x14ac:dyDescent="0.2">
      <c r="A12" s="5" t="str">
        <f>HYPERLINK("#'Input - Livestock sales'!A1", "Livestock sales")</f>
        <v>Livestock sales</v>
      </c>
      <c r="D12" s="19" t="str" cm="1">
        <f t="array" ref="D12">Common_InputFunctions.Utility_DisplayArrayInTable(CommonLivestock_SourceData.SourceData_Livestock_Common_SymbolsMMS_Data(), Table_Data_MMSSymbols[[#Headers],[Symbol]], 0)</f>
        <v>3</v>
      </c>
      <c r="E12" s="19" t="str" cm="1">
        <f t="array" ref="E12">Common_InputFunctions.Utility_DisplayArrayInTable(CommonLivestock_SourceData.SourceData_Livestock_Common_SymbolsMMS_Data(), Table_Data_MMSSymbols[[#Headers],[Symbol]], 0)</f>
        <v>Daily spread</v>
      </c>
      <c r="F12" s="19" t="str" cm="1">
        <f t="array" ref="F12">Common_InputFunctions.Utility_DisplayArrayInTable(CommonLivestock_SourceData.SourceData_Livestock_Common_SymbolsMMS_Data(), Table_Data_MMSSymbols[[#Headers],[Symbol]], 0)</f>
        <v>Daily spread (m=3)</v>
      </c>
      <c r="G12" s="24"/>
    </row>
    <row r="13" spans="1:13" ht="20.100000000000001" customHeight="1" x14ac:dyDescent="0.2">
      <c r="A13" s="5" t="str">
        <f>HYPERLINK("#'Input - Poultry purchases'!A1", "Poultry purchases")</f>
        <v>Poultry purchases</v>
      </c>
      <c r="D13" s="19" t="str" cm="1">
        <f t="array" ref="D13">Common_InputFunctions.Utility_DisplayArrayInTable(CommonLivestock_SourceData.SourceData_Livestock_Common_SymbolsMMS_Data(), Table_Data_MMSSymbols[[#Headers],[Symbol]], 0)</f>
        <v>3a</v>
      </c>
      <c r="E13" s="19" t="str" cm="1">
        <f t="array" ref="E13">Common_InputFunctions.Utility_DisplayArrayInTable(CommonLivestock_SourceData.SourceData_Livestock_Common_SymbolsMMS_Data(), Table_Data_MMSSymbols[[#Headers],[Symbol]], 0)</f>
        <v>Sump and dispersal system</v>
      </c>
      <c r="F13" s="19" t="str" cm="1">
        <f t="array" ref="F13">Common_InputFunctions.Utility_DisplayArrayInTable(CommonLivestock_SourceData.SourceData_Livestock_Common_SymbolsMMS_Data(), Table_Data_MMSSymbols[[#Headers],[Symbol]], 0)</f>
        <v>Sump and dispersal system (m=3a)</v>
      </c>
      <c r="G13" s="24"/>
    </row>
    <row r="14" spans="1:13" ht="20.100000000000001" customHeight="1" x14ac:dyDescent="0.2">
      <c r="A14" s="5" t="str">
        <f>HYPERLINK("#'Input - Fuel'!A1", "Fuel")</f>
        <v>Fuel</v>
      </c>
      <c r="D14" s="19" t="str" cm="1">
        <f t="array" ref="D14">Common_InputFunctions.Utility_DisplayArrayInTable(CommonLivestock_SourceData.SourceData_Livestock_Common_SymbolsMMS_Data(), Table_Data_MMSSymbols[[#Headers],[Symbol]], 0)</f>
        <v>3b</v>
      </c>
      <c r="E14" s="19" t="str" cm="1">
        <f t="array" ref="E14">Common_InputFunctions.Utility_DisplayArrayInTable(CommonLivestock_SourceData.SourceData_Livestock_Common_SymbolsMMS_Data(), Table_Data_MMSSymbols[[#Headers],[Symbol]], 0)</f>
        <v>Drains to paddock</v>
      </c>
      <c r="F14" s="19" t="str" cm="1">
        <f t="array" ref="F14">Common_InputFunctions.Utility_DisplayArrayInTable(CommonLivestock_SourceData.SourceData_Livestock_Common_SymbolsMMS_Data(), Table_Data_MMSSymbols[[#Headers],[Symbol]], 0)</f>
        <v>Drains to paddock (m=3b)</v>
      </c>
      <c r="G14" s="24"/>
    </row>
    <row r="15" spans="1:13" ht="20.100000000000001" customHeight="1" x14ac:dyDescent="0.2">
      <c r="A15" s="5" t="str">
        <f>HYPERLINK("#'Input - Electricity'!A1", "Electricity")</f>
        <v>Electricity</v>
      </c>
      <c r="D15" s="19" t="str" cm="1">
        <f t="array" ref="D15">Common_InputFunctions.Utility_DisplayArrayInTable(CommonLivestock_SourceData.SourceData_Livestock_Common_SymbolsMMS_Data(), Table_Data_MMSSymbols[[#Headers],[Symbol]], 0)</f>
        <v>4</v>
      </c>
      <c r="E15" s="19" t="str" cm="1">
        <f t="array" ref="E15">Common_InputFunctions.Utility_DisplayArrayInTable(CommonLivestock_SourceData.SourceData_Livestock_Common_SymbolsMMS_Data(), Table_Data_MMSSymbols[[#Headers],[Symbol]], 0)</f>
        <v>Solid storage</v>
      </c>
      <c r="F15" s="19" t="str" cm="1">
        <f t="array" ref="F15">Common_InputFunctions.Utility_DisplayArrayInTable(CommonLivestock_SourceData.SourceData_Livestock_Common_SymbolsMMS_Data(), Table_Data_MMSSymbols[[#Headers],[Symbol]], 0)</f>
        <v>Solid storage (m=4)</v>
      </c>
      <c r="G15" s="24"/>
    </row>
    <row r="16" spans="1:13" ht="20.100000000000001" customHeight="1" x14ac:dyDescent="0.2">
      <c r="A16" s="5" t="str">
        <f>HYPERLINK("#'Input - Common farm inputs'!A1", "Common farm inputs")</f>
        <v>Common farm inputs</v>
      </c>
      <c r="D16" s="19" t="str" cm="1">
        <f t="array" ref="D16">Common_InputFunctions.Utility_DisplayArrayInTable(CommonLivestock_SourceData.SourceData_Livestock_Common_SymbolsMMS_Data(), Table_Data_MMSSymbols[[#Headers],[Symbol]], 0)</f>
        <v>5</v>
      </c>
      <c r="E16" s="19" t="str" cm="1">
        <f t="array" ref="E16">Common_InputFunctions.Utility_DisplayArrayInTable(CommonLivestock_SourceData.SourceData_Livestock_Common_SymbolsMMS_Data(), Table_Data_MMSSymbols[[#Headers],[Symbol]], 0)</f>
        <v>Drylot (feed pad)</v>
      </c>
      <c r="F16" s="19" t="str" cm="1">
        <f t="array" ref="F16">Common_InputFunctions.Utility_DisplayArrayInTable(CommonLivestock_SourceData.SourceData_Livestock_Common_SymbolsMMS_Data(), Table_Data_MMSSymbols[[#Headers],[Symbol]], 0)</f>
        <v>Drylot (feed pad) (m=5)</v>
      </c>
      <c r="G16" s="24"/>
    </row>
    <row r="17" spans="1:8" ht="20.100000000000001" customHeight="1" x14ac:dyDescent="0.2">
      <c r="A17" s="5" t="str">
        <f>HYPERLINK("#'Input - Livestock farm Inputs'!A1", "Livestock farm Inputs")</f>
        <v>Livestock farm Inputs</v>
      </c>
      <c r="D17" s="19" t="str" cm="1">
        <f t="array" ref="D17">Common_InputFunctions.Utility_DisplayArrayInTable(CommonLivestock_SourceData.SourceData_Livestock_Common_SymbolsMMS_Data(), Table_Data_MMSSymbols[[#Headers],[Symbol]], 0)</f>
        <v>6</v>
      </c>
      <c r="E17" s="19" t="str" cm="1">
        <f t="array" ref="E17">Common_InputFunctions.Utility_DisplayArrayInTable(CommonLivestock_SourceData.SourceData_Livestock_Common_SymbolsMMS_Data(), Table_Data_MMSSymbols[[#Headers],[Symbol]], 0)</f>
        <v>Composting (passive windrow)</v>
      </c>
      <c r="F17" s="19" t="str" cm="1">
        <f t="array" ref="F17">Common_InputFunctions.Utility_DisplayArrayInTable(CommonLivestock_SourceData.SourceData_Livestock_Common_SymbolsMMS_Data(), Table_Data_MMSSymbols[[#Headers],[Symbol]], 0)</f>
        <v>Composting (passive windrow) (m=6)</v>
      </c>
      <c r="G17" s="24"/>
    </row>
    <row r="18" spans="1:8" ht="20.100000000000001" customHeight="1" x14ac:dyDescent="0.2">
      <c r="A18" s="5" t="str">
        <f>HYPERLINK("#'Input - Freight'!A1", "Freight")</f>
        <v>Freight</v>
      </c>
      <c r="D18" s="19" t="str" cm="1">
        <f t="array" ref="D18">Common_InputFunctions.Utility_DisplayArrayInTable(CommonLivestock_SourceData.SourceData_Livestock_Common_SymbolsMMS_Data(), Table_Data_MMSSymbols[[#Headers],[Symbol]], 0)</f>
        <v>7</v>
      </c>
      <c r="E18" s="19" t="str" cm="1">
        <f t="array" ref="E18">Common_InputFunctions.Utility_DisplayArrayInTable(CommonLivestock_SourceData.SourceData_Livestock_Common_SymbolsMMS_Data(), Table_Data_MMSSymbols[[#Headers],[Symbol]], 0)</f>
        <v>Digester / covered lagoons</v>
      </c>
      <c r="F18" s="19" t="str" cm="1">
        <f t="array" ref="F18">Common_InputFunctions.Utility_DisplayArrayInTable(CommonLivestock_SourceData.SourceData_Livestock_Common_SymbolsMMS_Data(), Table_Data_MMSSymbols[[#Headers],[Symbol]], 0)</f>
        <v>Digester / covered lagoons (m=7)</v>
      </c>
      <c r="G18" s="24"/>
    </row>
    <row r="19" spans="1:8" ht="20.100000000000001" customHeight="1" x14ac:dyDescent="0.2">
      <c r="A19" s="5" t="str">
        <f>HYPERLINK("#'Input - Solid waste'!A1", "Solid waste")</f>
        <v>Solid waste</v>
      </c>
      <c r="D19" s="19" t="str" cm="1">
        <f t="array" ref="D19">Common_InputFunctions.Utility_DisplayArrayInTable(CommonLivestock_SourceData.SourceData_Livestock_Common_SymbolsMMS_Data(), Table_Data_MMSSymbols[[#Headers],[Symbol]], 0)</f>
        <v>8</v>
      </c>
      <c r="E19" s="19" t="str" cm="1">
        <f t="array" ref="E19">Common_InputFunctions.Utility_DisplayArrayInTable(CommonLivestock_SourceData.SourceData_Livestock_Common_SymbolsMMS_Data(), Table_Data_MMSSymbols[[#Headers],[Symbol]], 0)</f>
        <v>Deep litter</v>
      </c>
      <c r="F19" s="19" t="str" cm="1">
        <f t="array" ref="F19">Common_InputFunctions.Utility_DisplayArrayInTable(CommonLivestock_SourceData.SourceData_Livestock_Common_SymbolsMMS_Data(), Table_Data_MMSSymbols[[#Headers],[Symbol]], 0)</f>
        <v>Deep litter (m=8)</v>
      </c>
      <c r="G19" s="24"/>
    </row>
    <row r="20" spans="1:8" ht="20.100000000000001" customHeight="1" x14ac:dyDescent="0.2">
      <c r="A20" s="5" t="str">
        <f>HYPERLINK("#'Input - Manure sent off-site'!A1", "Manure sent off-site")</f>
        <v>Manure sent off-site</v>
      </c>
      <c r="D20" s="19" t="str" cm="1">
        <f t="array" ref="D20">Common_InputFunctions.Utility_DisplayArrayInTable(CommonLivestock_SourceData.SourceData_Livestock_Common_SymbolsMMS_Data(), Table_Data_MMSSymbols[[#Headers],[Symbol]], 0)</f>
        <v>9</v>
      </c>
      <c r="E20" s="19" t="str" cm="1">
        <f t="array" ref="E20">Common_InputFunctions.Utility_DisplayArrayInTable(CommonLivestock_SourceData.SourceData_Livestock_Common_SymbolsMMS_Data(), Table_Data_MMSSymbols[[#Headers],[Symbol]], 0)</f>
        <v>Pit storage</v>
      </c>
      <c r="F20" s="19" t="str" cm="1">
        <f t="array" ref="F20">Common_InputFunctions.Utility_DisplayArrayInTable(CommonLivestock_SourceData.SourceData_Livestock_Common_SymbolsMMS_Data(), Table_Data_MMSSymbols[[#Headers],[Symbol]], 0)</f>
        <v>Pit storage (m=9)</v>
      </c>
      <c r="G20" s="24"/>
    </row>
    <row r="21" spans="1:8" ht="20.100000000000001" customHeight="1" x14ac:dyDescent="0.2">
      <c r="A21" s="5" t="str">
        <f>HYPERLINK("#'Input - Data quality'!A1", "Data quality")</f>
        <v>Data quality</v>
      </c>
      <c r="D21" s="19" t="str" cm="1">
        <f t="array" ref="D21">Common_InputFunctions.Utility_DisplayArrayInTable(CommonLivestock_SourceData.SourceData_Livestock_Common_SymbolsMMS_Data(), Table_Data_MMSSymbols[[#Headers],[Symbol]], 0)</f>
        <v>10</v>
      </c>
      <c r="E21" s="19" t="str" cm="1">
        <f t="array" ref="E21">Common_InputFunctions.Utility_DisplayArrayInTable(CommonLivestock_SourceData.SourceData_Livestock_Common_SymbolsMMS_Data(), Table_Data_MMSSymbols[[#Headers],[Symbol]], 0)</f>
        <v>Poultry manure with bedding</v>
      </c>
      <c r="F21" s="19" t="str" cm="1">
        <f t="array" ref="F21">Common_InputFunctions.Utility_DisplayArrayInTable(CommonLivestock_SourceData.SourceData_Livestock_Common_SymbolsMMS_Data(), Table_Data_MMSSymbols[[#Headers],[Symbol]], 0)</f>
        <v>Poultry manure with bedding (m=10)</v>
      </c>
      <c r="G21" s="24"/>
    </row>
    <row r="22" spans="1:8" ht="20.100000000000001" customHeight="1" x14ac:dyDescent="0.2">
      <c r="A22" s="5" t="str">
        <f>HYPERLINK("#'Input - Fert Prod System'!A1", "Fert Prod System")</f>
        <v>Fert Prod System</v>
      </c>
      <c r="D22" s="19" t="str" cm="1">
        <f t="array" ref="D22">Common_InputFunctions.Utility_DisplayArrayInTable(CommonLivestock_SourceData.SourceData_Livestock_Common_SymbolsMMS_Data(), Table_Data_MMSSymbols[[#Headers],[Symbol]], 0)</f>
        <v>11</v>
      </c>
      <c r="E22" s="19" t="str" cm="1">
        <f t="array" ref="E22">Common_InputFunctions.Utility_DisplayArrayInTable(CommonLivestock_SourceData.SourceData_Livestock_Common_SymbolsMMS_Data(), Table_Data_MMSSymbols[[#Headers],[Symbol]], 0)</f>
        <v>Poultry manure without bedding</v>
      </c>
      <c r="F22" s="19" t="str" cm="1">
        <f t="array" ref="F22">Common_InputFunctions.Utility_DisplayArrayInTable(CommonLivestock_SourceData.SourceData_Livestock_Common_SymbolsMMS_Data(), Table_Data_MMSSymbols[[#Headers],[Symbol]], 0)</f>
        <v>Poultry manure without bedding (m=11)</v>
      </c>
      <c r="G22" s="24"/>
    </row>
    <row r="23" spans="1:8" ht="20.100000000000001" customHeight="1" x14ac:dyDescent="0.2">
      <c r="A23" s="5" t="str">
        <f>HYPERLINK("#'Input - Fertiliser'!A1", "Fertiliser")</f>
        <v>Fertiliser</v>
      </c>
      <c r="D23" s="19" t="str" cm="1">
        <f t="array" ref="D23">Common_InputFunctions.Utility_DisplayArrayInTable(CommonLivestock_SourceData.SourceData_Livestock_Common_SymbolsMMS_Data(), Table_Data_MMSSymbols[[#Headers],[Symbol]], 0)</f>
        <v>11a</v>
      </c>
      <c r="E23" s="19" t="str" cm="1">
        <f t="array" ref="E23">Common_InputFunctions.Utility_DisplayArrayInTable(CommonLivestock_SourceData.SourceData_Livestock_Common_SymbolsMMS_Data(), Table_Data_MMSSymbols[[#Headers],[Symbol]], 0)</f>
        <v>Belt manure removal</v>
      </c>
      <c r="F23" s="19" t="str" cm="1">
        <f t="array" ref="F23">Common_InputFunctions.Utility_DisplayArrayInTable(CommonLivestock_SourceData.SourceData_Livestock_Common_SymbolsMMS_Data(), Table_Data_MMSSymbols[[#Headers],[Symbol]], 0)</f>
        <v>Belt manure removal (m=11a)</v>
      </c>
      <c r="G23" s="24"/>
    </row>
    <row r="24" spans="1:8" ht="20.100000000000001" customHeight="1" x14ac:dyDescent="0.2">
      <c r="D24" s="19" t="str" cm="1">
        <f t="array" ref="D24">Common_InputFunctions.Utility_DisplayArrayInTable(CommonLivestock_SourceData.SourceData_Livestock_Common_SymbolsMMS_Data(), Table_Data_MMSSymbols[[#Headers],[Symbol]], 0)</f>
        <v>11b</v>
      </c>
      <c r="E24" s="19" t="str" cm="1">
        <f t="array" ref="E24">Common_InputFunctions.Utility_DisplayArrayInTable(CommonLivestock_SourceData.SourceData_Livestock_Common_SymbolsMMS_Data(), Table_Data_MMSSymbols[[#Headers],[Symbol]], 0)</f>
        <v>Manure stored in house</v>
      </c>
      <c r="F24" s="19" t="str" cm="1">
        <f t="array" ref="F24">Common_InputFunctions.Utility_DisplayArrayInTable(CommonLivestock_SourceData.SourceData_Livestock_Common_SymbolsMMS_Data(), Table_Data_MMSSymbols[[#Headers],[Symbol]], 0)</f>
        <v>Manure stored in house (m=11b)</v>
      </c>
      <c r="G24" s="24"/>
    </row>
    <row r="25" spans="1:8" ht="20.100000000000001" customHeight="1" x14ac:dyDescent="0.2">
      <c r="D25" s="19" t="str" cm="1">
        <f t="array" ref="D25">Common_InputFunctions.Utility_DisplayArrayInTable(CommonLivestock_SourceData.SourceData_Livestock_Common_SymbolsMMS_Data(), Table_Data_MMSSymbols[[#Headers],[Symbol]], 0)</f>
        <v>12</v>
      </c>
      <c r="E25" s="19" t="str" cm="1">
        <f t="array" ref="E25">Common_InputFunctions.Utility_DisplayArrayInTable(CommonLivestock_SourceData.SourceData_Livestock_Common_SymbolsMMS_Data(), Table_Data_MMSSymbols[[#Headers],[Symbol]], 0)</f>
        <v>Direct processing</v>
      </c>
      <c r="F25" s="19" t="str" cm="1">
        <f t="array" ref="F25">Common_InputFunctions.Utility_DisplayArrayInTable(CommonLivestock_SourceData.SourceData_Livestock_Common_SymbolsMMS_Data(), Table_Data_MMSSymbols[[#Headers],[Symbol]], 0)</f>
        <v>Direct processing (m=12)</v>
      </c>
      <c r="G25" s="24"/>
    </row>
    <row r="26" spans="1:8" ht="20.100000000000001" customHeight="1" x14ac:dyDescent="0.2">
      <c r="A26" s="6" t="s">
        <v>2</v>
      </c>
      <c r="D26" s="19" t="str" cm="1">
        <f t="array" ref="D26">Common_InputFunctions.Utility_DisplayArrayInTable(CommonLivestock_SourceData.SourceData_Livestock_Common_SymbolsMMS_Data(), Table_Data_MMSSymbols[[#Headers],[Symbol]], 0)</f>
        <v>13</v>
      </c>
      <c r="E26" s="19" t="str" cm="1">
        <f t="array" ref="E26">Common_InputFunctions.Utility_DisplayArrayInTable(CommonLivestock_SourceData.SourceData_Livestock_Common_SymbolsMMS_Data(), Table_Data_MMSSymbols[[#Headers],[Symbol]], 0)</f>
        <v>Direct application</v>
      </c>
      <c r="F26" s="19" t="str" cm="1">
        <f t="array" ref="F26">Common_InputFunctions.Utility_DisplayArrayInTable(CommonLivestock_SourceData.SourceData_Livestock_Common_SymbolsMMS_Data(), Table_Data_MMSSymbols[[#Headers],[Symbol]], 0)</f>
        <v>Direct application (m=13)</v>
      </c>
      <c r="G26" s="24"/>
    </row>
    <row r="27" spans="1:8" ht="20.100000000000001" customHeight="1" x14ac:dyDescent="0.2">
      <c r="A27" s="5" t="str">
        <f>HYPERLINK("#'4.6.1.1-2 Methane'!A1", "4.6.1.1-2 Manure Methane")</f>
        <v>4.6.1.1-2 Manure Methane</v>
      </c>
      <c r="D27" s="19" t="str" cm="1">
        <f t="array" ref="D27">Common_InputFunctions.Utility_DisplayArrayInTable(CommonLivestock_SourceData.SourceData_Livestock_Common_SymbolsMMS_Data(), Table_Data_MMSSymbols[[#Headers],[Symbol]], 0)</f>
        <v>14</v>
      </c>
      <c r="E27" s="19" t="str" cm="1">
        <f t="array" ref="E27">Common_InputFunctions.Utility_DisplayArrayInTable(CommonLivestock_SourceData.SourceData_Livestock_Common_SymbolsMMS_Data(), Table_Data_MMSSymbols[[#Headers],[Symbol]], 0)</f>
        <v>Pasture range and paddock</v>
      </c>
      <c r="F27" s="19" t="str" cm="1">
        <f t="array" ref="F27">Common_InputFunctions.Utility_DisplayArrayInTable(CommonLivestock_SourceData.SourceData_Livestock_Common_SymbolsMMS_Data(), Table_Data_MMSSymbols[[#Headers],[Symbol]], 0)</f>
        <v>Pasture range and paddock (m=14)</v>
      </c>
      <c r="G27" s="24"/>
    </row>
    <row r="28" spans="1:8" ht="20.100000000000001" customHeight="1" x14ac:dyDescent="0.2">
      <c r="A28" s="5" t="str">
        <f>HYPERLINK("#'4.6.1.3-4 Direct N20'!A1", "4.6.1.3-4 Manure Direct N2O")</f>
        <v>4.6.1.3-4 Manure Direct N2O</v>
      </c>
      <c r="G28" s="24"/>
      <c r="H28" s="24"/>
    </row>
    <row r="29" spans="1:8" ht="20.100000000000001" customHeight="1" x14ac:dyDescent="0.2">
      <c r="A29" s="5" t="str">
        <f>HYPERLINK("#'4.6.1.5-6 Atmos Dep'!A1", "4.6.1.5-6 Manure Atmos Dep")</f>
        <v>4.6.1.5-6 Manure Atmos Dep</v>
      </c>
    </row>
    <row r="30" spans="1:8" ht="20.100000000000001" customHeight="1" x14ac:dyDescent="0.2">
      <c r="A30" s="5" t="str">
        <f>HYPERLINK("#'4.6.1.7-8 Leaching and runoff'!A1", "4.6.1.7-8 Manure Leaching and runoff")</f>
        <v>4.6.1.7-8 Manure Leaching and runoff</v>
      </c>
    </row>
    <row r="31" spans="1:8" ht="20.100000000000001" customHeight="1" x14ac:dyDescent="0.2">
      <c r="A31" s="5" t="str">
        <f>HYPERLINK("#'4.6.1.9 Manure applied to soils'!A1", "4.6.1.9 Manure applied to soils")</f>
        <v>4.6.1.9 Manure applied to soils</v>
      </c>
    </row>
    <row r="32" spans="1:8"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81"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tableParts count="1">
    <tablePart r:id="rId2"/>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93786-3A26-4E9B-B4A7-2DAE7728C9E6}">
  <sheetPr>
    <tabColor theme="2" tint="-0.499984740745262"/>
  </sheetPr>
  <dimension ref="A1:AI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576</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Electricity_SourceData.Electricity_Scope2Scope3LocationBased_Title()</f>
        <v>Electricity scope 2 and scope 3 location-based emission factors</v>
      </c>
    </row>
    <row r="6" spans="1:35" ht="20.100000000000001" customHeight="1" x14ac:dyDescent="0.2">
      <c r="D6" s="17" t="str" cm="1">
        <f t="array" ref="D6">Electricity_SourceData.Electricity_Scope2Scope3LocationBased_Source()</f>
        <v>Australian National Greenhouse Accounts Factors 2025 - Table 1</v>
      </c>
      <c r="E6" s="8"/>
      <c r="F6" s="8"/>
    </row>
    <row r="7" spans="1:35" ht="20.100000000000001" customHeight="1" x14ac:dyDescent="0.2">
      <c r="D7" s="25" t="str" cm="1">
        <f t="array" ref="D7">"⚠️" &amp; Electricity_SourceData.Electricity_Scope2Scope3LocationBased_Variation()</f>
        <v>⚠️VARIATION OF SOURCE DATA: NSW and ACT split into separate rows.</v>
      </c>
      <c r="E7" s="8"/>
      <c r="F7" s="8"/>
    </row>
    <row r="8" spans="1:35" ht="20.100000000000001" customHeight="1" x14ac:dyDescent="0.2">
      <c r="A8" s="7" t="s">
        <v>0</v>
      </c>
      <c r="D8" s="8"/>
      <c r="E8" s="8"/>
      <c r="F8" s="8"/>
    </row>
    <row r="9" spans="1:35" ht="20.100000000000001" customHeight="1" x14ac:dyDescent="0.2">
      <c r="A9" s="5" t="str">
        <f>HYPERLINK("#'Input - Enterprise'!A1", "Enterprise")</f>
        <v>Enterprise</v>
      </c>
      <c r="D9" s="147" t="s">
        <v>577</v>
      </c>
      <c r="E9" s="147" t="s">
        <v>578</v>
      </c>
      <c r="F9" s="147" t="s">
        <v>579</v>
      </c>
    </row>
    <row r="10" spans="1:35" ht="20.100000000000001" customHeight="1" x14ac:dyDescent="0.2">
      <c r="A10" s="5" t="str">
        <f>HYPERLINK("#'Input - Site'!A1", "Site")</f>
        <v>Site</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
      <c r="A11" s="5" t="str">
        <f>HYPERLINK("#'Input - Poultry'!A1", "Poultry")</f>
        <v>Poultry</v>
      </c>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
      <c r="A12" s="5" t="str">
        <f>HYPERLINK("#'Input - Livestock sales'!A1", "Livestock sales")</f>
        <v>Livestock sales</v>
      </c>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
      <c r="A13" s="5" t="str">
        <f>HYPERLINK("#'Input - Poultry purchases'!A1", "Poultry purchases")</f>
        <v>Poultry purchases</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
      <c r="A14" s="5" t="str">
        <f>HYPERLINK("#'Input - Fuel'!A1", "Fuel")</f>
        <v>Fuel</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
      <c r="A15" s="5" t="str">
        <f>HYPERLINK("#'Input - Electricity'!A1", "Electricity")</f>
        <v>Electricity</v>
      </c>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
      <c r="A16" s="5" t="str">
        <f>HYPERLINK("#'Input - Common farm inputs'!A1", "Common farm inputs")</f>
        <v>Common farm inputs</v>
      </c>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
      <c r="A17" s="5" t="str">
        <f>HYPERLINK("#'Input - Livestock farm Inputs'!A1", "Livestock farm Inputs")</f>
        <v>Livestock farm Inputs</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
      <c r="A18" s="5" t="str">
        <f>HYPERLINK("#'Input - Freight'!A1", "Freight")</f>
        <v>Freight</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
      <c r="A19" s="5" t="str">
        <f>HYPERLINK("#'Input - Solid waste'!A1", "Solid waste")</f>
        <v>Solid waste</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
      <c r="A20" s="5" t="str">
        <f>HYPERLINK("#'Input - Manure sent off-site'!A1", "Manure sent off-site")</f>
        <v>Manure sent off-site</v>
      </c>
    </row>
    <row r="21" spans="1:8" ht="20.100000000000001" customHeight="1" x14ac:dyDescent="0.2">
      <c r="A21" s="5" t="str">
        <f>HYPERLINK("#'Input - Data quality'!A1", "Data quality")</f>
        <v>Data quality</v>
      </c>
      <c r="D21" s="2" t="str" cm="1">
        <f t="array" ref="D21">Electricity_SourceData.Electricity_Scope2Scope3MarketBased_Title()</f>
        <v>Electricity scope 2 and scope 3 market-based emission factors</v>
      </c>
    </row>
    <row r="22" spans="1:8" ht="20.100000000000001" customHeight="1" x14ac:dyDescent="0.2">
      <c r="A22" s="5" t="str">
        <f>HYPERLINK("#'Input - Fert Prod System'!A1", "Fert Prod System")</f>
        <v>Fert Prod System</v>
      </c>
      <c r="D22" s="17" t="str" cm="1">
        <f t="array" ref="D22">Electricity_SourceData.Electricity_Scope2Scope3MarketBased_Source()</f>
        <v>Australian National Greenhouse Accounts Factors 2025 - Table 2a</v>
      </c>
    </row>
    <row r="23" spans="1:8" ht="20.100000000000001" customHeight="1" x14ac:dyDescent="0.2">
      <c r="A23" s="5" t="str">
        <f>HYPERLINK("#'Input - Fertiliser'!A1", "Fertiliser")</f>
        <v>Fertiliser</v>
      </c>
    </row>
    <row r="24" spans="1:8" ht="20.100000000000001" customHeight="1" x14ac:dyDescent="0.2">
      <c r="D24" s="148" t="s">
        <v>577</v>
      </c>
      <c r="E24" s="148" t="s">
        <v>580</v>
      </c>
      <c r="F24" s="148" t="s">
        <v>581</v>
      </c>
      <c r="G24" s="148" t="s">
        <v>582</v>
      </c>
      <c r="H24" s="148" t="s">
        <v>583</v>
      </c>
    </row>
    <row r="25" spans="1:8" ht="20.100000000000001" customHeight="1" x14ac:dyDescent="0.2">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
      <c r="A26" s="6" t="s">
        <v>2</v>
      </c>
    </row>
    <row r="27" spans="1:8" ht="20.100000000000001" customHeight="1" x14ac:dyDescent="0.2">
      <c r="A27" s="5" t="str">
        <f>HYPERLINK("#'4.6.1.1-2 Methane'!A1", "4.6.1.1-2 Manure Methane")</f>
        <v>4.6.1.1-2 Manure Methane</v>
      </c>
    </row>
    <row r="28" spans="1:8" ht="20.100000000000001" customHeight="1" x14ac:dyDescent="0.2">
      <c r="A28" s="5" t="str">
        <f>HYPERLINK("#'4.6.1.3-4 Direct N20'!A1", "4.6.1.3-4 Manure Direct N2O")</f>
        <v>4.6.1.3-4 Manure Direct N2O</v>
      </c>
    </row>
    <row r="29" spans="1:8" ht="20.100000000000001" customHeight="1" x14ac:dyDescent="0.2">
      <c r="A29" s="5" t="str">
        <f>HYPERLINK("#'4.6.1.5-6 Atmos Dep'!A1", "4.6.1.5-6 Manure Atmos Dep")</f>
        <v>4.6.1.5-6 Manure Atmos Dep</v>
      </c>
    </row>
    <row r="30" spans="1:8" ht="20.100000000000001" customHeight="1" x14ac:dyDescent="0.2">
      <c r="A30" s="5" t="str">
        <f>HYPERLINK("#'4.6.1.7-8 Leaching and runoff'!A1", "4.6.1.7-8 Manure Leaching and runoff")</f>
        <v>4.6.1.7-8 Manure Leaching and runoff</v>
      </c>
    </row>
    <row r="31" spans="1:8" ht="20.100000000000001" customHeight="1" x14ac:dyDescent="0.2">
      <c r="A31" s="5" t="str">
        <f>HYPERLINK("#'4.6.1.9 Manure applied to soils'!A1", "4.6.1.9 Manure applied to soils")</f>
        <v>4.6.1.9 Manure applied to soils</v>
      </c>
    </row>
    <row r="32" spans="1:8"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81"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tableParts count="2">
    <tablePart r:id="rId1"/>
    <tablePart r:id="rId2"/>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2B31B-8023-45F6-ACD3-48756569F610}">
  <dimension ref="A1:AM223"/>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20.7109375" style="1" customWidth="1"/>
    <col min="10" max="10" width="26.28515625" style="1" customWidth="1"/>
    <col min="11" max="34" width="20.7109375" style="1" customWidth="1"/>
    <col min="35" max="36" width="9.140625" style="1"/>
  </cols>
  <sheetData>
    <row r="1" spans="1:36" s="20" customFormat="1" ht="30" customHeight="1" x14ac:dyDescent="0.35">
      <c r="A1" s="10" t="e" vm="1">
        <v>#VALUE!</v>
      </c>
      <c r="C1" s="20" t="s">
        <v>845</v>
      </c>
      <c r="AF1" s="1"/>
      <c r="AG1" s="1"/>
      <c r="AH1" s="1"/>
      <c r="AI1" s="1"/>
      <c r="AJ1" s="1"/>
    </row>
    <row r="2" spans="1:36" s="3" customFormat="1" ht="20.100000000000001" customHeight="1" x14ac:dyDescent="0.2">
      <c r="A2"/>
      <c r="AF2" s="1"/>
      <c r="AG2" s="1"/>
      <c r="AH2" s="1"/>
      <c r="AI2" s="1"/>
      <c r="AJ2" s="1"/>
    </row>
    <row r="3" spans="1:36"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row>
    <row r="4" spans="1:36" ht="20.100000000000001" customHeight="1" x14ac:dyDescent="0.2">
      <c r="A4" s="5" t="str">
        <f>HYPERLINK("#'Results - Activity period'!A1", "Results - Activity period")</f>
        <v>Results - Activity period</v>
      </c>
    </row>
    <row r="5" spans="1:36" ht="20.100000000000001" customHeight="1" x14ac:dyDescent="0.2">
      <c r="A5" s="5" t="str">
        <f>HYPERLINK("#'Results - Product EI'!A1", "Results - Product Emissions Intensity")</f>
        <v>Results - Product Emissions Intensity</v>
      </c>
      <c r="D5" s="2" t="str" cm="1">
        <f t="array" ref="D5">Fertiliser_SourceData.Fertiliser_ChemicalCompoundElements_Title()</f>
        <v>Common inorganic fertilisers</v>
      </c>
      <c r="E5" s="154"/>
      <c r="F5" s="154"/>
      <c r="G5" s="154"/>
      <c r="H5" s="154"/>
      <c r="I5" s="154"/>
      <c r="J5" s="154"/>
    </row>
    <row r="6" spans="1:36" ht="20.100000000000001" customHeight="1" x14ac:dyDescent="0.2">
      <c r="D6" s="17" t="str" cm="1">
        <f t="array" ref="D6">Fertiliser_SourceData.Fertiliser_ChemicalCompoundElements_Source()</f>
        <v>Table A.2.2.3: Fraction of nitrogen in common inorganic fertilisers (kgN/kg) (FNorganic,f) AND Table A.2.2.4: Fraction of urea in common inorganic fertilisers (kg urea/kg) (FUf)</v>
      </c>
    </row>
    <row r="7" spans="1:36" ht="20.100000000000001" customHeight="1" x14ac:dyDescent="0.2">
      <c r="D7" s="25" t="str" cm="1">
        <f t="array" ref="D7:D18">Fertiliser_SourceData.Fertiliser_ChemicalCompoundElements_Variation()</f>
        <v>VARIATION ON SOURCE</v>
      </c>
    </row>
    <row r="8" spans="1:36" ht="20.100000000000001" customHeight="1" x14ac:dyDescent="0.2">
      <c r="A8" s="7" t="s">
        <v>0</v>
      </c>
      <c r="D8" s="25" t="str">
        <v>Added 'Basis' column to allow cross-referencing with table Table A.2.2.6: Fraction of inorganic fertiliser f that volatilises as NH3 and NOx ((kg NH3-N + NOx-N)/kg N) (FracGASFf)</v>
      </c>
    </row>
    <row r="9" spans="1:36" ht="20.100000000000001" customHeight="1" x14ac:dyDescent="0.2">
      <c r="A9" s="5" t="str">
        <f>HYPERLINK("#'Input - Enterprise'!A1", "Enterprise")</f>
        <v>Enterprise</v>
      </c>
      <c r="D9" s="25" t="str">
        <v>Added extra fertiliser types and generic chemical compounds to allow for custom NPKS blends</v>
      </c>
    </row>
    <row r="10" spans="1:36" ht="20.100000000000001" customHeight="1" x14ac:dyDescent="0.2">
      <c r="A10" s="5" t="str">
        <f>HYPERLINK("#'Input - Site'!A1", "Site")</f>
        <v>Site</v>
      </c>
      <c r="D10" s="25" t="str">
        <v>Added extra 'Scope 3 definition' column to allow mapping with scope 3 data</v>
      </c>
    </row>
    <row r="11" spans="1:36" ht="20.100000000000001" customHeight="1" x14ac:dyDescent="0.2">
      <c r="A11" s="5" t="str">
        <f>HYPERLINK("#'Input - Poultry'!A1", "Poultry")</f>
        <v>Poultry</v>
      </c>
      <c r="D11" s="25" t="str">
        <v>Added 'Source' column</v>
      </c>
    </row>
    <row r="12" spans="1:36" ht="20.100000000000001" customHeight="1" x14ac:dyDescent="0.2">
      <c r="A12" s="5" t="str">
        <f>HYPERLINK("#'Input - Livestock sales'!A1", "Livestock sales")</f>
        <v>Livestock sales</v>
      </c>
      <c r="D12" s="25" t="str">
        <v>Combined data from Table A.2.2.3 and Table A.2.2.4 into one table to aid lookup.</v>
      </c>
    </row>
    <row r="13" spans="1:36" ht="20.100000000000001" customHeight="1" x14ac:dyDescent="0.2">
      <c r="A13" s="5" t="str">
        <f>HYPERLINK("#'Input - Poultry purchases'!A1", "Poultry purchases")</f>
        <v>Poultry purchases</v>
      </c>
      <c r="D13" s="25" t="str">
        <v>Excluded 'References' column</v>
      </c>
    </row>
    <row r="14" spans="1:36" ht="20.100000000000001" customHeight="1" x14ac:dyDescent="0.2">
      <c r="A14" s="5" t="str">
        <f>HYPERLINK("#'Input - Fuel'!A1", "Fuel")</f>
        <v>Fuel</v>
      </c>
      <c r="D14" s="25" t="str">
        <v>Excluded 'Ammonium sulfate' as it is a duplicate of 'Sulphate of ammonia (SOA)'</v>
      </c>
    </row>
    <row r="15" spans="1:36" ht="20.100000000000001" customHeight="1" x14ac:dyDescent="0.2">
      <c r="A15" s="5" t="str">
        <f>HYPERLINK("#'Input - Electricity'!A1", "Electricity")</f>
        <v>Electricity</v>
      </c>
      <c r="D15" s="25" t="str">
        <v>Excluded 'Calcium nitrate' as no scope 3 value available.</v>
      </c>
    </row>
    <row r="16" spans="1:36" ht="20.100000000000001" customHeight="1" x14ac:dyDescent="0.2">
      <c r="A16" s="5" t="str">
        <f>HYPERLINK("#'Input - Common farm inputs'!A1", "Common farm inputs")</f>
        <v>Common farm inputs</v>
      </c>
      <c r="D16" s="25" t="str">
        <v>Set 'Nitrogen - Generic' basis as 'Urea-based fertilisers, as urea is the most commonly used form of nitrogen in Australian fertilisers</v>
      </c>
    </row>
    <row r="17" spans="1:22" ht="20.100000000000001" customHeight="1" x14ac:dyDescent="0.2">
      <c r="A17" s="5" t="str">
        <f>HYPERLINK("#'Input - Livestock farm Inputs'!A1", "Livestock farm Inputs")</f>
        <v>Livestock farm Inputs</v>
      </c>
      <c r="D17" s="25" t="str">
        <v>Set 'Urea-ammonium nitrate' basis as 'Urea-based fertiliser'</v>
      </c>
      <c r="K17" s="2" t="str" cm="1">
        <f t="array" ref="K17">Fertiliser_SourceData.Fertiliser_FractionNCommonFertilisers_Title()</f>
        <v>Fraction of nitrogen in common inorganic fertilisers (kgN/kg) (FNorganic,f)</v>
      </c>
      <c r="Q17" s="2" t="str" cm="1">
        <f t="array" ref="Q17">Fertiliser_SourceData.Fertiliser_FractionUreaCommonFertilisers_Title()</f>
        <v>Fraction of urea in common inorganic fertilisers (kg urea/kg) (FUf)</v>
      </c>
      <c r="V17" s="2" t="str" cm="1">
        <f t="array" ref="V17">Fertiliser_SourceData.Fertiliser_UreaAmmoniaSourceRegions_Title()</f>
        <v>Source regions for urea and ammonia</v>
      </c>
    </row>
    <row r="18" spans="1:22" ht="20.100000000000001" customHeight="1" x14ac:dyDescent="0.2">
      <c r="A18" s="5" t="str">
        <f>HYPERLINK("#'Input - Freight'!A1", "Freight")</f>
        <v>Freight</v>
      </c>
      <c r="D18" s="25" t="str">
        <v>Ammonia has an FN value of 0.8235 based on (14/17)x100, where 14 is the mass of nitrogen in ammonia and 17 is the molar mass of ammonia.</v>
      </c>
      <c r="K18" s="17" t="str" cm="1">
        <f t="array" ref="K18">Fertiliser_SourceData.Fertiliser_FractionNCommonFertilisers_Source()</f>
        <v>VEERG 2026: Table A.2.2.3</v>
      </c>
      <c r="Q18" s="17" t="str" cm="1">
        <f t="array" ref="Q18">Fertiliser_SourceData.Fertiliser_FractionUreaCommonFertilisers_Source()</f>
        <v>VEERG 2026: Table A.2.2.4</v>
      </c>
      <c r="V18" s="17" t="str" cm="1">
        <f t="array" ref="V18">Fertiliser_SourceData.Fertiliser_UreaAmmoniaSourceRegions_Source()</f>
        <v>Lifecycles. (2026). Greenhouse Gas Emission Intensities for Material Inputs to Australian Agriculture, Fisheries and Forestry. Version 48. doi 10.5281/zenodo.19656580</v>
      </c>
    </row>
    <row r="19" spans="1:22" ht="20.100000000000001" customHeight="1" x14ac:dyDescent="0.2">
      <c r="A19" s="5" t="str">
        <f>HYPERLINK("#'Input - Solid waste'!A1", "Solid waste")</f>
        <v>Solid waste</v>
      </c>
      <c r="D19" t="s">
        <v>766</v>
      </c>
      <c r="E19" t="s">
        <v>846</v>
      </c>
      <c r="F19" t="s">
        <v>847</v>
      </c>
      <c r="G19" t="s">
        <v>821</v>
      </c>
      <c r="H19" t="s">
        <v>848</v>
      </c>
      <c r="I19" t="s">
        <v>570</v>
      </c>
      <c r="K19" s="19" t="s">
        <v>766</v>
      </c>
      <c r="L19" s="19" t="s">
        <v>846</v>
      </c>
      <c r="Q19" s="19" t="s">
        <v>766</v>
      </c>
      <c r="R19" s="19" t="s">
        <v>846</v>
      </c>
      <c r="V19" s="19" t="s">
        <v>570</v>
      </c>
    </row>
    <row r="20" spans="1:22" ht="20.100000000000001" customHeight="1" x14ac:dyDescent="0.2">
      <c r="A20" s="5" t="str">
        <f>HYPERLINK("#'Input - Manure sent off-site'!A1", "Manure sent off-site")</f>
        <v>Manure sent off-site</v>
      </c>
      <c r="D20" s="148" t="str" cm="1">
        <f t="array" ref="D20">Common_InputFunctions.Utility_DisplayArrayInTable(Fertiliser_SourceData.Fertiliser_ChemicalCompoundElements_Data(),Table_Fertiliser_ChemicalCompounds[[#Headers],[Fertiliser type f]], 0)</f>
        <v>Monoammonium phosphate (MAP)</v>
      </c>
      <c r="E20" s="148" cm="1">
        <f t="array" ref="E20">Common_InputFunctions.Utility_DisplayArrayInTable(Fertiliser_SourceData.Fertiliser_ChemicalCompoundElements_Data(),Table_Fertiliser_ChemicalCompounds[[#Headers],[Fertiliser type f]], 0)</f>
        <v>0.1</v>
      </c>
      <c r="F20" s="148" cm="1">
        <f t="array" ref="F20">Common_InputFunctions.Utility_DisplayArrayInTable(Fertiliser_SourceData.Fertiliser_ChemicalCompoundElements_Data(),Table_Fertiliser_ChemicalCompounds[[#Headers],[Fertiliser type f]], 0)</f>
        <v>0</v>
      </c>
      <c r="G20" s="148" t="str" cm="1">
        <f t="array" ref="G20">Common_InputFunctions.Utility_DisplayArrayInTable(Fertiliser_SourceData.Fertiliser_ChemicalCompoundElements_Data(),Table_Fertiliser_ChemicalCompounds[[#Headers],[Fertiliser type f]], 0)</f>
        <v>Ammonium-based fertilisers</v>
      </c>
      <c r="H20" s="148" t="str" cm="1">
        <f t="array" ref="H20">Common_InputFunctions.Utility_DisplayArrayInTable(Fertiliser_SourceData.Fertiliser_ChemicalCompoundElements_Data(),Table_Fertiliser_ChemicalCompounds[[#Headers],[Fertiliser type f]], 0)</f>
        <v>Monoammonium phosphate (MAP)</v>
      </c>
      <c r="I20" s="148" t="str" cm="1">
        <f t="array" ref="I20">Common_InputFunctions.Utility_DisplayArrayInTable(Fertiliser_SourceData.Fertiliser_ChemicalCompoundElements_Data(),Table_Fertiliser_ChemicalCompounds[[#Headers],[Fertiliser type f]], 0)</f>
        <v>VEERG</v>
      </c>
      <c r="K20" s="19" t="str" cm="1">
        <f t="array" ref="K20">Common_InputFunctions.Utility_DisplayArrayInTable(Fertiliser_SourceData.Fertiliser_FractionNCommonFertilisers_Data(), Table2[[#Headers],[Fertiliser type f]], 0)</f>
        <v>Monoammonium phosphate (MAP)</v>
      </c>
      <c r="L20" s="19" cm="1">
        <f t="array" ref="L20">Common_InputFunctions.Utility_DisplayArrayInTable(Fertiliser_SourceData.Fertiliser_FractionNCommonFertilisers_Data(), Table2[[#Headers],[Fertiliser type f]], 0)</f>
        <v>0.1</v>
      </c>
      <c r="Q20" s="19" t="str" cm="1">
        <f t="array" ref="Q20">Common_InputFunctions.Utility_DisplayArrayInTable(Fertiliser_SourceData.Fertiliser_FractionUreaCommonFertilisers_Data(), Table28[[#Headers],[Fertiliser type f]], 0)</f>
        <v>Monoammonium phosphate (MAP)</v>
      </c>
      <c r="R20" s="19" cm="1">
        <f t="array" ref="R20">Common_InputFunctions.Utility_DisplayArrayInTable(Fertiliser_SourceData.Fertiliser_FractionUreaCommonFertilisers_Data(), Table28[[#Headers],[Fertiliser type f]], 0)</f>
        <v>0</v>
      </c>
      <c r="V20" s="19" t="str" cm="1">
        <f t="array" ref="V20">Common_InputFunctions.Utility_DisplayArrayInTable(Fertiliser_SourceData.Fertiliser_UreaAmmoniaSourceRegions_Data(),Table_SourceData_Fertiliser_UreaAmmoniaSources[[#Headers],[Source]],0)</f>
        <v>Global</v>
      </c>
    </row>
    <row r="21" spans="1:22" ht="20.100000000000001" customHeight="1" x14ac:dyDescent="0.2">
      <c r="A21" s="5" t="str">
        <f>HYPERLINK("#'Input - Data quality'!A1", "Data quality")</f>
        <v>Data quality</v>
      </c>
      <c r="D21" s="148" t="str" cm="1">
        <f t="array" ref="D21">Common_InputFunctions.Utility_DisplayArrayInTable(Fertiliser_SourceData.Fertiliser_ChemicalCompoundElements_Data(),Table_Fertiliser_ChemicalCompounds[[#Headers],[Fertiliser type f]], 0)</f>
        <v>Diammonium phosphate (DAP)</v>
      </c>
      <c r="E21" s="148" cm="1">
        <f t="array" ref="E21">Common_InputFunctions.Utility_DisplayArrayInTable(Fertiliser_SourceData.Fertiliser_ChemicalCompoundElements_Data(),Table_Fertiliser_ChemicalCompounds[[#Headers],[Fertiliser type f]], 0)</f>
        <v>0.18</v>
      </c>
      <c r="F21" s="148" cm="1">
        <f t="array" ref="F21">Common_InputFunctions.Utility_DisplayArrayInTable(Fertiliser_SourceData.Fertiliser_ChemicalCompoundElements_Data(),Table_Fertiliser_ChemicalCompounds[[#Headers],[Fertiliser type f]], 0)</f>
        <v>0</v>
      </c>
      <c r="G21" s="148" t="str" cm="1">
        <f t="array" ref="G21">Common_InputFunctions.Utility_DisplayArrayInTable(Fertiliser_SourceData.Fertiliser_ChemicalCompoundElements_Data(),Table_Fertiliser_ChemicalCompounds[[#Headers],[Fertiliser type f]], 0)</f>
        <v>Ammonium-based fertilisers</v>
      </c>
      <c r="H21" s="148" t="str" cm="1">
        <f t="array" ref="H21">Common_InputFunctions.Utility_DisplayArrayInTable(Fertiliser_SourceData.Fertiliser_ChemicalCompoundElements_Data(),Table_Fertiliser_ChemicalCompounds[[#Headers],[Fertiliser type f]], 0)</f>
        <v>Diammonium phosphate (DAP)</v>
      </c>
      <c r="I21" s="148" t="str" cm="1">
        <f t="array" ref="I21">Common_InputFunctions.Utility_DisplayArrayInTable(Fertiliser_SourceData.Fertiliser_ChemicalCompoundElements_Data(),Table_Fertiliser_ChemicalCompounds[[#Headers],[Fertiliser type f]], 0)</f>
        <v>VEERG</v>
      </c>
      <c r="K21" s="19" t="str" cm="1">
        <f t="array" ref="K21">Common_InputFunctions.Utility_DisplayArrayInTable(Fertiliser_SourceData.Fertiliser_FractionNCommonFertilisers_Data(), Table2[[#Headers],[Fertiliser type f]], 0)</f>
        <v>Diammonium phosphate (DAP)</v>
      </c>
      <c r="L21" s="19" cm="1">
        <f t="array" ref="L21">Common_InputFunctions.Utility_DisplayArrayInTable(Fertiliser_SourceData.Fertiliser_FractionNCommonFertilisers_Data(), Table2[[#Headers],[Fertiliser type f]], 0)</f>
        <v>0.18</v>
      </c>
      <c r="Q21" s="19" t="str" cm="1">
        <f t="array" ref="Q21">Common_InputFunctions.Utility_DisplayArrayInTable(Fertiliser_SourceData.Fertiliser_FractionUreaCommonFertilisers_Data(), Table28[[#Headers],[Fertiliser type f]], 0)</f>
        <v>Diammonium phosphate (DAP)</v>
      </c>
      <c r="R21" s="19" cm="1">
        <f t="array" ref="R21">Common_InputFunctions.Utility_DisplayArrayInTable(Fertiliser_SourceData.Fertiliser_FractionUreaCommonFertilisers_Data(), Table28[[#Headers],[Fertiliser type f]], 0)</f>
        <v>0</v>
      </c>
      <c r="V21" s="19" t="str" cm="1">
        <f t="array" ref="V21">Common_InputFunctions.Utility_DisplayArrayInTable(Fertiliser_SourceData.Fertiliser_UreaAmmoniaSourceRegions_Data(),Table_SourceData_Fertiliser_UreaAmmoniaSources[[#Headers],[Source]],0)</f>
        <v>Canada</v>
      </c>
    </row>
    <row r="22" spans="1:22" ht="20.100000000000001" customHeight="1" x14ac:dyDescent="0.2">
      <c r="A22" s="5" t="str">
        <f>HYPERLINK("#'Input - Fert Prod System'!A1", "Fert Prod System")</f>
        <v>Fert Prod System</v>
      </c>
      <c r="D22" s="148" t="str" cm="1">
        <f t="array" ref="D22">Common_InputFunctions.Utility_DisplayArrayInTable(Fertiliser_SourceData.Fertiliser_ChemicalCompoundElements_Data(),Table_Fertiliser_ChemicalCompounds[[#Headers],[Fertiliser type f]], 0)</f>
        <v>Urea</v>
      </c>
      <c r="E22" s="148" cm="1">
        <f t="array" ref="E22">Common_InputFunctions.Utility_DisplayArrayInTable(Fertiliser_SourceData.Fertiliser_ChemicalCompoundElements_Data(),Table_Fertiliser_ChemicalCompounds[[#Headers],[Fertiliser type f]], 0)</f>
        <v>0.46</v>
      </c>
      <c r="F22" s="148" cm="1">
        <f t="array" ref="F22">Common_InputFunctions.Utility_DisplayArrayInTable(Fertiliser_SourceData.Fertiliser_ChemicalCompoundElements_Data(),Table_Fertiliser_ChemicalCompounds[[#Headers],[Fertiliser type f]], 0)</f>
        <v>1</v>
      </c>
      <c r="G22" s="148" t="str" cm="1">
        <f t="array" ref="G22">Common_InputFunctions.Utility_DisplayArrayInTable(Fertiliser_SourceData.Fertiliser_ChemicalCompoundElements_Data(),Table_Fertiliser_ChemicalCompounds[[#Headers],[Fertiliser type f]], 0)</f>
        <v>Urea-based fertilisers</v>
      </c>
      <c r="H22" s="148" t="str" cm="1">
        <f t="array" ref="H22">Common_InputFunctions.Utility_DisplayArrayInTable(Fertiliser_SourceData.Fertiliser_ChemicalCompoundElements_Data(),Table_Fertiliser_ChemicalCompounds[[#Headers],[Fertiliser type f]], 0)</f>
        <v>Urea</v>
      </c>
      <c r="I22" s="148" t="str" cm="1">
        <f t="array" ref="I22">Common_InputFunctions.Utility_DisplayArrayInTable(Fertiliser_SourceData.Fertiliser_ChemicalCompoundElements_Data(),Table_Fertiliser_ChemicalCompounds[[#Headers],[Fertiliser type f]], 0)</f>
        <v>VEERG</v>
      </c>
      <c r="K22" s="19" t="str" cm="1">
        <f t="array" ref="K22">Common_InputFunctions.Utility_DisplayArrayInTable(Fertiliser_SourceData.Fertiliser_FractionNCommonFertilisers_Data(), Table2[[#Headers],[Fertiliser type f]], 0)</f>
        <v>Urea</v>
      </c>
      <c r="L22" s="19" cm="1">
        <f t="array" ref="L22">Common_InputFunctions.Utility_DisplayArrayInTable(Fertiliser_SourceData.Fertiliser_FractionNCommonFertilisers_Data(), Table2[[#Headers],[Fertiliser type f]], 0)</f>
        <v>0.46</v>
      </c>
      <c r="Q22" s="19" t="str" cm="1">
        <f t="array" ref="Q22">Common_InputFunctions.Utility_DisplayArrayInTable(Fertiliser_SourceData.Fertiliser_FractionUreaCommonFertilisers_Data(), Table28[[#Headers],[Fertiliser type f]], 0)</f>
        <v>Urea</v>
      </c>
      <c r="R22" s="19" cm="1">
        <f t="array" ref="R22">Common_InputFunctions.Utility_DisplayArrayInTable(Fertiliser_SourceData.Fertiliser_FractionUreaCommonFertilisers_Data(), Table28[[#Headers],[Fertiliser type f]], 0)</f>
        <v>1</v>
      </c>
      <c r="V22" s="19" t="str" cm="1">
        <f t="array" ref="V22">Common_InputFunctions.Utility_DisplayArrayInTable(Fertiliser_SourceData.Fertiliser_UreaAmmoniaSourceRegions_Data(),Table_SourceData_Fertiliser_UreaAmmoniaSources[[#Headers],[Source]],0)</f>
        <v>China</v>
      </c>
    </row>
    <row r="23" spans="1:22" ht="20.100000000000001" customHeight="1" x14ac:dyDescent="0.2">
      <c r="A23" s="5" t="str">
        <f>HYPERLINK("#'Input - Fertiliser'!A1", "Fertiliser")</f>
        <v>Fertiliser</v>
      </c>
      <c r="D23" s="148" t="str" cm="1">
        <f t="array" ref="D23">Common_InputFunctions.Utility_DisplayArrayInTable(Fertiliser_SourceData.Fertiliser_ChemicalCompoundElements_Data(),Table_Fertiliser_ChemicalCompounds[[#Headers],[Fertiliser type f]], 0)</f>
        <v>Sulphate of ammonia (SOA)</v>
      </c>
      <c r="E23" s="148" cm="1">
        <f t="array" ref="E23">Common_InputFunctions.Utility_DisplayArrayInTable(Fertiliser_SourceData.Fertiliser_ChemicalCompoundElements_Data(),Table_Fertiliser_ChemicalCompounds[[#Headers],[Fertiliser type f]], 0)</f>
        <v>0.21</v>
      </c>
      <c r="F23" s="148" cm="1">
        <f t="array" ref="F23">Common_InputFunctions.Utility_DisplayArrayInTable(Fertiliser_SourceData.Fertiliser_ChemicalCompoundElements_Data(),Table_Fertiliser_ChemicalCompounds[[#Headers],[Fertiliser type f]], 0)</f>
        <v>0</v>
      </c>
      <c r="G23" s="148" t="str" cm="1">
        <f t="array" ref="G23">Common_InputFunctions.Utility_DisplayArrayInTable(Fertiliser_SourceData.Fertiliser_ChemicalCompoundElements_Data(),Table_Fertiliser_ChemicalCompounds[[#Headers],[Fertiliser type f]], 0)</f>
        <v>Ammonium-based fertilisers</v>
      </c>
      <c r="H23" s="148" t="str" cm="1">
        <f t="array" ref="H23">Common_InputFunctions.Utility_DisplayArrayInTable(Fertiliser_SourceData.Fertiliser_ChemicalCompoundElements_Data(),Table_Fertiliser_ChemicalCompounds[[#Headers],[Fertiliser type f]], 0)</f>
        <v>Sulphate of ammonia (SOA)</v>
      </c>
      <c r="I23" s="148" t="str" cm="1">
        <f t="array" ref="I23">Common_InputFunctions.Utility_DisplayArrayInTable(Fertiliser_SourceData.Fertiliser_ChemicalCompoundElements_Data(),Table_Fertiliser_ChemicalCompounds[[#Headers],[Fertiliser type f]], 0)</f>
        <v>VEERG</v>
      </c>
      <c r="K23" s="19" t="str" cm="1">
        <f t="array" ref="K23">Common_InputFunctions.Utility_DisplayArrayInTable(Fertiliser_SourceData.Fertiliser_FractionNCommonFertilisers_Data(), Table2[[#Headers],[Fertiliser type f]], 0)</f>
        <v>Sulphate of ammonia (SOA)</v>
      </c>
      <c r="L23" s="19" cm="1">
        <f t="array" ref="L23">Common_InputFunctions.Utility_DisplayArrayInTable(Fertiliser_SourceData.Fertiliser_FractionNCommonFertilisers_Data(), Table2[[#Headers],[Fertiliser type f]], 0)</f>
        <v>0.21</v>
      </c>
      <c r="Q23" s="19" t="str" cm="1">
        <f t="array" ref="Q23">Common_InputFunctions.Utility_DisplayArrayInTable(Fertiliser_SourceData.Fertiliser_FractionUreaCommonFertilisers_Data(), Table28[[#Headers],[Fertiliser type f]], 0)</f>
        <v>Sulphate of ammonia (SOA)</v>
      </c>
      <c r="R23" s="19" cm="1">
        <f t="array" ref="R23">Common_InputFunctions.Utility_DisplayArrayInTable(Fertiliser_SourceData.Fertiliser_FractionUreaCommonFertilisers_Data(), Table28[[#Headers],[Fertiliser type f]], 0)</f>
        <v>0</v>
      </c>
      <c r="V23" s="19" t="str" cm="1">
        <f t="array" ref="V23">Common_InputFunctions.Utility_DisplayArrayInTable(Fertiliser_SourceData.Fertiliser_UreaAmmoniaSourceRegions_Data(),Table_SourceData_Fertiliser_UreaAmmoniaSources[[#Headers],[Source]],0)</f>
        <v>Yemen</v>
      </c>
    </row>
    <row r="24" spans="1:22" ht="20.100000000000001" customHeight="1" x14ac:dyDescent="0.2">
      <c r="D24" s="148" t="str" cm="1">
        <f t="array" ref="D24">Common_InputFunctions.Utility_DisplayArrayInTable(Fertiliser_SourceData.Fertiliser_ChemicalCompoundElements_Data(),Table_Fertiliser_ChemicalCompounds[[#Headers],[Fertiliser type f]], 0)</f>
        <v>Urea-ammonium nitrate (UAN)</v>
      </c>
      <c r="E24" s="148" cm="1">
        <f t="array" ref="E24">Common_InputFunctions.Utility_DisplayArrayInTable(Fertiliser_SourceData.Fertiliser_ChemicalCompoundElements_Data(),Table_Fertiliser_ChemicalCompounds[[#Headers],[Fertiliser type f]], 0)</f>
        <v>0.32</v>
      </c>
      <c r="F24" s="148" cm="1">
        <f t="array" ref="F24">Common_InputFunctions.Utility_DisplayArrayInTable(Fertiliser_SourceData.Fertiliser_ChemicalCompoundElements_Data(),Table_Fertiliser_ChemicalCompounds[[#Headers],[Fertiliser type f]], 0)</f>
        <v>0.35</v>
      </c>
      <c r="G24" s="148" t="str" cm="1">
        <f t="array" ref="G24">Common_InputFunctions.Utility_DisplayArrayInTable(Fertiliser_SourceData.Fertiliser_ChemicalCompoundElements_Data(),Table_Fertiliser_ChemicalCompounds[[#Headers],[Fertiliser type f]], 0)</f>
        <v>Urea-based fertilisers</v>
      </c>
      <c r="H24" s="148" t="str" cm="1">
        <f t="array" ref="H24">Common_InputFunctions.Utility_DisplayArrayInTable(Fertiliser_SourceData.Fertiliser_ChemicalCompoundElements_Data(),Table_Fertiliser_ChemicalCompounds[[#Headers],[Fertiliser type f]], 0)</f>
        <v>Urea-ammonium nitrate (UAN)</v>
      </c>
      <c r="I24" s="148" t="str" cm="1">
        <f t="array" ref="I24">Common_InputFunctions.Utility_DisplayArrayInTable(Fertiliser_SourceData.Fertiliser_ChemicalCompoundElements_Data(),Table_Fertiliser_ChemicalCompounds[[#Headers],[Fertiliser type f]], 0)</f>
        <v>VEERG</v>
      </c>
      <c r="K24" s="19" t="str" cm="1">
        <f t="array" ref="K24">Common_InputFunctions.Utility_DisplayArrayInTable(Fertiliser_SourceData.Fertiliser_FractionNCommonFertilisers_Data(), Table2[[#Headers],[Fertiliser type f]], 0)</f>
        <v>Urea-ammonium nitrate (UAN)</v>
      </c>
      <c r="L24" s="19" cm="1">
        <f t="array" ref="L24">Common_InputFunctions.Utility_DisplayArrayInTable(Fertiliser_SourceData.Fertiliser_FractionNCommonFertilisers_Data(), Table2[[#Headers],[Fertiliser type f]], 0)</f>
        <v>0.32</v>
      </c>
      <c r="Q24" s="19" t="str" cm="1">
        <f t="array" ref="Q24">Common_InputFunctions.Utility_DisplayArrayInTable(Fertiliser_SourceData.Fertiliser_FractionUreaCommonFertilisers_Data(), Table28[[#Headers],[Fertiliser type f]], 0)</f>
        <v>Urea-ammonium nitrate (UAN)</v>
      </c>
      <c r="R24" s="19" cm="1">
        <f t="array" ref="R24">Common_InputFunctions.Utility_DisplayArrayInTable(Fertiliser_SourceData.Fertiliser_FractionUreaCommonFertilisers_Data(), Table28[[#Headers],[Fertiliser type f]], 0)</f>
        <v>0.35</v>
      </c>
    </row>
    <row r="25" spans="1:22" ht="20.100000000000001" customHeight="1" x14ac:dyDescent="0.2">
      <c r="D25" s="148" t="str" cm="1">
        <f t="array" ref="D25">Common_InputFunctions.Utility_DisplayArrayInTable(Fertiliser_SourceData.Fertiliser_ChemicalCompoundElements_Data(),Table_Fertiliser_ChemicalCompounds[[#Headers],[Fertiliser type f]], 0)</f>
        <v>Ammonium nitrate (AN)</v>
      </c>
      <c r="E25" s="148" cm="1">
        <f t="array" ref="E25">Common_InputFunctions.Utility_DisplayArrayInTable(Fertiliser_SourceData.Fertiliser_ChemicalCompoundElements_Data(),Table_Fertiliser_ChemicalCompounds[[#Headers],[Fertiliser type f]], 0)</f>
        <v>0.33700000000000002</v>
      </c>
      <c r="F25" s="148" cm="1">
        <f t="array" ref="F25">Common_InputFunctions.Utility_DisplayArrayInTable(Fertiliser_SourceData.Fertiliser_ChemicalCompoundElements_Data(),Table_Fertiliser_ChemicalCompounds[[#Headers],[Fertiliser type f]], 0)</f>
        <v>0</v>
      </c>
      <c r="G25" s="148" t="str" cm="1">
        <f t="array" ref="G25">Common_InputFunctions.Utility_DisplayArrayInTable(Fertiliser_SourceData.Fertiliser_ChemicalCompoundElements_Data(),Table_Fertiliser_ChemicalCompounds[[#Headers],[Fertiliser type f]], 0)</f>
        <v>Ammonium-nitrate based fertilisers</v>
      </c>
      <c r="H25" s="148" t="str" cm="1">
        <f t="array" ref="H25">Common_InputFunctions.Utility_DisplayArrayInTable(Fertiliser_SourceData.Fertiliser_ChemicalCompoundElements_Data(),Table_Fertiliser_ChemicalCompounds[[#Headers],[Fertiliser type f]], 0)</f>
        <v>Ammonium nitrate (AN)</v>
      </c>
      <c r="I25" s="148" t="str" cm="1">
        <f t="array" ref="I25">Common_InputFunctions.Utility_DisplayArrayInTable(Fertiliser_SourceData.Fertiliser_ChemicalCompoundElements_Data(),Table_Fertiliser_ChemicalCompounds[[#Headers],[Fertiliser type f]], 0)</f>
        <v>VEERG</v>
      </c>
      <c r="K25" s="19" t="str" cm="1">
        <f t="array" ref="K25">Common_InputFunctions.Utility_DisplayArrayInTable(Fertiliser_SourceData.Fertiliser_FractionNCommonFertilisers_Data(), Table2[[#Headers],[Fertiliser type f]], 0)</f>
        <v>Ammonium nitrate (AN)</v>
      </c>
      <c r="L25" s="19" cm="1">
        <f t="array" ref="L25">Common_InputFunctions.Utility_DisplayArrayInTable(Fertiliser_SourceData.Fertiliser_FractionNCommonFertilisers_Data(), Table2[[#Headers],[Fertiliser type f]], 0)</f>
        <v>0.33700000000000002</v>
      </c>
      <c r="Q25" s="19" t="str" cm="1">
        <f t="array" ref="Q25">Common_InputFunctions.Utility_DisplayArrayInTable(Fertiliser_SourceData.Fertiliser_FractionUreaCommonFertilisers_Data(), Table28[[#Headers],[Fertiliser type f]], 0)</f>
        <v>Ammonium nitrate (AN)</v>
      </c>
      <c r="R25" s="19" cm="1">
        <f t="array" ref="R25">Common_InputFunctions.Utility_DisplayArrayInTable(Fertiliser_SourceData.Fertiliser_FractionUreaCommonFertilisers_Data(), Table28[[#Headers],[Fertiliser type f]], 0)</f>
        <v>0</v>
      </c>
    </row>
    <row r="26" spans="1:22" ht="20.100000000000001" customHeight="1" x14ac:dyDescent="0.2">
      <c r="A26" s="6" t="s">
        <v>2</v>
      </c>
      <c r="D26" s="148" t="str" cm="1">
        <f t="array" ref="D26">Common_InputFunctions.Utility_DisplayArrayInTable(Fertiliser_SourceData.Fertiliser_ChemicalCompoundElements_Data(),Table_Fertiliser_ChemicalCompounds[[#Headers],[Fertiliser type f]], 0)</f>
        <v>Calcium ammonium nitrate (CAN)</v>
      </c>
      <c r="E26" s="148" cm="1">
        <f t="array" ref="E26">Common_InputFunctions.Utility_DisplayArrayInTable(Fertiliser_SourceData.Fertiliser_ChemicalCompoundElements_Data(),Table_Fertiliser_ChemicalCompounds[[#Headers],[Fertiliser type f]], 0)</f>
        <v>0.27</v>
      </c>
      <c r="F26" s="148" cm="1">
        <f t="array" ref="F26">Common_InputFunctions.Utility_DisplayArrayInTable(Fertiliser_SourceData.Fertiliser_ChemicalCompoundElements_Data(),Table_Fertiliser_ChemicalCompounds[[#Headers],[Fertiliser type f]], 0)</f>
        <v>0</v>
      </c>
      <c r="G26" s="148" t="str" cm="1">
        <f t="array" ref="G26">Common_InputFunctions.Utility_DisplayArrayInTable(Fertiliser_SourceData.Fertiliser_ChemicalCompoundElements_Data(),Table_Fertiliser_ChemicalCompounds[[#Headers],[Fertiliser type f]], 0)</f>
        <v>Ammonium-nitrate based fertilisers</v>
      </c>
      <c r="H26" s="148" t="str" cm="1">
        <f t="array" ref="H26">Common_InputFunctions.Utility_DisplayArrayInTable(Fertiliser_SourceData.Fertiliser_ChemicalCompoundElements_Data(),Table_Fertiliser_ChemicalCompounds[[#Headers],[Fertiliser type f]], 0)</f>
        <v>Calcium ammonium nitrate (CAN)</v>
      </c>
      <c r="I26" s="148" t="str" cm="1">
        <f t="array" ref="I26">Common_InputFunctions.Utility_DisplayArrayInTable(Fertiliser_SourceData.Fertiliser_ChemicalCompoundElements_Data(),Table_Fertiliser_ChemicalCompounds[[#Headers],[Fertiliser type f]], 0)</f>
        <v>VEERG</v>
      </c>
      <c r="K26" s="19" t="str" cm="1">
        <f t="array" ref="K26">Common_InputFunctions.Utility_DisplayArrayInTable(Fertiliser_SourceData.Fertiliser_FractionNCommonFertilisers_Data(), Table2[[#Headers],[Fertiliser type f]], 0)</f>
        <v>Calcium ammonium nitrate (CAN)</v>
      </c>
      <c r="L26" s="19" cm="1">
        <f t="array" ref="L26">Common_InputFunctions.Utility_DisplayArrayInTable(Fertiliser_SourceData.Fertiliser_FractionNCommonFertilisers_Data(), Table2[[#Headers],[Fertiliser type f]], 0)</f>
        <v>0.27</v>
      </c>
      <c r="Q26" s="19" t="str" cm="1">
        <f t="array" ref="Q26">Common_InputFunctions.Utility_DisplayArrayInTable(Fertiliser_SourceData.Fertiliser_FractionUreaCommonFertilisers_Data(), Table28[[#Headers],[Fertiliser type f]], 0)</f>
        <v>Calcium ammonium nitrate (CAN)</v>
      </c>
      <c r="R26" s="19" cm="1">
        <f t="array" ref="R26">Common_InputFunctions.Utility_DisplayArrayInTable(Fertiliser_SourceData.Fertiliser_FractionUreaCommonFertilisers_Data(), Table28[[#Headers],[Fertiliser type f]], 0)</f>
        <v>0</v>
      </c>
    </row>
    <row r="27" spans="1:22" ht="20.100000000000001" customHeight="1" x14ac:dyDescent="0.2">
      <c r="A27" s="5" t="str">
        <f>HYPERLINK("#'4.6.1.1-2 Methane'!A1", "4.6.1.1-2 Manure Methane")</f>
        <v>4.6.1.1-2 Manure Methane</v>
      </c>
      <c r="D27" s="148" t="str" cm="1">
        <f t="array" ref="D27">Common_InputFunctions.Utility_DisplayArrayInTable(Fertiliser_SourceData.Fertiliser_ChemicalCompoundElements_Data(),Table_Fertiliser_ChemicalCompounds[[#Headers],[Fertiliser type f]], 0)</f>
        <v>Nitrogen - Ammoniacal</v>
      </c>
      <c r="E27" s="148" cm="1">
        <f t="array" ref="E27">Common_InputFunctions.Utility_DisplayArrayInTable(Fertiliser_SourceData.Fertiliser_ChemicalCompoundElements_Data(),Table_Fertiliser_ChemicalCompounds[[#Headers],[Fertiliser type f]], 0)</f>
        <v>1</v>
      </c>
      <c r="F27" s="148" cm="1">
        <f t="array" ref="F27">Common_InputFunctions.Utility_DisplayArrayInTable(Fertiliser_SourceData.Fertiliser_ChemicalCompoundElements_Data(),Table_Fertiliser_ChemicalCompounds[[#Headers],[Fertiliser type f]], 0)</f>
        <v>0</v>
      </c>
      <c r="G27" s="148" t="str" cm="1">
        <f t="array" ref="G27">Common_InputFunctions.Utility_DisplayArrayInTable(Fertiliser_SourceData.Fertiliser_ChemicalCompoundElements_Data(),Table_Fertiliser_ChemicalCompounds[[#Headers],[Fertiliser type f]], 0)</f>
        <v>Ammonium-based fertilisers</v>
      </c>
      <c r="H27" s="148" t="str" cm="1">
        <f t="array" ref="H27">Common_InputFunctions.Utility_DisplayArrayInTable(Fertiliser_SourceData.Fertiliser_ChemicalCompoundElements_Data(),Table_Fertiliser_ChemicalCompounds[[#Headers],[Fertiliser type f]], 0)</f>
        <v>Nitrogen - Ammoniacal</v>
      </c>
      <c r="I27" s="148" t="str" cm="1">
        <f t="array" ref="I27">Common_InputFunctions.Utility_DisplayArrayInTable(Fertiliser_SourceData.Fertiliser_ChemicalCompoundElements_Data(),Table_Fertiliser_ChemicalCompounds[[#Headers],[Fertiliser type f]], 0)</f>
        <v>LifeCycles</v>
      </c>
      <c r="K27" s="19" t="str" cm="1">
        <f t="array" ref="K27">Common_InputFunctions.Utility_DisplayArrayInTable(Fertiliser_SourceData.Fertiliser_FractionNCommonFertilisers_Data(), Table2[[#Headers],[Fertiliser type f]], 0)</f>
        <v>Ammonium Sulfate</v>
      </c>
      <c r="L27" s="19" cm="1">
        <f t="array" ref="L27">Common_InputFunctions.Utility_DisplayArrayInTable(Fertiliser_SourceData.Fertiliser_FractionNCommonFertilisers_Data(), Table2[[#Headers],[Fertiliser type f]], 0)</f>
        <v>0.21</v>
      </c>
      <c r="Q27" s="19" t="str" cm="1">
        <f t="array" ref="Q27">Common_InputFunctions.Utility_DisplayArrayInTable(Fertiliser_SourceData.Fertiliser_FractionUreaCommonFertilisers_Data(), Table28[[#Headers],[Fertiliser type f]], 0)</f>
        <v>Ammonium Sulfate</v>
      </c>
      <c r="R27" s="19" cm="1">
        <f t="array" ref="R27">Common_InputFunctions.Utility_DisplayArrayInTable(Fertiliser_SourceData.Fertiliser_FractionUreaCommonFertilisers_Data(), Table28[[#Headers],[Fertiliser type f]], 0)</f>
        <v>0</v>
      </c>
    </row>
    <row r="28" spans="1:22" ht="20.100000000000001" customHeight="1" x14ac:dyDescent="0.2">
      <c r="A28" s="5" t="str">
        <f>HYPERLINK("#'4.6.1.3-4 Direct N20'!A1", "4.6.1.3-4 Manure Direct N2O")</f>
        <v>4.6.1.3-4 Manure Direct N2O</v>
      </c>
      <c r="D28" s="148" t="str" cm="1">
        <f t="array" ref="D28">Common_InputFunctions.Utility_DisplayArrayInTable(Fertiliser_SourceData.Fertiliser_ChemicalCompoundElements_Data(),Table_Fertiliser_ChemicalCompounds[[#Headers],[Fertiliser type f]], 0)</f>
        <v>Nitrogen - Nitrate</v>
      </c>
      <c r="E28" s="148" cm="1">
        <f t="array" ref="E28">Common_InputFunctions.Utility_DisplayArrayInTable(Fertiliser_SourceData.Fertiliser_ChemicalCompoundElements_Data(),Table_Fertiliser_ChemicalCompounds[[#Headers],[Fertiliser type f]], 0)</f>
        <v>1</v>
      </c>
      <c r="F28" s="148" cm="1">
        <f t="array" ref="F28">Common_InputFunctions.Utility_DisplayArrayInTable(Fertiliser_SourceData.Fertiliser_ChemicalCompoundElements_Data(),Table_Fertiliser_ChemicalCompounds[[#Headers],[Fertiliser type f]], 0)</f>
        <v>0</v>
      </c>
      <c r="G28" s="148" t="str" cm="1">
        <f t="array" ref="G28">Common_InputFunctions.Utility_DisplayArrayInTable(Fertiliser_SourceData.Fertiliser_ChemicalCompoundElements_Data(),Table_Fertiliser_ChemicalCompounds[[#Headers],[Fertiliser type f]], 0)</f>
        <v>Nitrate-based fertilisers</v>
      </c>
      <c r="H28" s="148" t="str" cm="1">
        <f t="array" ref="H28">Common_InputFunctions.Utility_DisplayArrayInTable(Fertiliser_SourceData.Fertiliser_ChemicalCompoundElements_Data(),Table_Fertiliser_ChemicalCompounds[[#Headers],[Fertiliser type f]], 0)</f>
        <v>Nitrogen from Nitrate</v>
      </c>
      <c r="I28" s="148" t="str" cm="1">
        <f t="array" ref="I28">Common_InputFunctions.Utility_DisplayArrayInTable(Fertiliser_SourceData.Fertiliser_ChemicalCompoundElements_Data(),Table_Fertiliser_ChemicalCompounds[[#Headers],[Fertiliser type f]], 0)</f>
        <v>LifeCycles</v>
      </c>
      <c r="K28" s="19" t="str" cm="1">
        <f t="array" ref="K28">Common_InputFunctions.Utility_DisplayArrayInTable(Fertiliser_SourceData.Fertiliser_FractionNCommonFertilisers_Data(), Table2[[#Headers],[Fertiliser type f]], 0)</f>
        <v>Calcium Nitrate</v>
      </c>
      <c r="L28" s="19" cm="1">
        <f t="array" ref="L28">Common_InputFunctions.Utility_DisplayArrayInTable(Fertiliser_SourceData.Fertiliser_FractionNCommonFertilisers_Data(), Table2[[#Headers],[Fertiliser type f]], 0)</f>
        <v>0.155</v>
      </c>
      <c r="Q28" s="19" t="str" cm="1">
        <f t="array" ref="Q28">Common_InputFunctions.Utility_DisplayArrayInTable(Fertiliser_SourceData.Fertiliser_FractionUreaCommonFertilisers_Data(), Table28[[#Headers],[Fertiliser type f]], 0)</f>
        <v>Calcium Nitrate</v>
      </c>
      <c r="R28" s="19" cm="1">
        <f t="array" ref="R28">Common_InputFunctions.Utility_DisplayArrayInTable(Fertiliser_SourceData.Fertiliser_FractionUreaCommonFertilisers_Data(), Table28[[#Headers],[Fertiliser type f]], 0)</f>
        <v>0</v>
      </c>
    </row>
    <row r="29" spans="1:22" ht="20.100000000000001" customHeight="1" x14ac:dyDescent="0.2">
      <c r="A29" s="5" t="str">
        <f>HYPERLINK("#'4.6.1.5-6 Atmos Dep'!A1", "4.6.1.5-6 Manure Atmos Dep")</f>
        <v>4.6.1.5-6 Manure Atmos Dep</v>
      </c>
      <c r="D29" s="148" t="str" cm="1">
        <f t="array" ref="D29">Common_InputFunctions.Utility_DisplayArrayInTable(Fertiliser_SourceData.Fertiliser_ChemicalCompoundElements_Data(),Table_Fertiliser_ChemicalCompounds[[#Headers],[Fertiliser type f]], 0)</f>
        <v>Nitrogen - Generic</v>
      </c>
      <c r="E29" s="148" cm="1">
        <f t="array" ref="E29">Common_InputFunctions.Utility_DisplayArrayInTable(Fertiliser_SourceData.Fertiliser_ChemicalCompoundElements_Data(),Table_Fertiliser_ChemicalCompounds[[#Headers],[Fertiliser type f]], 0)</f>
        <v>1</v>
      </c>
      <c r="F29" s="148" cm="1">
        <f t="array" ref="F29">Common_InputFunctions.Utility_DisplayArrayInTable(Fertiliser_SourceData.Fertiliser_ChemicalCompoundElements_Data(),Table_Fertiliser_ChemicalCompounds[[#Headers],[Fertiliser type f]], 0)</f>
        <v>0</v>
      </c>
      <c r="G29" s="148" t="str" cm="1">
        <f t="array" ref="G29">Common_InputFunctions.Utility_DisplayArrayInTable(Fertiliser_SourceData.Fertiliser_ChemicalCompoundElements_Data(),Table_Fertiliser_ChemicalCompounds[[#Headers],[Fertiliser type f]], 0)</f>
        <v>Urea-based fertilisers</v>
      </c>
      <c r="H29" s="148" t="str" cm="1">
        <f t="array" ref="H29">Common_InputFunctions.Utility_DisplayArrayInTable(Fertiliser_SourceData.Fertiliser_ChemicalCompoundElements_Data(),Table_Fertiliser_ChemicalCompounds[[#Headers],[Fertiliser type f]], 0)</f>
        <v>Nitrogen from fertiliser</v>
      </c>
      <c r="I29" s="148" t="str" cm="1">
        <f t="array" ref="I29">Common_InputFunctions.Utility_DisplayArrayInTable(Fertiliser_SourceData.Fertiliser_ChemicalCompoundElements_Data(),Table_Fertiliser_ChemicalCompounds[[#Headers],[Fertiliser type f]], 0)</f>
        <v>LifeCycles</v>
      </c>
    </row>
    <row r="30" spans="1:22" ht="20.100000000000001" customHeight="1" x14ac:dyDescent="0.2">
      <c r="A30" s="5" t="str">
        <f>HYPERLINK("#'4.6.1.7-8 Leaching and runoff'!A1", "4.6.1.7-8 Manure Leaching and runoff")</f>
        <v>4.6.1.7-8 Manure Leaching and runoff</v>
      </c>
      <c r="D30" s="148" t="str" cm="1">
        <f t="array" ref="D30">Common_InputFunctions.Utility_DisplayArrayInTable(Fertiliser_SourceData.Fertiliser_ChemicalCompoundElements_Data(),Table_Fertiliser_ChemicalCompounds[[#Headers],[Fertiliser type f]], 0)</f>
        <v>Phosphorus - Generic</v>
      </c>
      <c r="E30" s="148" cm="1">
        <f t="array" ref="E30">Common_InputFunctions.Utility_DisplayArrayInTable(Fertiliser_SourceData.Fertiliser_ChemicalCompoundElements_Data(),Table_Fertiliser_ChemicalCompounds[[#Headers],[Fertiliser type f]], 0)</f>
        <v>0</v>
      </c>
      <c r="F30" s="148" cm="1">
        <f t="array" ref="F30">Common_InputFunctions.Utility_DisplayArrayInTable(Fertiliser_SourceData.Fertiliser_ChemicalCompoundElements_Data(),Table_Fertiliser_ChemicalCompounds[[#Headers],[Fertiliser type f]], 0)</f>
        <v>0</v>
      </c>
      <c r="G30" s="148" t="str" cm="1">
        <f t="array" ref="G30">Common_InputFunctions.Utility_DisplayArrayInTable(Fertiliser_SourceData.Fertiliser_ChemicalCompoundElements_Data(),Table_Fertiliser_ChemicalCompounds[[#Headers],[Fertiliser type f]], 0)</f>
        <v>Other fertilisers</v>
      </c>
      <c r="H30" s="148" t="str" cm="1">
        <f t="array" ref="H30">Common_InputFunctions.Utility_DisplayArrayInTable(Fertiliser_SourceData.Fertiliser_ChemicalCompoundElements_Data(),Table_Fertiliser_ChemicalCompounds[[#Headers],[Fertiliser type f]], 0)</f>
        <v>Phosphorus from fertiliser</v>
      </c>
      <c r="I30" s="148" t="str" cm="1">
        <f t="array" ref="I30">Common_InputFunctions.Utility_DisplayArrayInTable(Fertiliser_SourceData.Fertiliser_ChemicalCompoundElements_Data(),Table_Fertiliser_ChemicalCompounds[[#Headers],[Fertiliser type f]], 0)</f>
        <v>LifeCycles</v>
      </c>
    </row>
    <row r="31" spans="1:22" ht="20.100000000000001" customHeight="1" x14ac:dyDescent="0.2">
      <c r="A31" s="5" t="str">
        <f>HYPERLINK("#'4.6.1.9 Manure applied to soils'!A1", "4.6.1.9 Manure applied to soils")</f>
        <v>4.6.1.9 Manure applied to soils</v>
      </c>
      <c r="D31" s="148" t="str" cm="1">
        <f t="array" ref="D31">Common_InputFunctions.Utility_DisplayArrayInTable(Fertiliser_SourceData.Fertiliser_ChemicalCompoundElements_Data(),Table_Fertiliser_ChemicalCompounds[[#Headers],[Fertiliser type f]], 0)</f>
        <v>Potassium - Generic</v>
      </c>
      <c r="E31" s="148" cm="1">
        <f t="array" ref="E31">Common_InputFunctions.Utility_DisplayArrayInTable(Fertiliser_SourceData.Fertiliser_ChemicalCompoundElements_Data(),Table_Fertiliser_ChemicalCompounds[[#Headers],[Fertiliser type f]], 0)</f>
        <v>0</v>
      </c>
      <c r="F31" s="148" cm="1">
        <f t="array" ref="F31">Common_InputFunctions.Utility_DisplayArrayInTable(Fertiliser_SourceData.Fertiliser_ChemicalCompoundElements_Data(),Table_Fertiliser_ChemicalCompounds[[#Headers],[Fertiliser type f]], 0)</f>
        <v>0</v>
      </c>
      <c r="G31" s="148" t="str" cm="1">
        <f t="array" ref="G31">Common_InputFunctions.Utility_DisplayArrayInTable(Fertiliser_SourceData.Fertiliser_ChemicalCompoundElements_Data(),Table_Fertiliser_ChemicalCompounds[[#Headers],[Fertiliser type f]], 0)</f>
        <v>Other fertilisers</v>
      </c>
      <c r="H31" s="148" t="str" cm="1">
        <f t="array" ref="H31">Common_InputFunctions.Utility_DisplayArrayInTable(Fertiliser_SourceData.Fertiliser_ChemicalCompoundElements_Data(),Table_Fertiliser_ChemicalCompounds[[#Headers],[Fertiliser type f]], 0)</f>
        <v>Potassium from fertiliser</v>
      </c>
      <c r="I31" s="148" t="str" cm="1">
        <f t="array" ref="I31">Common_InputFunctions.Utility_DisplayArrayInTable(Fertiliser_SourceData.Fertiliser_ChemicalCompoundElements_Data(),Table_Fertiliser_ChemicalCompounds[[#Headers],[Fertiliser type f]], 0)</f>
        <v>LifeCycles</v>
      </c>
    </row>
    <row r="32" spans="1:22" ht="20.100000000000001" customHeight="1" x14ac:dyDescent="0.2">
      <c r="A32" s="5" t="str">
        <f>HYPERLINK("#'4.6.1.10-11 Soil direct N2O'!A1", "4.6.1.10-11 Soil direct N2O")</f>
        <v>4.6.1.10-11 Soil direct N2O</v>
      </c>
      <c r="D32" s="148" t="str" cm="1">
        <f t="array" ref="D32">Common_InputFunctions.Utility_DisplayArrayInTable(Fertiliser_SourceData.Fertiliser_ChemicalCompoundElements_Data(),Table_Fertiliser_ChemicalCompounds[[#Headers],[Fertiliser type f]], 0)</f>
        <v>Sulfur - Generic</v>
      </c>
      <c r="E32" s="148" cm="1">
        <f t="array" ref="E32">Common_InputFunctions.Utility_DisplayArrayInTable(Fertiliser_SourceData.Fertiliser_ChemicalCompoundElements_Data(),Table_Fertiliser_ChemicalCompounds[[#Headers],[Fertiliser type f]], 0)</f>
        <v>0</v>
      </c>
      <c r="F32" s="148" cm="1">
        <f t="array" ref="F32">Common_InputFunctions.Utility_DisplayArrayInTable(Fertiliser_SourceData.Fertiliser_ChemicalCompoundElements_Data(),Table_Fertiliser_ChemicalCompounds[[#Headers],[Fertiliser type f]], 0)</f>
        <v>0</v>
      </c>
      <c r="G32" s="148" t="str" cm="1">
        <f t="array" ref="G32">Common_InputFunctions.Utility_DisplayArrayInTable(Fertiliser_SourceData.Fertiliser_ChemicalCompoundElements_Data(),Table_Fertiliser_ChemicalCompounds[[#Headers],[Fertiliser type f]], 0)</f>
        <v>Other fertilisers</v>
      </c>
      <c r="H32" s="148" t="str" cm="1">
        <f t="array" ref="H32">Common_InputFunctions.Utility_DisplayArrayInTable(Fertiliser_SourceData.Fertiliser_ChemicalCompoundElements_Data(),Table_Fertiliser_ChemicalCompounds[[#Headers],[Fertiliser type f]], 0)</f>
        <v>Sulfur from fertiliser</v>
      </c>
      <c r="I32" s="148" t="str" cm="1">
        <f t="array" ref="I32">Common_InputFunctions.Utility_DisplayArrayInTable(Fertiliser_SourceData.Fertiliser_ChemicalCompoundElements_Data(),Table_Fertiliser_ChemicalCompounds[[#Headers],[Fertiliser type f]], 0)</f>
        <v>LifeCycles</v>
      </c>
    </row>
    <row r="33" spans="1:10" ht="20.100000000000001" customHeight="1" x14ac:dyDescent="0.2">
      <c r="A33" s="5" t="str">
        <f>HYPERLINK("#'4.6.1.12-13 Soil atmos dep'!A1", "4.6.1.12-13 Soil atmos dep")</f>
        <v>4.6.1.12-13 Soil atmos dep</v>
      </c>
      <c r="D33" s="148" t="str" cm="1">
        <f t="array" ref="D33">Common_InputFunctions.Utility_DisplayArrayInTable(Fertiliser_SourceData.Fertiliser_ChemicalCompoundElements_Data(),Table_Fertiliser_ChemicalCompounds[[#Headers],[Fertiliser type f]], 0)</f>
        <v>Zinc - Generic</v>
      </c>
      <c r="E33" s="148" cm="1">
        <f t="array" ref="E33">Common_InputFunctions.Utility_DisplayArrayInTable(Fertiliser_SourceData.Fertiliser_ChemicalCompoundElements_Data(),Table_Fertiliser_ChemicalCompounds[[#Headers],[Fertiliser type f]], 0)</f>
        <v>0</v>
      </c>
      <c r="F33" s="148" cm="1">
        <f t="array" ref="F33">Common_InputFunctions.Utility_DisplayArrayInTable(Fertiliser_SourceData.Fertiliser_ChemicalCompoundElements_Data(),Table_Fertiliser_ChemicalCompounds[[#Headers],[Fertiliser type f]], 0)</f>
        <v>0</v>
      </c>
      <c r="G33" s="148" t="str" cm="1">
        <f t="array" ref="G33">Common_InputFunctions.Utility_DisplayArrayInTable(Fertiliser_SourceData.Fertiliser_ChemicalCompoundElements_Data(),Table_Fertiliser_ChemicalCompounds[[#Headers],[Fertiliser type f]], 0)</f>
        <v>Other fertilisers</v>
      </c>
      <c r="H33" s="148" t="str" cm="1">
        <f t="array" ref="H33">Common_InputFunctions.Utility_DisplayArrayInTable(Fertiliser_SourceData.Fertiliser_ChemicalCompoundElements_Data(),Table_Fertiliser_ChemicalCompounds[[#Headers],[Fertiliser type f]], 0)</f>
        <v>Zinc from fertiliser</v>
      </c>
      <c r="I33" s="148" t="str" cm="1">
        <f t="array" ref="I33">Common_InputFunctions.Utility_DisplayArrayInTable(Fertiliser_SourceData.Fertiliser_ChemicalCompoundElements_Data(),Table_Fertiliser_ChemicalCompounds[[#Headers],[Fertiliser type f]], 0)</f>
        <v>LifeCycles</v>
      </c>
    </row>
    <row r="34" spans="1:10" ht="20.100000000000001" customHeight="1" x14ac:dyDescent="0.2">
      <c r="A34" s="5" t="str">
        <f>HYPERLINK("#'4.6.1.14-15 Soil leach runoff'!A1", "4.6.1.14-15 Soil leach runoff")</f>
        <v>4.6.1.14-15 Soil leach runoff</v>
      </c>
      <c r="D34" s="148" t="str" cm="1">
        <f t="array" ref="D34">Common_InputFunctions.Utility_DisplayArrayInTable(Fertiliser_SourceData.Fertiliser_ChemicalCompoundElements_Data(),Table_Fertiliser_ChemicalCompounds[[#Headers],[Fertiliser type f]], 0)</f>
        <v>Muriate of potash (MOP)</v>
      </c>
      <c r="E34" s="148" cm="1">
        <f t="array" ref="E34">Common_InputFunctions.Utility_DisplayArrayInTable(Fertiliser_SourceData.Fertiliser_ChemicalCompoundElements_Data(),Table_Fertiliser_ChemicalCompounds[[#Headers],[Fertiliser type f]], 0)</f>
        <v>0</v>
      </c>
      <c r="F34" s="148" cm="1">
        <f t="array" ref="F34">Common_InputFunctions.Utility_DisplayArrayInTable(Fertiliser_SourceData.Fertiliser_ChemicalCompoundElements_Data(),Table_Fertiliser_ChemicalCompounds[[#Headers],[Fertiliser type f]], 0)</f>
        <v>0</v>
      </c>
      <c r="G34" s="148" t="str" cm="1">
        <f t="array" ref="G34">Common_InputFunctions.Utility_DisplayArrayInTable(Fertiliser_SourceData.Fertiliser_ChemicalCompoundElements_Data(),Table_Fertiliser_ChemicalCompounds[[#Headers],[Fertiliser type f]], 0)</f>
        <v>Other fertilisers</v>
      </c>
      <c r="H34" s="148" t="str" cm="1">
        <f t="array" ref="H34">Common_InputFunctions.Utility_DisplayArrayInTable(Fertiliser_SourceData.Fertiliser_ChemicalCompoundElements_Data(),Table_Fertiliser_ChemicalCompounds[[#Headers],[Fertiliser type f]], 0)</f>
        <v>Muriate of potash (MOP)</v>
      </c>
      <c r="I34" s="148" t="str" cm="1">
        <f t="array" ref="I34">Common_InputFunctions.Utility_DisplayArrayInTable(Fertiliser_SourceData.Fertiliser_ChemicalCompoundElements_Data(),Table_Fertiliser_ChemicalCompounds[[#Headers],[Fertiliser type f]], 0)</f>
        <v>LifeCycles</v>
      </c>
    </row>
    <row r="35" spans="1:10" ht="20.100000000000001" customHeight="1" x14ac:dyDescent="0.2">
      <c r="A35" s="5" t="str">
        <f>HYPERLINK("#'8.1.1.1-2 Transport fuel'!A1", "8.1.1.1-2 Transport fuel")</f>
        <v>8.1.1.1-2 Transport fuel</v>
      </c>
      <c r="D35" s="148" t="str" cm="1">
        <f t="array" ref="D35">Common_InputFunctions.Utility_DisplayArrayInTable(Fertiliser_SourceData.Fertiliser_ChemicalCompoundElements_Data(),Table_Fertiliser_ChemicalCompounds[[#Headers],[Fertiliser type f]], 0)</f>
        <v>Double superphosphate</v>
      </c>
      <c r="E35" s="148" cm="1">
        <f t="array" ref="E35">Common_InputFunctions.Utility_DisplayArrayInTable(Fertiliser_SourceData.Fertiliser_ChemicalCompoundElements_Data(),Table_Fertiliser_ChemicalCompounds[[#Headers],[Fertiliser type f]], 0)</f>
        <v>0</v>
      </c>
      <c r="F35" s="148" cm="1">
        <f t="array" ref="F35">Common_InputFunctions.Utility_DisplayArrayInTable(Fertiliser_SourceData.Fertiliser_ChemicalCompoundElements_Data(),Table_Fertiliser_ChemicalCompounds[[#Headers],[Fertiliser type f]], 0)</f>
        <v>0</v>
      </c>
      <c r="G35" s="148" t="str" cm="1">
        <f t="array" ref="G35">Common_InputFunctions.Utility_DisplayArrayInTable(Fertiliser_SourceData.Fertiliser_ChemicalCompoundElements_Data(),Table_Fertiliser_ChemicalCompounds[[#Headers],[Fertiliser type f]], 0)</f>
        <v>Other fertilisers</v>
      </c>
      <c r="H35" s="148" t="str" cm="1">
        <f t="array" ref="H35">Common_InputFunctions.Utility_DisplayArrayInTable(Fertiliser_SourceData.Fertiliser_ChemicalCompoundElements_Data(),Table_Fertiliser_ChemicalCompounds[[#Headers],[Fertiliser type f]], 0)</f>
        <v>Double superphosphate</v>
      </c>
      <c r="I35" s="148" t="str" cm="1">
        <f t="array" ref="I35">Common_InputFunctions.Utility_DisplayArrayInTable(Fertiliser_SourceData.Fertiliser_ChemicalCompoundElements_Data(),Table_Fertiliser_ChemicalCompounds[[#Headers],[Fertiliser type f]], 0)</f>
        <v>LifeCycles</v>
      </c>
    </row>
    <row r="36" spans="1:10" ht="20.100000000000001" customHeight="1" x14ac:dyDescent="0.2">
      <c r="A36" s="5" t="str">
        <f>HYPERLINK("#'8.2.1.1-2 Stationary fuel'!A1", "8.2.1.1-2 Stationary fuel")</f>
        <v>8.2.1.1-2 Stationary fuel</v>
      </c>
      <c r="D36" s="148" t="str" cm="1">
        <f t="array" ref="D36">Common_InputFunctions.Utility_DisplayArrayInTable(Fertiliser_SourceData.Fertiliser_ChemicalCompoundElements_Data(),Table_Fertiliser_ChemicalCompounds[[#Headers],[Fertiliser type f]], 0)</f>
        <v>Single superphosphate (SSP)</v>
      </c>
      <c r="E36" s="148" cm="1">
        <f t="array" ref="E36">Common_InputFunctions.Utility_DisplayArrayInTable(Fertiliser_SourceData.Fertiliser_ChemicalCompoundElements_Data(),Table_Fertiliser_ChemicalCompounds[[#Headers],[Fertiliser type f]], 0)</f>
        <v>0</v>
      </c>
      <c r="F36" s="148" cm="1">
        <f t="array" ref="F36">Common_InputFunctions.Utility_DisplayArrayInTable(Fertiliser_SourceData.Fertiliser_ChemicalCompoundElements_Data(),Table_Fertiliser_ChemicalCompounds[[#Headers],[Fertiliser type f]], 0)</f>
        <v>0</v>
      </c>
      <c r="G36" s="148" t="str" cm="1">
        <f t="array" ref="G36">Common_InputFunctions.Utility_DisplayArrayInTable(Fertiliser_SourceData.Fertiliser_ChemicalCompoundElements_Data(),Table_Fertiliser_ChemicalCompounds[[#Headers],[Fertiliser type f]], 0)</f>
        <v>Other fertilisers</v>
      </c>
      <c r="H36" s="148" t="str" cm="1">
        <f t="array" ref="H36">Common_InputFunctions.Utility_DisplayArrayInTable(Fertiliser_SourceData.Fertiliser_ChemicalCompoundElements_Data(),Table_Fertiliser_ChemicalCompounds[[#Headers],[Fertiliser type f]], 0)</f>
        <v>Single superphosphate (SSP)</v>
      </c>
      <c r="I36" s="148" t="str" cm="1">
        <f t="array" ref="I36">Common_InputFunctions.Utility_DisplayArrayInTable(Fertiliser_SourceData.Fertiliser_ChemicalCompoundElements_Data(),Table_Fertiliser_ChemicalCompounds[[#Headers],[Fertiliser type f]], 0)</f>
        <v>LifeCycles</v>
      </c>
    </row>
    <row r="37" spans="1:10" ht="20.100000000000001" customHeight="1" x14ac:dyDescent="0.2">
      <c r="A37" s="5" t="str">
        <f>HYPERLINK("#'10.1.1-2 Solid waste treatment'!A1", "10.1.1.1-2 Solid waste")</f>
        <v>10.1.1.1-2 Solid waste</v>
      </c>
      <c r="D37" s="148" t="str" cm="1">
        <f t="array" ref="D37">Common_InputFunctions.Utility_DisplayArrayInTable(Fertiliser_SourceData.Fertiliser_ChemicalCompoundElements_Data(),Table_Fertiliser_ChemicalCompounds[[#Headers],[Fertiliser type f]], 0)</f>
        <v>Ammonia</v>
      </c>
      <c r="E37" s="148" cm="1">
        <f t="array" ref="E37">Common_InputFunctions.Utility_DisplayArrayInTable(Fertiliser_SourceData.Fertiliser_ChemicalCompoundElements_Data(),Table_Fertiliser_ChemicalCompounds[[#Headers],[Fertiliser type f]], 0)</f>
        <v>0.82350000000000001</v>
      </c>
      <c r="F37" s="148" cm="1">
        <f t="array" ref="F37">Common_InputFunctions.Utility_DisplayArrayInTable(Fertiliser_SourceData.Fertiliser_ChemicalCompoundElements_Data(),Table_Fertiliser_ChemicalCompounds[[#Headers],[Fertiliser type f]], 0)</f>
        <v>0</v>
      </c>
      <c r="G37" s="148" t="str" cm="1">
        <f t="array" ref="G37">Common_InputFunctions.Utility_DisplayArrayInTable(Fertiliser_SourceData.Fertiliser_ChemicalCompoundElements_Data(),Table_Fertiliser_ChemicalCompounds[[#Headers],[Fertiliser type f]], 0)</f>
        <v>Ammonium-based fertilisers</v>
      </c>
      <c r="H37" s="148" t="str" cm="1">
        <f t="array" ref="H37">Common_InputFunctions.Utility_DisplayArrayInTable(Fertiliser_SourceData.Fertiliser_ChemicalCompoundElements_Data(),Table_Fertiliser_ChemicalCompounds[[#Headers],[Fertiliser type f]], 0)</f>
        <v>Ammonia</v>
      </c>
      <c r="I37" s="148" t="str" cm="1">
        <f t="array" ref="I37">Common_InputFunctions.Utility_DisplayArrayInTable(Fertiliser_SourceData.Fertiliser_ChemicalCompoundElements_Data(),Table_Fertiliser_ChemicalCompounds[[#Headers],[Fertiliser type f]], 0)</f>
        <v>LifeCycles</v>
      </c>
    </row>
    <row r="38" spans="1:10" ht="20.100000000000001" customHeight="1" x14ac:dyDescent="0.2">
      <c r="A38" s="5" t="str">
        <f>HYPERLINK("#'14.1.1-2 Purchased electricity'!A1", "14.1.1-2 Purchased electricity")</f>
        <v>14.1.1-2 Purchased electricity</v>
      </c>
      <c r="D38" s="19" t="str" cm="1">
        <f t="array" ref="D38">Common_InputFunctions.Utility_DisplayArrayInTable(Fertiliser_SourceData.Fertiliser_ChemicalCompoundElements_Data(),Table_Fertiliser_ChemicalCompounds[[#Headers],[Fertiliser type f]], 0)</f>
        <v>Calcium nitrate</v>
      </c>
      <c r="E38" s="19" cm="1">
        <f t="array" ref="E38">Common_InputFunctions.Utility_DisplayArrayInTable(Fertiliser_SourceData.Fertiliser_ChemicalCompoundElements_Data(),Table_Fertiliser_ChemicalCompounds[[#Headers],[Fertiliser type f]], 0)</f>
        <v>0.155</v>
      </c>
      <c r="F38" s="19" cm="1">
        <f t="array" ref="F38">Common_InputFunctions.Utility_DisplayArrayInTable(Fertiliser_SourceData.Fertiliser_ChemicalCompoundElements_Data(),Table_Fertiliser_ChemicalCompounds[[#Headers],[Fertiliser type f]], 0)</f>
        <v>0</v>
      </c>
      <c r="G38" s="19" t="str" cm="1">
        <f t="array" ref="G38">Common_InputFunctions.Utility_DisplayArrayInTable(Fertiliser_SourceData.Fertiliser_ChemicalCompoundElements_Data(),Table_Fertiliser_ChemicalCompounds[[#Headers],[Fertiliser type f]], 0)</f>
        <v>Nitrate-based fertilisers</v>
      </c>
      <c r="H38" s="19" t="str" cm="1">
        <f t="array" ref="H38">Common_InputFunctions.Utility_DisplayArrayInTable(Fertiliser_SourceData.Fertiliser_ChemicalCompoundElements_Data(),Table_Fertiliser_ChemicalCompounds[[#Headers],[Fertiliser type f]], 0)</f>
        <v>Calcium nitrate</v>
      </c>
      <c r="I38" s="19" t="str" cm="1">
        <f t="array" ref="I38">Common_InputFunctions.Utility_DisplayArrayInTable(Fertiliser_SourceData.Fertiliser_ChemicalCompoundElements_Data(),Table_Fertiliser_ChemicalCompounds[[#Headers],[Fertiliser type f]], 0)</f>
        <v>VEERG</v>
      </c>
    </row>
    <row r="39" spans="1:10" ht="20.100000000000001" customHeight="1" x14ac:dyDescent="0.2">
      <c r="A39" s="5" t="str">
        <f>HYPERLINK("#'15 Scope 3'!A1", "15 Scope 3")</f>
        <v>15 Scope 3</v>
      </c>
    </row>
    <row r="40" spans="1:10" ht="20.100000000000001" customHeight="1" x14ac:dyDescent="0.2">
      <c r="A40" s="5" t="str">
        <f>HYPERLINK("#'Calcs - Manure sent off-site'!A1", "Calcs - Manure sent off-site")</f>
        <v>Calcs - Manure sent off-site</v>
      </c>
      <c r="D40" s="2" t="s">
        <v>849</v>
      </c>
      <c r="F40" s="2" t="s">
        <v>850</v>
      </c>
      <c r="H40" s="2" t="s">
        <v>515</v>
      </c>
      <c r="J40" s="2" t="s">
        <v>851</v>
      </c>
    </row>
    <row r="41" spans="1:10" ht="20.100000000000001" customHeight="1" x14ac:dyDescent="0.2">
      <c r="A41" s="5" t="str">
        <f>HYPERLINK("#'5.1.1.1-2 Inorganic fert N2O'!A1", "5.1.1.1-2 Inorganic fert N2O")</f>
        <v>5.1.1.1-2 Inorganic fert N2O</v>
      </c>
      <c r="D41" s="19" t="s">
        <v>311</v>
      </c>
      <c r="F41" s="19" t="s">
        <v>311</v>
      </c>
      <c r="H41" s="19" t="s">
        <v>63</v>
      </c>
      <c r="J41" s="19" t="s">
        <v>852</v>
      </c>
    </row>
    <row r="42" spans="1:10" ht="20.100000000000001" customHeight="1" x14ac:dyDescent="0.2">
      <c r="A42" s="5" t="str">
        <f>HYPERLINK("#'5.1.1.3-4 Inorganic fert CO2'!A1", "5.1.1.3-4 Inorganic fert CO2")</f>
        <v>5.1.1.3-4 Inorganic fert CO2</v>
      </c>
      <c r="D42" s="19" t="s">
        <v>853</v>
      </c>
      <c r="F42" s="19" t="s">
        <v>853</v>
      </c>
      <c r="H42" s="19" t="s">
        <v>516</v>
      </c>
      <c r="J42" s="19" t="s">
        <v>854</v>
      </c>
    </row>
    <row r="43" spans="1:10" ht="20.100000000000001" customHeight="1" x14ac:dyDescent="0.2">
      <c r="A43" s="5" t="str">
        <f>HYPERLINK("#'5.2.1.1-2 Organic Fert N2O'!A1", "5.2.1.1-2 Organic Fert N2O")</f>
        <v>5.2.1.1-2 Organic Fert N2O</v>
      </c>
      <c r="D43" s="1" t="s">
        <v>325</v>
      </c>
      <c r="F43" s="1" t="s">
        <v>855</v>
      </c>
      <c r="H43" s="19" t="s">
        <v>517</v>
      </c>
      <c r="J43" s="1" t="s">
        <v>750</v>
      </c>
    </row>
    <row r="44" spans="1:10" ht="20.100000000000001" customHeight="1" x14ac:dyDescent="0.2">
      <c r="A44" s="5" t="str">
        <f>HYPERLINK("#'5.3.1.1-2 Lime CO2'!A1", "5.3.1.1-2 Lime CO2")</f>
        <v>5.3.1.1-2 Lime CO2</v>
      </c>
      <c r="F44" s="1" t="s">
        <v>683</v>
      </c>
      <c r="H44" s="1" t="s">
        <v>326</v>
      </c>
      <c r="J44" s="1" t="s">
        <v>856</v>
      </c>
    </row>
    <row r="45" spans="1:10" ht="20.100000000000001" customHeight="1" x14ac:dyDescent="0.2">
      <c r="A45" s="5" t="str">
        <f>HYPERLINK("#'5.4.1.1-4 Atmos deposition'!A1", "5.4.1.1-4 Atmos deposition")</f>
        <v>5.4.1.1-4 Atmos deposition</v>
      </c>
      <c r="F45" s="1" t="s">
        <v>789</v>
      </c>
      <c r="H45" s="1" t="s">
        <v>518</v>
      </c>
      <c r="J45" s="1" t="s">
        <v>749</v>
      </c>
    </row>
    <row r="46" spans="1:10" ht="20.100000000000001" customHeight="1" x14ac:dyDescent="0.2">
      <c r="A46" s="5" t="str">
        <f>HYPERLINK("#'5.5.1.1-2 Leaching and runoff'!A1", "5.5.1.1-2 Leaching and runoff")</f>
        <v>5.5.1.1-2 Leaching and runoff</v>
      </c>
      <c r="H46" s="1" t="s">
        <v>519</v>
      </c>
      <c r="J46" s="1" t="s">
        <v>751</v>
      </c>
    </row>
    <row r="48" spans="1:10" ht="20.100000000000001" customHeight="1" x14ac:dyDescent="0.2">
      <c r="D48" s="2" t="str" cm="1">
        <f t="array" ref="D48">Fertiliser_SourceData.Fertiliser_FracGASF_Title()</f>
        <v>Fraction of inorganic fertiliser that volatilises as NH3 and NOx</v>
      </c>
      <c r="G48" s="154"/>
    </row>
    <row r="49" spans="1:8" ht="20.100000000000001" customHeight="1" x14ac:dyDescent="0.2">
      <c r="A49" s="80" t="s">
        <v>1</v>
      </c>
      <c r="D49" s="17" t="str" cm="1">
        <f t="array" ref="D49">Fertiliser_SourceData.Fertiliser_FracGASF_Source()</f>
        <v>Table A.2.2.6: Fraction of inorganic fertiliser f that volatilises as NH3 and NOx ((kg NH3-N + NOx-N)/kg N) (FracGASFf)</v>
      </c>
      <c r="G49" s="154"/>
    </row>
    <row r="50" spans="1:8" ht="20.100000000000001" customHeight="1" x14ac:dyDescent="0.2">
      <c r="A50" s="5" t="str">
        <f>HYPERLINK("#'Constants - Poultry'!A1", "Constants - Poultry")</f>
        <v>Constants - Poultry</v>
      </c>
      <c r="D50" s="19" t="s">
        <v>766</v>
      </c>
      <c r="E50" s="19" t="s">
        <v>857</v>
      </c>
      <c r="G50" s="154"/>
    </row>
    <row r="51" spans="1:8" ht="20.100000000000001" customHeight="1" x14ac:dyDescent="0.2">
      <c r="A51" s="5" t="str">
        <f>HYPERLINK("#'Constants - Common livestock'!A1", "Constants - Common Livestock")</f>
        <v>Constants - Common Livestock</v>
      </c>
      <c r="D51" s="19" t="str" cm="1">
        <f t="array" ref="D51">Common_InputFunctions.Utility_DisplayArrayInTable(Fertiliser_SourceData.Fertiliser_FracGASF_Data(), Table_SourceData_Fertiliser_FracGASF[[#Headers],[Fertiliser type f]], 0)</f>
        <v>Urea-based fertilisers</v>
      </c>
      <c r="E51" s="19" cm="1">
        <f t="array" ref="E51">Common_InputFunctions.Utility_DisplayArrayInTable(Fertiliser_SourceData.Fertiliser_FracGASF_Data(), Table_SourceData_Fertiliser_FracGASF[[#Headers],[Fertiliser type f]], 0)</f>
        <v>0.15</v>
      </c>
      <c r="G51" s="154"/>
    </row>
    <row r="52" spans="1:8" ht="20.100000000000001" customHeight="1" x14ac:dyDescent="0.2">
      <c r="A52" s="5" t="str">
        <f>HYPERLINK("#'Constants - Electricity'!A1", "Constants - Electricity")</f>
        <v>Constants - Electricity</v>
      </c>
      <c r="D52" s="1" t="str" cm="1">
        <f t="array" ref="D52">Common_InputFunctions.Utility_DisplayArrayInTable(Fertiliser_SourceData.Fertiliser_FracGASF_Data(), Table_SourceData_Fertiliser_FracGASF[[#Headers],[Fertiliser type f]], 0)</f>
        <v>Ammonium-based fertilisers</v>
      </c>
      <c r="E52" s="19" cm="1">
        <f t="array" ref="E52">Common_InputFunctions.Utility_DisplayArrayInTable(Fertiliser_SourceData.Fertiliser_FracGASF_Data(), Table_SourceData_Fertiliser_FracGASF[[#Headers],[Fertiliser type f]], 0)</f>
        <v>0.08</v>
      </c>
      <c r="G52" s="154"/>
    </row>
    <row r="53" spans="1:8" ht="20.100000000000001" customHeight="1" x14ac:dyDescent="0.2">
      <c r="A53" s="81" t="str">
        <f>HYPERLINK("#'Constants - Fertiliser'!A1", "Constants - Fertiliser")</f>
        <v>Constants - Fertiliser</v>
      </c>
      <c r="D53" s="1" t="str" cm="1">
        <f t="array" ref="D53">Common_InputFunctions.Utility_DisplayArrayInTable(Fertiliser_SourceData.Fertiliser_FracGASF_Data(), Table_SourceData_Fertiliser_FracGASF[[#Headers],[Fertiliser type f]], 0)</f>
        <v>Nitrate-based fertilisers</v>
      </c>
      <c r="E53" s="19" cm="1">
        <f t="array" ref="E53">Common_InputFunctions.Utility_DisplayArrayInTable(Fertiliser_SourceData.Fertiliser_FracGASF_Data(), Table_SourceData_Fertiliser_FracGASF[[#Headers],[Fertiliser type f]], 0)</f>
        <v>0.01</v>
      </c>
      <c r="G53" s="154"/>
    </row>
    <row r="54" spans="1:8" ht="20.100000000000001" customHeight="1" x14ac:dyDescent="0.2">
      <c r="A54" s="5" t="str">
        <f>HYPERLINK("#'Constants - Fuel'!A1", "Constants - Fuel")</f>
        <v>Constants - Fuel</v>
      </c>
      <c r="D54" s="1" t="str" cm="1">
        <f t="array" ref="D54">Common_InputFunctions.Utility_DisplayArrayInTable(Fertiliser_SourceData.Fertiliser_FracGASF_Data(), Table_SourceData_Fertiliser_FracGASF[[#Headers],[Fertiliser type f]], 0)</f>
        <v>Ammonium-nitrate based fertilisers</v>
      </c>
      <c r="E54" s="19" cm="1">
        <f t="array" ref="E54">Common_InputFunctions.Utility_DisplayArrayInTable(Fertiliser_SourceData.Fertiliser_FracGASF_Data(), Table_SourceData_Fertiliser_FracGASF[[#Headers],[Fertiliser type f]], 0)</f>
        <v>0.05</v>
      </c>
      <c r="G54" s="154"/>
      <c r="H54" s="154"/>
    </row>
    <row r="55" spans="1:8" ht="20.100000000000001" customHeight="1" x14ac:dyDescent="0.2">
      <c r="A55" s="5" t="str">
        <f>HYPERLINK("#'Constants - Scope 3'!A1", "Constants - Scope 3")</f>
        <v>Constants - Scope 3</v>
      </c>
      <c r="D55" s="1" t="str" cm="1">
        <f t="array" ref="D55">Common_InputFunctions.Utility_DisplayArrayInTable(Fertiliser_SourceData.Fertiliser_FracGASF_Data(), Table_SourceData_Fertiliser_FracGASF[[#Headers],[Fertiliser type f]], 0)</f>
        <v>Other fertilisers</v>
      </c>
      <c r="E55" s="19" cm="1">
        <f t="array" ref="E55">Common_InputFunctions.Utility_DisplayArrayInTable(Fertiliser_SourceData.Fertiliser_FracGASF_Data(), Table_SourceData_Fertiliser_FracGASF[[#Headers],[Fertiliser type f]], 0)</f>
        <v>0.11</v>
      </c>
      <c r="G55" s="154"/>
      <c r="H55" s="154"/>
    </row>
    <row r="56" spans="1:8" ht="20.100000000000001" customHeight="1" x14ac:dyDescent="0.2">
      <c r="A56" s="5" t="str">
        <f>HYPERLINK("#'Constants - Solid Waste'!A1", "Constants - Solid Waste")</f>
        <v>Constants - Solid Waste</v>
      </c>
    </row>
    <row r="57" spans="1:8" ht="20.100000000000001" customHeight="1" x14ac:dyDescent="0.2">
      <c r="A57" s="5" t="str">
        <f>HYPERLINK("#'Constants - Common'!A1", "Constants - Common")</f>
        <v>Constants - Common</v>
      </c>
    </row>
    <row r="58" spans="1:8" ht="20.100000000000001" customHeight="1" x14ac:dyDescent="0.2">
      <c r="D58" s="2" t="str" cm="1">
        <f t="array" ref="D58">Fertiliser_SourceData.Fertiliser_EFUreaCO2_Title()</f>
        <v>Emission factor for carbon emissions from urea application</v>
      </c>
    </row>
    <row r="59" spans="1:8" ht="20.100000000000001" customHeight="1" x14ac:dyDescent="0.2">
      <c r="D59" s="17" t="str" cm="1">
        <f t="array" ref="D59">Fertiliser_SourceData.Fertiliser_EFUreaCO2_Source()</f>
        <v>VEERG 2026: 5.1.2.2 Constant Parameters</v>
      </c>
    </row>
    <row r="60" spans="1:8" ht="20.100000000000001" customHeight="1" x14ac:dyDescent="0.2">
      <c r="D60" s="75" t="str" cm="1">
        <f t="array" ref="D60">Fertiliser_SourceData.Fertiliser_EFUreaCO2_Variable()</f>
        <v>EFureaCO2</v>
      </c>
      <c r="E60" s="1" cm="1">
        <f t="array" ref="E60">Fertiliser_SourceData.Fertiliser_EFUreaCO2_Data()</f>
        <v>0.2</v>
      </c>
      <c r="F60" s="9" t="str" cm="1">
        <f t="array" ref="F60">Fertiliser_SourceData.Fertiliser_EFUreaCO2_Unit()</f>
        <v>kg C/kg urea</v>
      </c>
    </row>
    <row r="63" spans="1:8" ht="20.100000000000001" customHeight="1" x14ac:dyDescent="0.2">
      <c r="D63" s="2" t="str" cm="1">
        <f t="array" ref="D63">Fertiliser_SourceData.Fertiliser_LimeDolomiteGypsumConstants_Title()</f>
        <v>Constants for lime, dolomite and gypsum</v>
      </c>
    </row>
    <row r="64" spans="1:8" ht="20.100000000000001" customHeight="1" x14ac:dyDescent="0.2">
      <c r="D64" s="17" t="str" cm="1">
        <f t="array" ref="D64">Fertiliser_SourceData.Fertiliser_LimeDolomiteGypsumConstants_Source()</f>
        <v>VEERG 2026: 5.3.2.3 Constant Parameters</v>
      </c>
    </row>
    <row r="65" spans="1:6" ht="20.100000000000001" customHeight="1" x14ac:dyDescent="0.2">
      <c r="D65" s="19" t="s">
        <v>810</v>
      </c>
      <c r="E65" s="19" t="s">
        <v>858</v>
      </c>
      <c r="F65" s="19" t="s">
        <v>786</v>
      </c>
    </row>
    <row r="66" spans="1:6" ht="20.100000000000001" customHeight="1" x14ac:dyDescent="0.2">
      <c r="D66" s="19" t="str" cm="1">
        <f t="array" ref="D66">Common_InputFunctions.Utility_DisplayArrayInTable(Fertiliser_SourceData.Fertiliser_LimeDolomiteGypsumConstants_Data(), Table_SourceData_Fertiliser_LimeDolomiteConstants[[#Headers],[Element]], 0)</f>
        <v>Lime (Calcium carbonate)</v>
      </c>
      <c r="E66" s="19" cm="1">
        <f t="array" ref="E66">Common_InputFunctions.Utility_DisplayArrayInTable(Fertiliser_SourceData.Fertiliser_LimeDolomiteGypsumConstants_Data(), Table_SourceData_Fertiliser_LimeDolomiteConstants[[#Headers],[Element]], 0)</f>
        <v>0.9</v>
      </c>
      <c r="F66" s="19" cm="1">
        <f t="array" ref="F66">Common_InputFunctions.Utility_DisplayArrayInTable(Fertiliser_SourceData.Fertiliser_LimeDolomiteGypsumConstants_Data(), Table_SourceData_Fertiliser_LimeDolomiteConstants[[#Headers],[Element]], 0)</f>
        <v>0.12</v>
      </c>
    </row>
    <row r="67" spans="1:6" ht="20.100000000000001" customHeight="1" x14ac:dyDescent="0.2">
      <c r="D67" s="1" t="str" cm="1">
        <f t="array" ref="D67">Common_InputFunctions.Utility_DisplayArrayInTable(Fertiliser_SourceData.Fertiliser_LimeDolomiteGypsumConstants_Data(), Table_SourceData_Fertiliser_LimeDolomiteConstants[[#Headers],[Element]], 0)</f>
        <v>Dolomite (Magnesium carbonate)</v>
      </c>
      <c r="E67" s="19" cm="1">
        <f t="array" ref="E67">Common_InputFunctions.Utility_DisplayArrayInTable(Fertiliser_SourceData.Fertiliser_LimeDolomiteGypsumConstants_Data(), Table_SourceData_Fertiliser_LimeDolomiteConstants[[#Headers],[Element]], 0)</f>
        <v>0.95</v>
      </c>
      <c r="F67" s="19" cm="1">
        <f t="array" ref="F67">Common_InputFunctions.Utility_DisplayArrayInTable(Fertiliser_SourceData.Fertiliser_LimeDolomiteGypsumConstants_Data(), Table_SourceData_Fertiliser_LimeDolomiteConstants[[#Headers],[Element]], 0)</f>
        <v>0.13</v>
      </c>
    </row>
    <row r="68" spans="1:6" ht="20.100000000000001" customHeight="1" x14ac:dyDescent="0.2">
      <c r="A68" s="79" t="str">
        <f>HYPERLINK("#A1", "▲ Back to top")</f>
        <v>▲ Back to top</v>
      </c>
      <c r="D68" s="1" t="str" cm="1">
        <f t="array" ref="D68">Common_InputFunctions.Utility_DisplayArrayInTable(Fertiliser_SourceData.Fertiliser_LimeDolomiteGypsumConstants_Data(), Table_SourceData_Fertiliser_LimeDolomiteConstants[[#Headers],[Element]], 0)</f>
        <v>Gypsum</v>
      </c>
      <c r="E68" s="19" cm="1">
        <f t="array" ref="E68">Common_InputFunctions.Utility_DisplayArrayInTable(Fertiliser_SourceData.Fertiliser_LimeDolomiteGypsumConstants_Data(), Table_SourceData_Fertiliser_LimeDolomiteConstants[[#Headers],[Element]], 0)</f>
        <v>0</v>
      </c>
      <c r="F68" s="19" cm="1">
        <f t="array" ref="F68">Common_InputFunctions.Utility_DisplayArrayInTable(Fertiliser_SourceData.Fertiliser_LimeDolomiteGypsumConstants_Data(), Table_SourceData_Fertiliser_LimeDolomiteConstants[[#Headers],[Element]], 0)</f>
        <v>0</v>
      </c>
    </row>
    <row r="71" spans="1:6" ht="20.100000000000001" customHeight="1" x14ac:dyDescent="0.2">
      <c r="D71" s="2" t="str" cm="1">
        <f t="array" ref="D71">Fertiliser_SourceData.Fertiliser_FracGASMSoil_Title()</f>
        <v>Fraction of organic fertiliser that volatilises as NH3 and NOx</v>
      </c>
    </row>
    <row r="72" spans="1:6" ht="20.100000000000001" customHeight="1" x14ac:dyDescent="0.2">
      <c r="D72" s="17" t="str" cm="1">
        <f t="array" ref="D72">Fertiliser_SourceData.Fertiliser_FracGASMSoil_Source()</f>
        <v>VEERG 2026: 5.4.2.3 Constant Parameters</v>
      </c>
    </row>
    <row r="73" spans="1:6" ht="20.100000000000001" customHeight="1" x14ac:dyDescent="0.2">
      <c r="D73" s="75" t="str" cm="1">
        <f t="array" ref="D73">Fertiliser_SourceData.Fertiliser_FracGASMSoil_Variable()</f>
        <v>FracGASMsoil</v>
      </c>
      <c r="E73" s="1" cm="1">
        <f t="array" ref="E73">Fertiliser_SourceData.Fertiliser_FracGASMSoil_Data()</f>
        <v>0.21</v>
      </c>
      <c r="F73" s="9" t="str" cm="1">
        <f t="array" ref="F73">Fertiliser_SourceData.Fertiliser_FracGASMSoil_Unit()</f>
        <v>(kg NH3-N + NOx-N)/kg N</v>
      </c>
    </row>
    <row r="76" spans="1:6" ht="20.100000000000001" customHeight="1" x14ac:dyDescent="0.2">
      <c r="D76" s="2" t="str" cm="1">
        <f t="array" ref="D76">Fertiliser_SourceData.Fertiliser_FracLEACH_Title()</f>
        <v>Fraction of nitrogen that is lost through leaching and runoff</v>
      </c>
    </row>
    <row r="77" spans="1:6" ht="20.100000000000001" customHeight="1" x14ac:dyDescent="0.2">
      <c r="D77" s="17" t="str" cm="1">
        <f t="array" ref="D77">Fertiliser_SourceData.Fertiliser_FracLEACH_Source()</f>
        <v>VEERG 2026: 5.5.2.3 Constant Parameters</v>
      </c>
    </row>
    <row r="78" spans="1:6" ht="20.100000000000001" customHeight="1" x14ac:dyDescent="0.2">
      <c r="D78" s="75" t="str" cm="1">
        <f t="array" ref="D78">Fertiliser_SourceData.Fertiliser_FracLEACH_Variable()</f>
        <v>FracLEACH</v>
      </c>
      <c r="E78" s="1" cm="1">
        <f t="array" ref="E78">Fertiliser_SourceData.Fertiliser_FracLEACH_Data()</f>
        <v>0.24</v>
      </c>
      <c r="F78" s="9" t="str" cm="1">
        <f t="array" ref="F78">Fertiliser_SourceData.Fertiliser_FracLEACH_Unit()</f>
        <v>fraction</v>
      </c>
    </row>
    <row r="81" spans="4:39" ht="20.100000000000001" customHeight="1" x14ac:dyDescent="0.2">
      <c r="D81" s="2" t="str" cm="1">
        <f t="array" ref="D81">Fertiliser_SourceData.Fertiliser_EFLeach_Title()</f>
        <v>Emission factor for nitrogen leaching and runoff</v>
      </c>
    </row>
    <row r="82" spans="4:39" ht="20.100000000000001" customHeight="1" x14ac:dyDescent="0.2">
      <c r="D82" s="17" t="str" cm="1">
        <f t="array" ref="D82">Fertiliser_SourceData.Fertiliser_EFLeach_Source()</f>
        <v>VEERG 2026: 5.5.2.3 Constant Parameters</v>
      </c>
    </row>
    <row r="83" spans="4:39" ht="20.100000000000001" customHeight="1" x14ac:dyDescent="0.2">
      <c r="D83" s="75" t="str" cm="1">
        <f t="array" ref="D83">Fertiliser_SourceData.Fertiliser_EFLeach_Variable()</f>
        <v>EFLeach</v>
      </c>
      <c r="E83" s="1" cm="1">
        <f t="array" ref="E83">Fertiliser_SourceData.Fertiliser_EFLeach_Data()</f>
        <v>1.0999999999999999E-2</v>
      </c>
      <c r="F83" s="9" t="str" cm="1">
        <f t="array" ref="F83">Fertiliser_SourceData.Fertiliser_EFLeach_Unit()</f>
        <v>kg N2O-N / kg N</v>
      </c>
    </row>
    <row r="87" spans="4:39" ht="20.100000000000001" customHeight="1" x14ac:dyDescent="0.2">
      <c r="D87" s="2" t="s">
        <v>859</v>
      </c>
      <c r="E87" s="154"/>
      <c r="F87" s="154"/>
      <c r="G87" s="154"/>
      <c r="H87" s="154"/>
      <c r="I87" s="154"/>
      <c r="J87" s="154"/>
      <c r="K87" s="154"/>
      <c r="L87" s="154"/>
      <c r="N87" s="154"/>
      <c r="O87" s="154"/>
      <c r="P87" s="154"/>
      <c r="Q87" s="154"/>
      <c r="R87" s="154"/>
      <c r="S87" s="154"/>
      <c r="T87" s="154"/>
      <c r="U87" s="154"/>
    </row>
    <row r="88" spans="4:39" ht="20.100000000000001" customHeight="1" x14ac:dyDescent="0.2">
      <c r="D88" s="154"/>
    </row>
    <row r="89" spans="4:39" ht="20.100000000000001" customHeight="1" x14ac:dyDescent="0.2">
      <c r="D89" s="236" t="s">
        <v>860</v>
      </c>
      <c r="E89" s="19" t="s">
        <v>132</v>
      </c>
      <c r="F89" s="19" t="s">
        <v>118</v>
      </c>
      <c r="G89" s="196" t="s">
        <v>695</v>
      </c>
      <c r="H89" s="196" t="s">
        <v>861</v>
      </c>
      <c r="I89" s="196" t="s">
        <v>712</v>
      </c>
      <c r="J89" s="196" t="s">
        <v>713</v>
      </c>
      <c r="K89" s="196" t="s">
        <v>862</v>
      </c>
      <c r="L89" s="196" t="s">
        <v>863</v>
      </c>
      <c r="M89" s="196" t="s">
        <v>864</v>
      </c>
      <c r="N89" s="196" t="s">
        <v>865</v>
      </c>
      <c r="O89" s="196" t="s">
        <v>697</v>
      </c>
      <c r="P89" s="196" t="s">
        <v>698</v>
      </c>
      <c r="Q89" s="19" t="s">
        <v>699</v>
      </c>
      <c r="R89" s="19" t="s">
        <v>700</v>
      </c>
      <c r="S89" s="19" t="s">
        <v>701</v>
      </c>
      <c r="T89" s="19" t="s">
        <v>702</v>
      </c>
      <c r="U89" s="196" t="s">
        <v>703</v>
      </c>
      <c r="V89" s="196" t="s">
        <v>704</v>
      </c>
      <c r="W89" s="19" t="s">
        <v>705</v>
      </c>
      <c r="X89" s="196" t="s">
        <v>706</v>
      </c>
      <c r="Y89" s="196" t="s">
        <v>707</v>
      </c>
      <c r="Z89" s="196" t="s">
        <v>708</v>
      </c>
      <c r="AA89" s="196" t="s">
        <v>866</v>
      </c>
      <c r="AB89" s="196" t="s">
        <v>867</v>
      </c>
      <c r="AC89" s="19" t="s">
        <v>868</v>
      </c>
      <c r="AD89" s="19" t="s">
        <v>869</v>
      </c>
      <c r="AE89" s="19" t="s">
        <v>870</v>
      </c>
      <c r="AF89" s="19" t="s">
        <v>871</v>
      </c>
      <c r="AG89" s="19" t="s">
        <v>872</v>
      </c>
      <c r="AH89" s="19" t="s">
        <v>873</v>
      </c>
      <c r="AK89" s="1"/>
      <c r="AL89" s="1"/>
      <c r="AM89" s="1"/>
    </row>
    <row r="90" spans="4:39" ht="20.100000000000001" customHeight="1" x14ac:dyDescent="0.2">
      <c r="D90" s="148" t="str" cm="1">
        <f t="array" ref="D90">Common_InputFunctions.Utility_DisplayArrayInTable(Fertiliser_SourceData.Fertiliser_Products_Data1(), FertiliserProducts[[#Headers],[Company]],1)</f>
        <v>Campbells fertilisers Australia</v>
      </c>
      <c r="E90" s="148" t="str" cm="1">
        <f t="array" ref="E90">Common_InputFunctions.Utility_DisplayArrayInTable(Fertiliser_SourceData.Fertiliser_Products_Data1(), FertiliserProducts[[#Headers],[Company]],1)</f>
        <v>Aqua Finish</v>
      </c>
      <c r="F90" s="148" t="str" cm="1">
        <f t="array" ref="F90">Common_InputFunctions.Utility_DisplayArrayInTable(Fertiliser_SourceData.Fertiliser_Products_Data1(), FertiliserProducts[[#Headers],[Company]],1)</f>
        <v>L</v>
      </c>
      <c r="G90" s="148" cm="1">
        <f t="array" ref="G90">Common_InputFunctions.Utility_DisplayArrayInTable(Fertiliser_SourceData.Fertiliser_Products_Data1(), FertiliserProducts[[#Headers],[Company]],1)</f>
        <v>1.26</v>
      </c>
      <c r="H90" s="148" t="str" cm="1">
        <f t="array" ref="H90">Common_InputFunctions.Utility_DisplayArrayInTable(Fertiliser_SourceData.Fertiliser_Products_Data1(), FertiliserProducts[[#Headers],[Company]],1)</f>
        <v/>
      </c>
      <c r="I90" s="148" t="str" cm="1">
        <f t="array" ref="I90">Common_InputFunctions.Utility_DisplayArrayInTable(Fertiliser_SourceData.Fertiliser_Products_Data1(), FertiliserProducts[[#Headers],[Company]],1)</f>
        <v/>
      </c>
      <c r="J90" s="148" t="str" cm="1">
        <f t="array" ref="J90">Common_InputFunctions.Utility_DisplayArrayInTable(Fertiliser_SourceData.Fertiliser_Products_Data1(), FertiliserProducts[[#Headers],[Company]],1)</f>
        <v/>
      </c>
      <c r="K90" s="148" cm="1">
        <f t="array" ref="K90">Common_InputFunctions.Utility_DisplayArrayInTable(Fertiliser_SourceData.Fertiliser_Products_Data1(), FertiliserProducts[[#Headers],[Company]],1)</f>
        <v>2.6</v>
      </c>
      <c r="L90" s="148" cm="1">
        <f t="array" ref="L90">Common_InputFunctions.Utility_DisplayArrayInTable(Fertiliser_SourceData.Fertiliser_Products_Data1(), FertiliserProducts[[#Headers],[Company]],1)</f>
        <v>4</v>
      </c>
      <c r="M90" s="148" cm="1">
        <f t="array" ref="M90">Common_InputFunctions.Utility_DisplayArrayInTable(Fertiliser_SourceData.Fertiliser_Products_Data1(), FertiliserProducts[[#Headers],[Company]],1)</f>
        <v>22.5</v>
      </c>
      <c r="N90" s="148" t="str" cm="1">
        <f t="array" ref="N90">Common_InputFunctions.Utility_DisplayArrayInTable(Fertiliser_SourceData.Fertiliser_Products_Data1(), FertiliserProducts[[#Headers],[Company]],1)</f>
        <v/>
      </c>
      <c r="O90" s="148" t="str" cm="1">
        <f t="array" ref="O90">Common_InputFunctions.Utility_DisplayArrayInTable(Fertiliser_SourceData.Fertiliser_Products_Data1(), FertiliserProducts[[#Headers],[Company]],1)</f>
        <v>Potassium - Generic</v>
      </c>
      <c r="P90" s="148" cm="1">
        <f t="array" ref="P90">Common_InputFunctions.Utility_DisplayArrayInTable(Fertiliser_SourceData.Fertiliser_Products_Data1(), FertiliserProducts[[#Headers],[Company]],1)</f>
        <v>0.22500000000000001</v>
      </c>
      <c r="Q90" s="148" t="str" cm="1">
        <f t="array" ref="Q90">Common_InputFunctions.Utility_DisplayArrayInTable(Fertiliser_SourceData.Fertiliser_Products_Data1(), FertiliserProducts[[#Headers],[Company]],1)</f>
        <v>Phosphorus - Generic</v>
      </c>
      <c r="R90" s="148" cm="1">
        <f t="array" ref="R90">Common_InputFunctions.Utility_DisplayArrayInTable(Fertiliser_SourceData.Fertiliser_Products_Data1(), FertiliserProducts[[#Headers],[Company]],1)</f>
        <v>0.04</v>
      </c>
      <c r="S90" s="148" t="str" cm="1">
        <f t="array" ref="S90">Common_InputFunctions.Utility_DisplayArrayInTable(Fertiliser_SourceData.Fertiliser_Products_Data1(), FertiliserProducts[[#Headers],[Company]],1)</f>
        <v>Nitrogen - Generic</v>
      </c>
      <c r="T90" s="148" cm="1">
        <f t="array" ref="T90">Common_InputFunctions.Utility_DisplayArrayInTable(Fertiliser_SourceData.Fertiliser_Products_Data1(), FertiliserProducts[[#Headers],[Company]],1)</f>
        <v>2.5999999999999999E-2</v>
      </c>
      <c r="U90" s="148" t="str" cm="1">
        <f t="array" ref="U90">Common_InputFunctions.Utility_DisplayArrayInTable(Fertiliser_SourceData.Fertiliser_Products_Data1(), FertiliserProducts[[#Headers],[Company]],1)</f>
        <v/>
      </c>
      <c r="V90" s="148" t="str" cm="1">
        <f t="array" ref="V90">Common_InputFunctions.Utility_DisplayArrayInTable(Fertiliser_SourceData.Fertiliser_Products_Data1(), FertiliserProducts[[#Headers],[Company]],1)</f>
        <v/>
      </c>
      <c r="W90" s="148" t="str" cm="1">
        <f t="array" ref="W90">Common_InputFunctions.Utility_DisplayArrayInTable(Fertiliser_SourceData.Fertiliser_Products_Data1(), FertiliserProducts[[#Headers],[Company]],1)</f>
        <v/>
      </c>
      <c r="X90" s="148" t="str" cm="1">
        <f t="array" ref="X90">Common_InputFunctions.Utility_DisplayArrayInTable(Fertiliser_SourceData.Fertiliser_Products_Data1(), FertiliserProducts[[#Headers],[Company]],1)</f>
        <v/>
      </c>
      <c r="Y90" s="148" t="str" cm="1">
        <f t="array" ref="Y90">Common_InputFunctions.Utility_DisplayArrayInTable(Fertiliser_SourceData.Fertiliser_Products_Data1(), FertiliserProducts[[#Headers],[Company]],1)</f>
        <v/>
      </c>
      <c r="Z90" s="148" t="str" cm="1">
        <f t="array" ref="Z90">Common_InputFunctions.Utility_DisplayArrayInTable(Fertiliser_SourceData.Fertiliser_Products_Data1(), FertiliserProducts[[#Headers],[Company]],1)</f>
        <v/>
      </c>
      <c r="AA90" s="148" t="str" cm="1">
        <f t="array" ref="AA90">Common_InputFunctions.Utility_DisplayArrayInTable(Fertiliser_SourceData.Fertiliser_Products_Data1(), FertiliserProducts[[#Headers],[Company]],1)</f>
        <v/>
      </c>
      <c r="AB90" s="148" t="str" cm="1">
        <f t="array" ref="AB90">Common_InputFunctions.Utility_DisplayArrayInTable(Fertiliser_SourceData.Fertiliser_Products_Data1(), FertiliserProducts[[#Headers],[Company]],1)</f>
        <v/>
      </c>
      <c r="AC90" s="148" t="str" cm="1">
        <f t="array" ref="AC90">Common_InputFunctions.Utility_DisplayArrayInTable(Fertiliser_SourceData.Fertiliser_Products_Data1(), FertiliserProducts[[#Headers],[Company]],1)</f>
        <v/>
      </c>
      <c r="AD90" s="148" t="str" cm="1">
        <f t="array" ref="AD90">Common_InputFunctions.Utility_DisplayArrayInTable(Fertiliser_SourceData.Fertiliser_Products_Data1(), FertiliserProducts[[#Headers],[Company]],1)</f>
        <v/>
      </c>
      <c r="AE90" s="148" t="str" cm="1">
        <f t="array" ref="AE90">Common_InputFunctions.Utility_DisplayArrayInTable(Fertiliser_SourceData.Fertiliser_Products_Data1(), FertiliserProducts[[#Headers],[Company]],1)</f>
        <v/>
      </c>
      <c r="AF90" s="148" t="str" cm="1">
        <f t="array" ref="AF90">Common_InputFunctions.Utility_DisplayArrayInTable(Fertiliser_SourceData.Fertiliser_Products_Data1(), FertiliserProducts[[#Headers],[Company]],1)</f>
        <v/>
      </c>
      <c r="AG90" s="148" t="str" cm="1">
        <f t="array" ref="AG90">Common_InputFunctions.Utility_DisplayArrayInTable(Fertiliser_SourceData.Fertiliser_Products_Data1(), FertiliserProducts[[#Headers],[Company]],1)</f>
        <v/>
      </c>
      <c r="AH90" s="148" t="str" cm="1">
        <f t="array" ref="AH90">Common_InputFunctions.Utility_DisplayArrayInTable(Fertiliser_SourceData.Fertiliser_Products_Data1(), FertiliserProducts[[#Headers],[Company]],1)</f>
        <v/>
      </c>
      <c r="AK90" s="1"/>
      <c r="AL90" s="1"/>
      <c r="AM90" s="1"/>
    </row>
    <row r="91" spans="4:39" ht="20.100000000000001" customHeight="1" x14ac:dyDescent="0.2">
      <c r="D91" s="148" t="str" cm="1">
        <f t="array" ref="D91">Common_InputFunctions.Utility_DisplayArrayInTable(Fertiliser_SourceData.Fertiliser_Products_Data1(), FertiliserProducts[[#Headers],[Company]],1)</f>
        <v>Campbells fertilisers Australia</v>
      </c>
      <c r="E91" s="148" t="str" cm="1">
        <f t="array" ref="E91">Common_InputFunctions.Utility_DisplayArrayInTable(Fertiliser_SourceData.Fertiliser_Products_Data1(), FertiliserProducts[[#Headers],[Company]],1)</f>
        <v>Aqua Grow</v>
      </c>
      <c r="F91" s="148" t="str" cm="1">
        <f t="array" ref="F91">Common_InputFunctions.Utility_DisplayArrayInTable(Fertiliser_SourceData.Fertiliser_Products_Data1(), FertiliserProducts[[#Headers],[Company]],1)</f>
        <v>L</v>
      </c>
      <c r="G91" s="148" cm="1">
        <f t="array" ref="G91">Common_InputFunctions.Utility_DisplayArrayInTable(Fertiliser_SourceData.Fertiliser_Products_Data1(), FertiliserProducts[[#Headers],[Company]],1)</f>
        <v>1.26</v>
      </c>
      <c r="H91" s="148" t="str" cm="1">
        <f t="array" ref="H91">Common_InputFunctions.Utility_DisplayArrayInTable(Fertiliser_SourceData.Fertiliser_Products_Data1(), FertiliserProducts[[#Headers],[Company]],1)</f>
        <v/>
      </c>
      <c r="I91" s="148" t="str" cm="1">
        <f t="array" ref="I91">Common_InputFunctions.Utility_DisplayArrayInTable(Fertiliser_SourceData.Fertiliser_Products_Data1(), FertiliserProducts[[#Headers],[Company]],1)</f>
        <v/>
      </c>
      <c r="J91" s="148" t="str" cm="1">
        <f t="array" ref="J91">Common_InputFunctions.Utility_DisplayArrayInTable(Fertiliser_SourceData.Fertiliser_Products_Data1(), FertiliserProducts[[#Headers],[Company]],1)</f>
        <v/>
      </c>
      <c r="K91" s="148" cm="1">
        <f t="array" ref="K91">Common_InputFunctions.Utility_DisplayArrayInTable(Fertiliser_SourceData.Fertiliser_Products_Data1(), FertiliserProducts[[#Headers],[Company]],1)</f>
        <v>9.6</v>
      </c>
      <c r="L91" s="148" cm="1">
        <f t="array" ref="L91">Common_InputFunctions.Utility_DisplayArrayInTable(Fertiliser_SourceData.Fertiliser_Products_Data1(), FertiliserProducts[[#Headers],[Company]],1)</f>
        <v>5</v>
      </c>
      <c r="M91" s="148" cm="1">
        <f t="array" ref="M91">Common_InputFunctions.Utility_DisplayArrayInTable(Fertiliser_SourceData.Fertiliser_Products_Data1(), FertiliserProducts[[#Headers],[Company]],1)</f>
        <v>10.5</v>
      </c>
      <c r="N91" s="148" t="str" cm="1">
        <f t="array" ref="N91">Common_InputFunctions.Utility_DisplayArrayInTable(Fertiliser_SourceData.Fertiliser_Products_Data1(), FertiliserProducts[[#Headers],[Company]],1)</f>
        <v/>
      </c>
      <c r="O91" s="148" t="str" cm="1">
        <f t="array" ref="O91">Common_InputFunctions.Utility_DisplayArrayInTable(Fertiliser_SourceData.Fertiliser_Products_Data1(), FertiliserProducts[[#Headers],[Company]],1)</f>
        <v>Potassium - Generic</v>
      </c>
      <c r="P91" s="148" cm="1">
        <f t="array" ref="P91">Common_InputFunctions.Utility_DisplayArrayInTable(Fertiliser_SourceData.Fertiliser_Products_Data1(), FertiliserProducts[[#Headers],[Company]],1)</f>
        <v>0.105</v>
      </c>
      <c r="Q91" s="148" t="str" cm="1">
        <f t="array" ref="Q91">Common_InputFunctions.Utility_DisplayArrayInTable(Fertiliser_SourceData.Fertiliser_Products_Data1(), FertiliserProducts[[#Headers],[Company]],1)</f>
        <v>Nitrogen - Generic</v>
      </c>
      <c r="R91" s="148" cm="1">
        <f t="array" ref="R91">Common_InputFunctions.Utility_DisplayArrayInTable(Fertiliser_SourceData.Fertiliser_Products_Data1(), FertiliserProducts[[#Headers],[Company]],1)</f>
        <v>9.6000000000000002E-2</v>
      </c>
      <c r="S91" s="148" t="str" cm="1">
        <f t="array" ref="S91">Common_InputFunctions.Utility_DisplayArrayInTable(Fertiliser_SourceData.Fertiliser_Products_Data1(), FertiliserProducts[[#Headers],[Company]],1)</f>
        <v>Phosphorus - Generic</v>
      </c>
      <c r="T91" s="148" cm="1">
        <f t="array" ref="T91">Common_InputFunctions.Utility_DisplayArrayInTable(Fertiliser_SourceData.Fertiliser_Products_Data1(), FertiliserProducts[[#Headers],[Company]],1)</f>
        <v>0.05</v>
      </c>
      <c r="U91" s="148" t="str" cm="1">
        <f t="array" ref="U91">Common_InputFunctions.Utility_DisplayArrayInTable(Fertiliser_SourceData.Fertiliser_Products_Data1(), FertiliserProducts[[#Headers],[Company]],1)</f>
        <v/>
      </c>
      <c r="V91" s="148" t="str" cm="1">
        <f t="array" ref="V91">Common_InputFunctions.Utility_DisplayArrayInTable(Fertiliser_SourceData.Fertiliser_Products_Data1(), FertiliserProducts[[#Headers],[Company]],1)</f>
        <v/>
      </c>
      <c r="W91" s="148" t="str" cm="1">
        <f t="array" ref="W91">Common_InputFunctions.Utility_DisplayArrayInTable(Fertiliser_SourceData.Fertiliser_Products_Data1(), FertiliserProducts[[#Headers],[Company]],1)</f>
        <v/>
      </c>
      <c r="X91" s="148" t="str" cm="1">
        <f t="array" ref="X91">Common_InputFunctions.Utility_DisplayArrayInTable(Fertiliser_SourceData.Fertiliser_Products_Data1(), FertiliserProducts[[#Headers],[Company]],1)</f>
        <v/>
      </c>
      <c r="Y91" s="148" t="str" cm="1">
        <f t="array" ref="Y91">Common_InputFunctions.Utility_DisplayArrayInTable(Fertiliser_SourceData.Fertiliser_Products_Data1(), FertiliserProducts[[#Headers],[Company]],1)</f>
        <v/>
      </c>
      <c r="Z91" s="148" t="str" cm="1">
        <f t="array" ref="Z91">Common_InputFunctions.Utility_DisplayArrayInTable(Fertiliser_SourceData.Fertiliser_Products_Data1(), FertiliserProducts[[#Headers],[Company]],1)</f>
        <v/>
      </c>
      <c r="AA91" s="148" t="str" cm="1">
        <f t="array" ref="AA91">Common_InputFunctions.Utility_DisplayArrayInTable(Fertiliser_SourceData.Fertiliser_Products_Data1(), FertiliserProducts[[#Headers],[Company]],1)</f>
        <v/>
      </c>
      <c r="AB91" s="148" t="str" cm="1">
        <f t="array" ref="AB91">Common_InputFunctions.Utility_DisplayArrayInTable(Fertiliser_SourceData.Fertiliser_Products_Data1(), FertiliserProducts[[#Headers],[Company]],1)</f>
        <v/>
      </c>
      <c r="AC91" s="148" t="str" cm="1">
        <f t="array" ref="AC91">Common_InputFunctions.Utility_DisplayArrayInTable(Fertiliser_SourceData.Fertiliser_Products_Data1(), FertiliserProducts[[#Headers],[Company]],1)</f>
        <v/>
      </c>
      <c r="AD91" s="148" t="str" cm="1">
        <f t="array" ref="AD91">Common_InputFunctions.Utility_DisplayArrayInTable(Fertiliser_SourceData.Fertiliser_Products_Data1(), FertiliserProducts[[#Headers],[Company]],1)</f>
        <v/>
      </c>
      <c r="AE91" s="148" t="str" cm="1">
        <f t="array" ref="AE91">Common_InputFunctions.Utility_DisplayArrayInTable(Fertiliser_SourceData.Fertiliser_Products_Data1(), FertiliserProducts[[#Headers],[Company]],1)</f>
        <v/>
      </c>
      <c r="AF91" s="148" t="str" cm="1">
        <f t="array" ref="AF91">Common_InputFunctions.Utility_DisplayArrayInTable(Fertiliser_SourceData.Fertiliser_Products_Data1(), FertiliserProducts[[#Headers],[Company]],1)</f>
        <v/>
      </c>
      <c r="AG91" s="148" t="str" cm="1">
        <f t="array" ref="AG91">Common_InputFunctions.Utility_DisplayArrayInTable(Fertiliser_SourceData.Fertiliser_Products_Data1(), FertiliserProducts[[#Headers],[Company]],1)</f>
        <v/>
      </c>
      <c r="AH91" s="148" t="str" cm="1">
        <f t="array" ref="AH91">Common_InputFunctions.Utility_DisplayArrayInTable(Fertiliser_SourceData.Fertiliser_Products_Data1(), FertiliserProducts[[#Headers],[Company]],1)</f>
        <v/>
      </c>
      <c r="AK91" s="1"/>
      <c r="AL91" s="1"/>
      <c r="AM91" s="1"/>
    </row>
    <row r="92" spans="4:39" ht="20.100000000000001" customHeight="1" x14ac:dyDescent="0.2">
      <c r="D92" s="148" t="str" cm="1">
        <f t="array" ref="D92">Common_InputFunctions.Utility_DisplayArrayInTable(Fertiliser_SourceData.Fertiliser_Products_Data1(), FertiliserProducts[[#Headers],[Company]],1)</f>
        <v>Campbells fertilisers Australia</v>
      </c>
      <c r="E92" s="148" t="str" cm="1">
        <f t="array" ref="E92">Common_InputFunctions.Utility_DisplayArrayInTable(Fertiliser_SourceData.Fertiliser_Products_Data1(), FertiliserProducts[[#Headers],[Company]],1)</f>
        <v>Aqua Nitro AN</v>
      </c>
      <c r="F92" s="148" t="str" cm="1">
        <f t="array" ref="F92">Common_InputFunctions.Utility_DisplayArrayInTable(Fertiliser_SourceData.Fertiliser_Products_Data1(), FertiliserProducts[[#Headers],[Company]],1)</f>
        <v>L</v>
      </c>
      <c r="G92" s="148" cm="1">
        <f t="array" ref="G92">Common_InputFunctions.Utility_DisplayArrayInTable(Fertiliser_SourceData.Fertiliser_Products_Data1(), FertiliserProducts[[#Headers],[Company]],1)</f>
        <v>1.24</v>
      </c>
      <c r="H92" s="148" t="str" cm="1">
        <f t="array" ref="H92">Common_InputFunctions.Utility_DisplayArrayInTable(Fertiliser_SourceData.Fertiliser_Products_Data1(), FertiliserProducts[[#Headers],[Company]],1)</f>
        <v/>
      </c>
      <c r="I92" s="148" t="str" cm="1">
        <f t="array" ref="I92">Common_InputFunctions.Utility_DisplayArrayInTable(Fertiliser_SourceData.Fertiliser_Products_Data1(), FertiliserProducts[[#Headers],[Company]],1)</f>
        <v/>
      </c>
      <c r="J92" s="148" t="str" cm="1">
        <f t="array" ref="J92">Common_InputFunctions.Utility_DisplayArrayInTable(Fertiliser_SourceData.Fertiliser_Products_Data1(), FertiliserProducts[[#Headers],[Company]],1)</f>
        <v/>
      </c>
      <c r="K92" s="148" cm="1">
        <f t="array" ref="K92">Common_InputFunctions.Utility_DisplayArrayInTable(Fertiliser_SourceData.Fertiliser_Products_Data1(), FertiliserProducts[[#Headers],[Company]],1)</f>
        <v>22.3</v>
      </c>
      <c r="L92" s="148" t="str" cm="1">
        <f t="array" ref="L92">Common_InputFunctions.Utility_DisplayArrayInTable(Fertiliser_SourceData.Fertiliser_Products_Data1(), FertiliserProducts[[#Headers],[Company]],1)</f>
        <v/>
      </c>
      <c r="M92" s="148" t="str" cm="1">
        <f t="array" ref="M92">Common_InputFunctions.Utility_DisplayArrayInTable(Fertiliser_SourceData.Fertiliser_Products_Data1(), FertiliserProducts[[#Headers],[Company]],1)</f>
        <v/>
      </c>
      <c r="N92" s="148" t="str" cm="1">
        <f t="array" ref="N92">Common_InputFunctions.Utility_DisplayArrayInTable(Fertiliser_SourceData.Fertiliser_Products_Data1(), FertiliserProducts[[#Headers],[Company]],1)</f>
        <v/>
      </c>
      <c r="O92" s="148" t="str" cm="1">
        <f t="array" ref="O92">Common_InputFunctions.Utility_DisplayArrayInTable(Fertiliser_SourceData.Fertiliser_Products_Data1(), FertiliserProducts[[#Headers],[Company]],1)</f>
        <v>Nitrogen - Ammoniacal</v>
      </c>
      <c r="P92" s="148" cm="1">
        <f t="array" ref="P92">Common_InputFunctions.Utility_DisplayArrayInTable(Fertiliser_SourceData.Fertiliser_Products_Data1(), FertiliserProducts[[#Headers],[Company]],1)</f>
        <v>0.223</v>
      </c>
      <c r="Q92" s="148" t="str" cm="1">
        <f t="array" ref="Q92">Common_InputFunctions.Utility_DisplayArrayInTable(Fertiliser_SourceData.Fertiliser_Products_Data1(), FertiliserProducts[[#Headers],[Company]],1)</f>
        <v/>
      </c>
      <c r="R92" s="148" t="str" cm="1">
        <f t="array" ref="R92">Common_InputFunctions.Utility_DisplayArrayInTable(Fertiliser_SourceData.Fertiliser_Products_Data1(), FertiliserProducts[[#Headers],[Company]],1)</f>
        <v/>
      </c>
      <c r="S92" s="148" t="str" cm="1">
        <f t="array" ref="S92">Common_InputFunctions.Utility_DisplayArrayInTable(Fertiliser_SourceData.Fertiliser_Products_Data1(), FertiliserProducts[[#Headers],[Company]],1)</f>
        <v/>
      </c>
      <c r="T92" s="148" t="str" cm="1">
        <f t="array" ref="T92">Common_InputFunctions.Utility_DisplayArrayInTable(Fertiliser_SourceData.Fertiliser_Products_Data1(), FertiliserProducts[[#Headers],[Company]],1)</f>
        <v/>
      </c>
      <c r="U92" s="148" t="str" cm="1">
        <f t="array" ref="U92">Common_InputFunctions.Utility_DisplayArrayInTable(Fertiliser_SourceData.Fertiliser_Products_Data1(), FertiliserProducts[[#Headers],[Company]],1)</f>
        <v/>
      </c>
      <c r="V92" s="148" t="str" cm="1">
        <f t="array" ref="V92">Common_InputFunctions.Utility_DisplayArrayInTable(Fertiliser_SourceData.Fertiliser_Products_Data1(), FertiliserProducts[[#Headers],[Company]],1)</f>
        <v/>
      </c>
      <c r="W92" s="148" t="str" cm="1">
        <f t="array" ref="W92">Common_InputFunctions.Utility_DisplayArrayInTable(Fertiliser_SourceData.Fertiliser_Products_Data1(), FertiliserProducts[[#Headers],[Company]],1)</f>
        <v/>
      </c>
      <c r="X92" s="148" t="str" cm="1">
        <f t="array" ref="X92">Common_InputFunctions.Utility_DisplayArrayInTable(Fertiliser_SourceData.Fertiliser_Products_Data1(), FertiliserProducts[[#Headers],[Company]],1)</f>
        <v/>
      </c>
      <c r="Y92" s="148" t="str" cm="1">
        <f t="array" ref="Y92">Common_InputFunctions.Utility_DisplayArrayInTable(Fertiliser_SourceData.Fertiliser_Products_Data1(), FertiliserProducts[[#Headers],[Company]],1)</f>
        <v/>
      </c>
      <c r="Z92" s="148" t="str" cm="1">
        <f t="array" ref="Z92">Common_InputFunctions.Utility_DisplayArrayInTable(Fertiliser_SourceData.Fertiliser_Products_Data1(), FertiliserProducts[[#Headers],[Company]],1)</f>
        <v/>
      </c>
      <c r="AA92" s="148" t="str" cm="1">
        <f t="array" ref="AA92">Common_InputFunctions.Utility_DisplayArrayInTable(Fertiliser_SourceData.Fertiliser_Products_Data1(), FertiliserProducts[[#Headers],[Company]],1)</f>
        <v/>
      </c>
      <c r="AB92" s="148" t="str" cm="1">
        <f t="array" ref="AB92">Common_InputFunctions.Utility_DisplayArrayInTable(Fertiliser_SourceData.Fertiliser_Products_Data1(), FertiliserProducts[[#Headers],[Company]],1)</f>
        <v/>
      </c>
      <c r="AC92" s="148" t="str" cm="1">
        <f t="array" ref="AC92">Common_InputFunctions.Utility_DisplayArrayInTable(Fertiliser_SourceData.Fertiliser_Products_Data1(), FertiliserProducts[[#Headers],[Company]],1)</f>
        <v/>
      </c>
      <c r="AD92" s="148" t="str" cm="1">
        <f t="array" ref="AD92">Common_InputFunctions.Utility_DisplayArrayInTable(Fertiliser_SourceData.Fertiliser_Products_Data1(), FertiliserProducts[[#Headers],[Company]],1)</f>
        <v/>
      </c>
      <c r="AE92" s="148" t="str" cm="1">
        <f t="array" ref="AE92">Common_InputFunctions.Utility_DisplayArrayInTable(Fertiliser_SourceData.Fertiliser_Products_Data1(), FertiliserProducts[[#Headers],[Company]],1)</f>
        <v/>
      </c>
      <c r="AF92" s="148" t="str" cm="1">
        <f t="array" ref="AF92">Common_InputFunctions.Utility_DisplayArrayInTable(Fertiliser_SourceData.Fertiliser_Products_Data1(), FertiliserProducts[[#Headers],[Company]],1)</f>
        <v/>
      </c>
      <c r="AG92" s="148" t="str" cm="1">
        <f t="array" ref="AG92">Common_InputFunctions.Utility_DisplayArrayInTable(Fertiliser_SourceData.Fertiliser_Products_Data1(), FertiliserProducts[[#Headers],[Company]],1)</f>
        <v/>
      </c>
      <c r="AH92" s="148" t="str" cm="1">
        <f t="array" ref="AH92">Common_InputFunctions.Utility_DisplayArrayInTable(Fertiliser_SourceData.Fertiliser_Products_Data1(), FertiliserProducts[[#Headers],[Company]],1)</f>
        <v/>
      </c>
      <c r="AK92" s="1"/>
      <c r="AL92" s="1"/>
      <c r="AM92" s="1"/>
    </row>
    <row r="93" spans="4:39" ht="20.100000000000001" customHeight="1" x14ac:dyDescent="0.2">
      <c r="D93" s="148" t="str" cm="1">
        <f t="array" ref="D93">Common_InputFunctions.Utility_DisplayArrayInTable(Fertiliser_SourceData.Fertiliser_Products_Data1(), FertiliserProducts[[#Headers],[Company]],1)</f>
        <v>Campbells fertilisers Australia</v>
      </c>
      <c r="E93" s="148" t="str" cm="1">
        <f t="array" ref="E93">Common_InputFunctions.Utility_DisplayArrayInTable(Fertiliser_SourceData.Fertiliser_Products_Data1(), FertiliserProducts[[#Headers],[Company]],1)</f>
        <v>Aqua NitroCal</v>
      </c>
      <c r="F93" s="148" t="str" cm="1">
        <f t="array" ref="F93">Common_InputFunctions.Utility_DisplayArrayInTable(Fertiliser_SourceData.Fertiliser_Products_Data1(), FertiliserProducts[[#Headers],[Company]],1)</f>
        <v>L</v>
      </c>
      <c r="G93" s="148" cm="1">
        <f t="array" ref="G93">Common_InputFunctions.Utility_DisplayArrayInTable(Fertiliser_SourceData.Fertiliser_Products_Data1(), FertiliserProducts[[#Headers],[Company]],1)</f>
        <v>1.5</v>
      </c>
      <c r="H93" s="148" t="str" cm="1">
        <f t="array" ref="H93">Common_InputFunctions.Utility_DisplayArrayInTable(Fertiliser_SourceData.Fertiliser_Products_Data1(), FertiliserProducts[[#Headers],[Company]],1)</f>
        <v/>
      </c>
      <c r="I93" s="148" t="str" cm="1">
        <f t="array" ref="I93">Common_InputFunctions.Utility_DisplayArrayInTable(Fertiliser_SourceData.Fertiliser_Products_Data1(), FertiliserProducts[[#Headers],[Company]],1)</f>
        <v/>
      </c>
      <c r="J93" s="148" t="str" cm="1">
        <f t="array" ref="J93">Common_InputFunctions.Utility_DisplayArrayInTable(Fertiliser_SourceData.Fertiliser_Products_Data1(), FertiliserProducts[[#Headers],[Company]],1)</f>
        <v/>
      </c>
      <c r="K93" s="148" cm="1">
        <f t="array" ref="K93">Common_InputFunctions.Utility_DisplayArrayInTable(Fertiliser_SourceData.Fertiliser_Products_Data1(), FertiliserProducts[[#Headers],[Company]],1)</f>
        <v>13.2</v>
      </c>
      <c r="L93" s="148" t="str" cm="1">
        <f t="array" ref="L93">Common_InputFunctions.Utility_DisplayArrayInTable(Fertiliser_SourceData.Fertiliser_Products_Data1(), FertiliserProducts[[#Headers],[Company]],1)</f>
        <v/>
      </c>
      <c r="M93" s="148" t="str" cm="1">
        <f t="array" ref="M93">Common_InputFunctions.Utility_DisplayArrayInTable(Fertiliser_SourceData.Fertiliser_Products_Data1(), FertiliserProducts[[#Headers],[Company]],1)</f>
        <v/>
      </c>
      <c r="N93" s="148" t="str" cm="1">
        <f t="array" ref="N93">Common_InputFunctions.Utility_DisplayArrayInTable(Fertiliser_SourceData.Fertiliser_Products_Data1(), FertiliserProducts[[#Headers],[Company]],1)</f>
        <v/>
      </c>
      <c r="O93" s="148" t="str" cm="1">
        <f t="array" ref="O93">Common_InputFunctions.Utility_DisplayArrayInTable(Fertiliser_SourceData.Fertiliser_Products_Data1(), FertiliserProducts[[#Headers],[Company]],1)</f>
        <v>Calcium</v>
      </c>
      <c r="P93" s="148" cm="1">
        <f t="array" ref="P93">Common_InputFunctions.Utility_DisplayArrayInTable(Fertiliser_SourceData.Fertiliser_Products_Data1(), FertiliserProducts[[#Headers],[Company]],1)</f>
        <v>0.16200000000000001</v>
      </c>
      <c r="Q93" s="148" t="str" cm="1">
        <f t="array" ref="Q93">Common_InputFunctions.Utility_DisplayArrayInTable(Fertiliser_SourceData.Fertiliser_Products_Data1(), FertiliserProducts[[#Headers],[Company]],1)</f>
        <v>Nitrogen - Nitrate</v>
      </c>
      <c r="R93" s="148" cm="1">
        <f t="array" ref="R93">Common_InputFunctions.Utility_DisplayArrayInTable(Fertiliser_SourceData.Fertiliser_Products_Data1(), FertiliserProducts[[#Headers],[Company]],1)</f>
        <v>0.13200000000000001</v>
      </c>
      <c r="S93" s="148" t="str" cm="1">
        <f t="array" ref="S93">Common_InputFunctions.Utility_DisplayArrayInTable(Fertiliser_SourceData.Fertiliser_Products_Data1(), FertiliserProducts[[#Headers],[Company]],1)</f>
        <v/>
      </c>
      <c r="T93" s="148" t="str" cm="1">
        <f t="array" ref="T93">Common_InputFunctions.Utility_DisplayArrayInTable(Fertiliser_SourceData.Fertiliser_Products_Data1(), FertiliserProducts[[#Headers],[Company]],1)</f>
        <v/>
      </c>
      <c r="U93" s="148" t="str" cm="1">
        <f t="array" ref="U93">Common_InputFunctions.Utility_DisplayArrayInTable(Fertiliser_SourceData.Fertiliser_Products_Data1(), FertiliserProducts[[#Headers],[Company]],1)</f>
        <v/>
      </c>
      <c r="V93" s="148" t="str" cm="1">
        <f t="array" ref="V93">Common_InputFunctions.Utility_DisplayArrayInTable(Fertiliser_SourceData.Fertiliser_Products_Data1(), FertiliserProducts[[#Headers],[Company]],1)</f>
        <v/>
      </c>
      <c r="W93" s="148" t="str" cm="1">
        <f t="array" ref="W93">Common_InputFunctions.Utility_DisplayArrayInTable(Fertiliser_SourceData.Fertiliser_Products_Data1(), FertiliserProducts[[#Headers],[Company]],1)</f>
        <v/>
      </c>
      <c r="X93" s="148" t="str" cm="1">
        <f t="array" ref="X93">Common_InputFunctions.Utility_DisplayArrayInTable(Fertiliser_SourceData.Fertiliser_Products_Data1(), FertiliserProducts[[#Headers],[Company]],1)</f>
        <v/>
      </c>
      <c r="Y93" s="148" t="str" cm="1">
        <f t="array" ref="Y93">Common_InputFunctions.Utility_DisplayArrayInTable(Fertiliser_SourceData.Fertiliser_Products_Data1(), FertiliserProducts[[#Headers],[Company]],1)</f>
        <v/>
      </c>
      <c r="Z93" s="148" t="str" cm="1">
        <f t="array" ref="Z93">Common_InputFunctions.Utility_DisplayArrayInTable(Fertiliser_SourceData.Fertiliser_Products_Data1(), FertiliserProducts[[#Headers],[Company]],1)</f>
        <v/>
      </c>
      <c r="AA93" s="148" t="str" cm="1">
        <f t="array" ref="AA93">Common_InputFunctions.Utility_DisplayArrayInTable(Fertiliser_SourceData.Fertiliser_Products_Data1(), FertiliserProducts[[#Headers],[Company]],1)</f>
        <v/>
      </c>
      <c r="AB93" s="148" t="str" cm="1">
        <f t="array" ref="AB93">Common_InputFunctions.Utility_DisplayArrayInTable(Fertiliser_SourceData.Fertiliser_Products_Data1(), FertiliserProducts[[#Headers],[Company]],1)</f>
        <v/>
      </c>
      <c r="AC93" s="148" t="str" cm="1">
        <f t="array" ref="AC93">Common_InputFunctions.Utility_DisplayArrayInTable(Fertiliser_SourceData.Fertiliser_Products_Data1(), FertiliserProducts[[#Headers],[Company]],1)</f>
        <v/>
      </c>
      <c r="AD93" s="148" t="str" cm="1">
        <f t="array" ref="AD93">Common_InputFunctions.Utility_DisplayArrayInTable(Fertiliser_SourceData.Fertiliser_Products_Data1(), FertiliserProducts[[#Headers],[Company]],1)</f>
        <v/>
      </c>
      <c r="AE93" s="148" t="str" cm="1">
        <f t="array" ref="AE93">Common_InputFunctions.Utility_DisplayArrayInTable(Fertiliser_SourceData.Fertiliser_Products_Data1(), FertiliserProducts[[#Headers],[Company]],1)</f>
        <v/>
      </c>
      <c r="AF93" s="148" t="str" cm="1">
        <f t="array" ref="AF93">Common_InputFunctions.Utility_DisplayArrayInTable(Fertiliser_SourceData.Fertiliser_Products_Data1(), FertiliserProducts[[#Headers],[Company]],1)</f>
        <v/>
      </c>
      <c r="AG93" s="148" t="str" cm="1">
        <f t="array" ref="AG93">Common_InputFunctions.Utility_DisplayArrayInTable(Fertiliser_SourceData.Fertiliser_Products_Data1(), FertiliserProducts[[#Headers],[Company]],1)</f>
        <v/>
      </c>
      <c r="AH93" s="148" t="str" cm="1">
        <f t="array" ref="AH93">Common_InputFunctions.Utility_DisplayArrayInTable(Fertiliser_SourceData.Fertiliser_Products_Data1(), FertiliserProducts[[#Headers],[Company]],1)</f>
        <v/>
      </c>
      <c r="AK93" s="1"/>
      <c r="AL93" s="1"/>
      <c r="AM93" s="1"/>
    </row>
    <row r="94" spans="4:39" ht="20.100000000000001" customHeight="1" x14ac:dyDescent="0.2">
      <c r="D94" s="148" t="str" cm="1">
        <f t="array" ref="D94">Common_InputFunctions.Utility_DisplayArrayInTable(Fertiliser_SourceData.Fertiliser_Products_Data1(), FertiliserProducts[[#Headers],[Company]],1)</f>
        <v>Campbells fertilisers Australia</v>
      </c>
      <c r="E94" s="148" t="str" cm="1">
        <f t="array" ref="E94">Common_InputFunctions.Utility_DisplayArrayInTable(Fertiliser_SourceData.Fertiliser_Products_Data1(), FertiliserProducts[[#Headers],[Company]],1)</f>
        <v>Aqua NitroCal (VI)</v>
      </c>
      <c r="F94" s="148" t="str" cm="1">
        <f t="array" ref="F94">Common_InputFunctions.Utility_DisplayArrayInTable(Fertiliser_SourceData.Fertiliser_Products_Data1(), FertiliserProducts[[#Headers],[Company]],1)</f>
        <v>L</v>
      </c>
      <c r="G94" s="148" cm="1">
        <f t="array" ref="G94">Common_InputFunctions.Utility_DisplayArrayInTable(Fertiliser_SourceData.Fertiliser_Products_Data1(), FertiliserProducts[[#Headers],[Company]],1)</f>
        <v>1.5</v>
      </c>
      <c r="H94" s="148" t="str" cm="1">
        <f t="array" ref="H94">Common_InputFunctions.Utility_DisplayArrayInTable(Fertiliser_SourceData.Fertiliser_Products_Data1(), FertiliserProducts[[#Headers],[Company]],1)</f>
        <v/>
      </c>
      <c r="I94" s="148" t="str" cm="1">
        <f t="array" ref="I94">Common_InputFunctions.Utility_DisplayArrayInTable(Fertiliser_SourceData.Fertiliser_Products_Data1(), FertiliserProducts[[#Headers],[Company]],1)</f>
        <v/>
      </c>
      <c r="J94" s="148" t="str" cm="1">
        <f t="array" ref="J94">Common_InputFunctions.Utility_DisplayArrayInTable(Fertiliser_SourceData.Fertiliser_Products_Data1(), FertiliserProducts[[#Headers],[Company]],1)</f>
        <v/>
      </c>
      <c r="K94" s="148" cm="1">
        <f t="array" ref="K94">Common_InputFunctions.Utility_DisplayArrayInTable(Fertiliser_SourceData.Fertiliser_Products_Data1(), FertiliserProducts[[#Headers],[Company]],1)</f>
        <v>13.2</v>
      </c>
      <c r="L94" s="148" t="str" cm="1">
        <f t="array" ref="L94">Common_InputFunctions.Utility_DisplayArrayInTable(Fertiliser_SourceData.Fertiliser_Products_Data1(), FertiliserProducts[[#Headers],[Company]],1)</f>
        <v/>
      </c>
      <c r="M94" s="148" t="str" cm="1">
        <f t="array" ref="M94">Common_InputFunctions.Utility_DisplayArrayInTable(Fertiliser_SourceData.Fertiliser_Products_Data1(), FertiliserProducts[[#Headers],[Company]],1)</f>
        <v/>
      </c>
      <c r="N94" s="148" t="str" cm="1">
        <f t="array" ref="N94">Common_InputFunctions.Utility_DisplayArrayInTable(Fertiliser_SourceData.Fertiliser_Products_Data1(), FertiliserProducts[[#Headers],[Company]],1)</f>
        <v/>
      </c>
      <c r="O94" s="148" t="str" cm="1">
        <f t="array" ref="O94">Common_InputFunctions.Utility_DisplayArrayInTable(Fertiliser_SourceData.Fertiliser_Products_Data1(), FertiliserProducts[[#Headers],[Company]],1)</f>
        <v>Calcium</v>
      </c>
      <c r="P94" s="148" cm="1">
        <f t="array" ref="P94">Common_InputFunctions.Utility_DisplayArrayInTable(Fertiliser_SourceData.Fertiliser_Products_Data1(), FertiliserProducts[[#Headers],[Company]],1)</f>
        <v>0.187</v>
      </c>
      <c r="Q94" s="148" t="str" cm="1">
        <f t="array" ref="Q94">Common_InputFunctions.Utility_DisplayArrayInTable(Fertiliser_SourceData.Fertiliser_Products_Data1(), FertiliserProducts[[#Headers],[Company]],1)</f>
        <v>Nitrogen - Nitrate</v>
      </c>
      <c r="R94" s="148" cm="1">
        <f t="array" ref="R94">Common_InputFunctions.Utility_DisplayArrayInTable(Fertiliser_SourceData.Fertiliser_Products_Data1(), FertiliserProducts[[#Headers],[Company]],1)</f>
        <v>0.13200000000000001</v>
      </c>
      <c r="S94" s="148" t="str" cm="1">
        <f t="array" ref="S94">Common_InputFunctions.Utility_DisplayArrayInTable(Fertiliser_SourceData.Fertiliser_Products_Data1(), FertiliserProducts[[#Headers],[Company]],1)</f>
        <v/>
      </c>
      <c r="T94" s="148" t="str" cm="1">
        <f t="array" ref="T94">Common_InputFunctions.Utility_DisplayArrayInTable(Fertiliser_SourceData.Fertiliser_Products_Data1(), FertiliserProducts[[#Headers],[Company]],1)</f>
        <v/>
      </c>
      <c r="U94" s="148" t="str" cm="1">
        <f t="array" ref="U94">Common_InputFunctions.Utility_DisplayArrayInTable(Fertiliser_SourceData.Fertiliser_Products_Data1(), FertiliserProducts[[#Headers],[Company]],1)</f>
        <v/>
      </c>
      <c r="V94" s="148" t="str" cm="1">
        <f t="array" ref="V94">Common_InputFunctions.Utility_DisplayArrayInTable(Fertiliser_SourceData.Fertiliser_Products_Data1(), FertiliserProducts[[#Headers],[Company]],1)</f>
        <v/>
      </c>
      <c r="W94" s="148" t="str" cm="1">
        <f t="array" ref="W94">Common_InputFunctions.Utility_DisplayArrayInTable(Fertiliser_SourceData.Fertiliser_Products_Data1(), FertiliserProducts[[#Headers],[Company]],1)</f>
        <v/>
      </c>
      <c r="X94" s="148" t="str" cm="1">
        <f t="array" ref="X94">Common_InputFunctions.Utility_DisplayArrayInTable(Fertiliser_SourceData.Fertiliser_Products_Data1(), FertiliserProducts[[#Headers],[Company]],1)</f>
        <v/>
      </c>
      <c r="Y94" s="148" t="str" cm="1">
        <f t="array" ref="Y94">Common_InputFunctions.Utility_DisplayArrayInTable(Fertiliser_SourceData.Fertiliser_Products_Data1(), FertiliserProducts[[#Headers],[Company]],1)</f>
        <v/>
      </c>
      <c r="Z94" s="148" t="str" cm="1">
        <f t="array" ref="Z94">Common_InputFunctions.Utility_DisplayArrayInTable(Fertiliser_SourceData.Fertiliser_Products_Data1(), FertiliserProducts[[#Headers],[Company]],1)</f>
        <v/>
      </c>
      <c r="AA94" s="148" t="str" cm="1">
        <f t="array" ref="AA94">Common_InputFunctions.Utility_DisplayArrayInTable(Fertiliser_SourceData.Fertiliser_Products_Data1(), FertiliserProducts[[#Headers],[Company]],1)</f>
        <v/>
      </c>
      <c r="AB94" s="148" t="str" cm="1">
        <f t="array" ref="AB94">Common_InputFunctions.Utility_DisplayArrayInTable(Fertiliser_SourceData.Fertiliser_Products_Data1(), FertiliserProducts[[#Headers],[Company]],1)</f>
        <v/>
      </c>
      <c r="AC94" s="148" t="str" cm="1">
        <f t="array" ref="AC94">Common_InputFunctions.Utility_DisplayArrayInTable(Fertiliser_SourceData.Fertiliser_Products_Data1(), FertiliserProducts[[#Headers],[Company]],1)</f>
        <v/>
      </c>
      <c r="AD94" s="148" t="str" cm="1">
        <f t="array" ref="AD94">Common_InputFunctions.Utility_DisplayArrayInTable(Fertiliser_SourceData.Fertiliser_Products_Data1(), FertiliserProducts[[#Headers],[Company]],1)</f>
        <v/>
      </c>
      <c r="AE94" s="148" t="str" cm="1">
        <f t="array" ref="AE94">Common_InputFunctions.Utility_DisplayArrayInTable(Fertiliser_SourceData.Fertiliser_Products_Data1(), FertiliserProducts[[#Headers],[Company]],1)</f>
        <v/>
      </c>
      <c r="AF94" s="148" t="str" cm="1">
        <f t="array" ref="AF94">Common_InputFunctions.Utility_DisplayArrayInTable(Fertiliser_SourceData.Fertiliser_Products_Data1(), FertiliserProducts[[#Headers],[Company]],1)</f>
        <v/>
      </c>
      <c r="AG94" s="148" t="str" cm="1">
        <f t="array" ref="AG94">Common_InputFunctions.Utility_DisplayArrayInTable(Fertiliser_SourceData.Fertiliser_Products_Data1(), FertiliserProducts[[#Headers],[Company]],1)</f>
        <v/>
      </c>
      <c r="AH94" s="148" t="str" cm="1">
        <f t="array" ref="AH94">Common_InputFunctions.Utility_DisplayArrayInTable(Fertiliser_SourceData.Fertiliser_Products_Data1(), FertiliserProducts[[#Headers],[Company]],1)</f>
        <v/>
      </c>
      <c r="AK94" s="1"/>
      <c r="AL94" s="1"/>
      <c r="AM94" s="1"/>
    </row>
    <row r="95" spans="4:39" ht="20.100000000000001" customHeight="1" x14ac:dyDescent="0.2">
      <c r="D95" s="148" t="str" cm="1">
        <f t="array" ref="D95">Common_InputFunctions.Utility_DisplayArrayInTable(Fertiliser_SourceData.Fertiliser_Products_Data1(), FertiliserProducts[[#Headers],[Company]],1)</f>
        <v>Campbells fertilisers Australia</v>
      </c>
      <c r="E95" s="148" t="str" cm="1">
        <f t="array" ref="E95">Common_InputFunctions.Utility_DisplayArrayInTable(Fertiliser_SourceData.Fertiliser_Products_Data1(), FertiliserProducts[[#Headers],[Company]],1)</f>
        <v>Aqua NitroCal Ultimate</v>
      </c>
      <c r="F95" s="148" t="str" cm="1">
        <f t="array" ref="F95">Common_InputFunctions.Utility_DisplayArrayInTable(Fertiliser_SourceData.Fertiliser_Products_Data1(), FertiliserProducts[[#Headers],[Company]],1)</f>
        <v>L</v>
      </c>
      <c r="G95" s="148" cm="1">
        <f t="array" ref="G95">Common_InputFunctions.Utility_DisplayArrayInTable(Fertiliser_SourceData.Fertiliser_Products_Data1(), FertiliserProducts[[#Headers],[Company]],1)</f>
        <v>1.5</v>
      </c>
      <c r="H95" s="148" t="str" cm="1">
        <f t="array" ref="H95">Common_InputFunctions.Utility_DisplayArrayInTable(Fertiliser_SourceData.Fertiliser_Products_Data1(), FertiliserProducts[[#Headers],[Company]],1)</f>
        <v/>
      </c>
      <c r="I95" s="148" t="str" cm="1">
        <f t="array" ref="I95">Common_InputFunctions.Utility_DisplayArrayInTable(Fertiliser_SourceData.Fertiliser_Products_Data1(), FertiliserProducts[[#Headers],[Company]],1)</f>
        <v/>
      </c>
      <c r="J95" s="148" t="str" cm="1">
        <f t="array" ref="J95">Common_InputFunctions.Utility_DisplayArrayInTable(Fertiliser_SourceData.Fertiliser_Products_Data1(), FertiliserProducts[[#Headers],[Company]],1)</f>
        <v/>
      </c>
      <c r="K95" s="148" cm="1">
        <f t="array" ref="K95">Common_InputFunctions.Utility_DisplayArrayInTable(Fertiliser_SourceData.Fertiliser_Products_Data1(), FertiliserProducts[[#Headers],[Company]],1)</f>
        <v>13.2</v>
      </c>
      <c r="L95" s="148" t="str" cm="1">
        <f t="array" ref="L95">Common_InputFunctions.Utility_DisplayArrayInTable(Fertiliser_SourceData.Fertiliser_Products_Data1(), FertiliserProducts[[#Headers],[Company]],1)</f>
        <v/>
      </c>
      <c r="M95" s="148" t="str" cm="1">
        <f t="array" ref="M95">Common_InputFunctions.Utility_DisplayArrayInTable(Fertiliser_SourceData.Fertiliser_Products_Data1(), FertiliserProducts[[#Headers],[Company]],1)</f>
        <v/>
      </c>
      <c r="N95" s="148" t="str" cm="1">
        <f t="array" ref="N95">Common_InputFunctions.Utility_DisplayArrayInTable(Fertiliser_SourceData.Fertiliser_Products_Data1(), FertiliserProducts[[#Headers],[Company]],1)</f>
        <v/>
      </c>
      <c r="O95" s="148" t="str" cm="1">
        <f t="array" ref="O95">Common_InputFunctions.Utility_DisplayArrayInTable(Fertiliser_SourceData.Fertiliser_Products_Data1(), FertiliserProducts[[#Headers],[Company]],1)</f>
        <v>Calcium</v>
      </c>
      <c r="P95" s="148" cm="1">
        <f t="array" ref="P95">Common_InputFunctions.Utility_DisplayArrayInTable(Fertiliser_SourceData.Fertiliser_Products_Data1(), FertiliserProducts[[#Headers],[Company]],1)</f>
        <v>0.183</v>
      </c>
      <c r="Q95" s="148" t="str" cm="1">
        <f t="array" ref="Q95">Common_InputFunctions.Utility_DisplayArrayInTable(Fertiliser_SourceData.Fertiliser_Products_Data1(), FertiliserProducts[[#Headers],[Company]],1)</f>
        <v>Nitrogen - Nitrate</v>
      </c>
      <c r="R95" s="148" cm="1">
        <f t="array" ref="R95">Common_InputFunctions.Utility_DisplayArrayInTable(Fertiliser_SourceData.Fertiliser_Products_Data1(), FertiliserProducts[[#Headers],[Company]],1)</f>
        <v>0.13200000000000001</v>
      </c>
      <c r="S95" s="148" t="str" cm="1">
        <f t="array" ref="S95">Common_InputFunctions.Utility_DisplayArrayInTable(Fertiliser_SourceData.Fertiliser_Products_Data1(), FertiliserProducts[[#Headers],[Company]],1)</f>
        <v/>
      </c>
      <c r="T95" s="148" t="str" cm="1">
        <f t="array" ref="T95">Common_InputFunctions.Utility_DisplayArrayInTable(Fertiliser_SourceData.Fertiliser_Products_Data1(), FertiliserProducts[[#Headers],[Company]],1)</f>
        <v/>
      </c>
      <c r="U95" s="148" t="str" cm="1">
        <f t="array" ref="U95">Common_InputFunctions.Utility_DisplayArrayInTable(Fertiliser_SourceData.Fertiliser_Products_Data1(), FertiliserProducts[[#Headers],[Company]],1)</f>
        <v/>
      </c>
      <c r="V95" s="148" t="str" cm="1">
        <f t="array" ref="V95">Common_InputFunctions.Utility_DisplayArrayInTable(Fertiliser_SourceData.Fertiliser_Products_Data1(), FertiliserProducts[[#Headers],[Company]],1)</f>
        <v/>
      </c>
      <c r="W95" s="148" t="str" cm="1">
        <f t="array" ref="W95">Common_InputFunctions.Utility_DisplayArrayInTable(Fertiliser_SourceData.Fertiliser_Products_Data1(), FertiliserProducts[[#Headers],[Company]],1)</f>
        <v/>
      </c>
      <c r="X95" s="148" t="str" cm="1">
        <f t="array" ref="X95">Common_InputFunctions.Utility_DisplayArrayInTable(Fertiliser_SourceData.Fertiliser_Products_Data1(), FertiliserProducts[[#Headers],[Company]],1)</f>
        <v/>
      </c>
      <c r="Y95" s="148" t="str" cm="1">
        <f t="array" ref="Y95">Common_InputFunctions.Utility_DisplayArrayInTable(Fertiliser_SourceData.Fertiliser_Products_Data1(), FertiliserProducts[[#Headers],[Company]],1)</f>
        <v/>
      </c>
      <c r="Z95" s="148" t="str" cm="1">
        <f t="array" ref="Z95">Common_InputFunctions.Utility_DisplayArrayInTable(Fertiliser_SourceData.Fertiliser_Products_Data1(), FertiliserProducts[[#Headers],[Company]],1)</f>
        <v/>
      </c>
      <c r="AA95" s="148" t="str" cm="1">
        <f t="array" ref="AA95">Common_InputFunctions.Utility_DisplayArrayInTable(Fertiliser_SourceData.Fertiliser_Products_Data1(), FertiliserProducts[[#Headers],[Company]],1)</f>
        <v/>
      </c>
      <c r="AB95" s="148" t="str" cm="1">
        <f t="array" ref="AB95">Common_InputFunctions.Utility_DisplayArrayInTable(Fertiliser_SourceData.Fertiliser_Products_Data1(), FertiliserProducts[[#Headers],[Company]],1)</f>
        <v/>
      </c>
      <c r="AC95" s="148" t="str" cm="1">
        <f t="array" ref="AC95">Common_InputFunctions.Utility_DisplayArrayInTable(Fertiliser_SourceData.Fertiliser_Products_Data1(), FertiliserProducts[[#Headers],[Company]],1)</f>
        <v/>
      </c>
      <c r="AD95" s="148" t="str" cm="1">
        <f t="array" ref="AD95">Common_InputFunctions.Utility_DisplayArrayInTable(Fertiliser_SourceData.Fertiliser_Products_Data1(), FertiliserProducts[[#Headers],[Company]],1)</f>
        <v/>
      </c>
      <c r="AE95" s="148" t="str" cm="1">
        <f t="array" ref="AE95">Common_InputFunctions.Utility_DisplayArrayInTable(Fertiliser_SourceData.Fertiliser_Products_Data1(), FertiliserProducts[[#Headers],[Company]],1)</f>
        <v/>
      </c>
      <c r="AF95" s="148" t="str" cm="1">
        <f t="array" ref="AF95">Common_InputFunctions.Utility_DisplayArrayInTable(Fertiliser_SourceData.Fertiliser_Products_Data1(), FertiliserProducts[[#Headers],[Company]],1)</f>
        <v/>
      </c>
      <c r="AG95" s="148" t="str" cm="1">
        <f t="array" ref="AG95">Common_InputFunctions.Utility_DisplayArrayInTable(Fertiliser_SourceData.Fertiliser_Products_Data1(), FertiliserProducts[[#Headers],[Company]],1)</f>
        <v/>
      </c>
      <c r="AH95" s="148" t="str" cm="1">
        <f t="array" ref="AH95">Common_InputFunctions.Utility_DisplayArrayInTable(Fertiliser_SourceData.Fertiliser_Products_Data1(), FertiliserProducts[[#Headers],[Company]],1)</f>
        <v/>
      </c>
      <c r="AK95" s="1"/>
      <c r="AL95" s="1"/>
      <c r="AM95" s="1"/>
    </row>
    <row r="96" spans="4:39" ht="20.100000000000001" customHeight="1" x14ac:dyDescent="0.2">
      <c r="D96" s="148" t="str" cm="1">
        <f t="array" ref="D96">Common_InputFunctions.Utility_DisplayArrayInTable(Fertiliser_SourceData.Fertiliser_Products_Data1(), FertiliserProducts[[#Headers],[Company]],1)</f>
        <v>Campbells fertilisers Australia</v>
      </c>
      <c r="E96" s="148" t="str" cm="1">
        <f t="array" ref="E96">Common_InputFunctions.Utility_DisplayArrayInTable(Fertiliser_SourceData.Fertiliser_Products_Data1(), FertiliserProducts[[#Headers],[Company]],1)</f>
        <v>Aqua Start</v>
      </c>
      <c r="F96" s="148" t="str" cm="1">
        <f t="array" ref="F96">Common_InputFunctions.Utility_DisplayArrayInTable(Fertiliser_SourceData.Fertiliser_Products_Data1(), FertiliserProducts[[#Headers],[Company]],1)</f>
        <v>L</v>
      </c>
      <c r="G96" s="148" cm="1">
        <f t="array" ref="G96">Common_InputFunctions.Utility_DisplayArrayInTable(Fertiliser_SourceData.Fertiliser_Products_Data1(), FertiliserProducts[[#Headers],[Company]],1)</f>
        <v>1.25</v>
      </c>
      <c r="H96" s="148" t="str" cm="1">
        <f t="array" ref="H96">Common_InputFunctions.Utility_DisplayArrayInTable(Fertiliser_SourceData.Fertiliser_Products_Data1(), FertiliserProducts[[#Headers],[Company]],1)</f>
        <v/>
      </c>
      <c r="I96" s="148" t="str" cm="1">
        <f t="array" ref="I96">Common_InputFunctions.Utility_DisplayArrayInTable(Fertiliser_SourceData.Fertiliser_Products_Data1(), FertiliserProducts[[#Headers],[Company]],1)</f>
        <v/>
      </c>
      <c r="J96" s="148" t="str" cm="1">
        <f t="array" ref="J96">Common_InputFunctions.Utility_DisplayArrayInTable(Fertiliser_SourceData.Fertiliser_Products_Data1(), FertiliserProducts[[#Headers],[Company]],1)</f>
        <v/>
      </c>
      <c r="K96" s="148" cm="1">
        <f t="array" ref="K96">Common_InputFunctions.Utility_DisplayArrayInTable(Fertiliser_SourceData.Fertiliser_Products_Data1(), FertiliserProducts[[#Headers],[Company]],1)</f>
        <v>10.3</v>
      </c>
      <c r="L96" s="148" cm="1">
        <f t="array" ref="L96">Common_InputFunctions.Utility_DisplayArrayInTable(Fertiliser_SourceData.Fertiliser_Products_Data1(), FertiliserProducts[[#Headers],[Company]],1)</f>
        <v>10</v>
      </c>
      <c r="M96" s="148" cm="1">
        <f t="array" ref="M96">Common_InputFunctions.Utility_DisplayArrayInTable(Fertiliser_SourceData.Fertiliser_Products_Data1(), FertiliserProducts[[#Headers],[Company]],1)</f>
        <v>3.4</v>
      </c>
      <c r="N96" s="148" t="str" cm="1">
        <f t="array" ref="N96">Common_InputFunctions.Utility_DisplayArrayInTable(Fertiliser_SourceData.Fertiliser_Products_Data1(), FertiliserProducts[[#Headers],[Company]],1)</f>
        <v/>
      </c>
      <c r="O96" s="148" t="str" cm="1">
        <f t="array" ref="O96">Common_InputFunctions.Utility_DisplayArrayInTable(Fertiliser_SourceData.Fertiliser_Products_Data1(), FertiliserProducts[[#Headers],[Company]],1)</f>
        <v>Nitrogen - Generic</v>
      </c>
      <c r="P96" s="148" cm="1">
        <f t="array" ref="P96">Common_InputFunctions.Utility_DisplayArrayInTable(Fertiliser_SourceData.Fertiliser_Products_Data1(), FertiliserProducts[[#Headers],[Company]],1)</f>
        <v>0.10299999999999999</v>
      </c>
      <c r="Q96" s="148" t="str" cm="1">
        <f t="array" ref="Q96">Common_InputFunctions.Utility_DisplayArrayInTable(Fertiliser_SourceData.Fertiliser_Products_Data1(), FertiliserProducts[[#Headers],[Company]],1)</f>
        <v>Phosphorus - Generic</v>
      </c>
      <c r="R96" s="148" cm="1">
        <f t="array" ref="R96">Common_InputFunctions.Utility_DisplayArrayInTable(Fertiliser_SourceData.Fertiliser_Products_Data1(), FertiliserProducts[[#Headers],[Company]],1)</f>
        <v>0.1</v>
      </c>
      <c r="S96" s="148" t="str" cm="1">
        <f t="array" ref="S96">Common_InputFunctions.Utility_DisplayArrayInTable(Fertiliser_SourceData.Fertiliser_Products_Data1(), FertiliserProducts[[#Headers],[Company]],1)</f>
        <v>Potassium - Generic</v>
      </c>
      <c r="T96" s="148" cm="1">
        <f t="array" ref="T96">Common_InputFunctions.Utility_DisplayArrayInTable(Fertiliser_SourceData.Fertiliser_Products_Data1(), FertiliserProducts[[#Headers],[Company]],1)</f>
        <v>3.4000000000000002E-2</v>
      </c>
      <c r="U96" s="148" t="str" cm="1">
        <f t="array" ref="U96">Common_InputFunctions.Utility_DisplayArrayInTable(Fertiliser_SourceData.Fertiliser_Products_Data1(), FertiliserProducts[[#Headers],[Company]],1)</f>
        <v/>
      </c>
      <c r="V96" s="148" t="str" cm="1">
        <f t="array" ref="V96">Common_InputFunctions.Utility_DisplayArrayInTable(Fertiliser_SourceData.Fertiliser_Products_Data1(), FertiliserProducts[[#Headers],[Company]],1)</f>
        <v/>
      </c>
      <c r="W96" s="148" t="str" cm="1">
        <f t="array" ref="W96">Common_InputFunctions.Utility_DisplayArrayInTable(Fertiliser_SourceData.Fertiliser_Products_Data1(), FertiliserProducts[[#Headers],[Company]],1)</f>
        <v/>
      </c>
      <c r="X96" s="148" t="str" cm="1">
        <f t="array" ref="X96">Common_InputFunctions.Utility_DisplayArrayInTable(Fertiliser_SourceData.Fertiliser_Products_Data1(), FertiliserProducts[[#Headers],[Company]],1)</f>
        <v/>
      </c>
      <c r="Y96" s="148" t="str" cm="1">
        <f t="array" ref="Y96">Common_InputFunctions.Utility_DisplayArrayInTable(Fertiliser_SourceData.Fertiliser_Products_Data1(), FertiliserProducts[[#Headers],[Company]],1)</f>
        <v/>
      </c>
      <c r="Z96" s="148" t="str" cm="1">
        <f t="array" ref="Z96">Common_InputFunctions.Utility_DisplayArrayInTable(Fertiliser_SourceData.Fertiliser_Products_Data1(), FertiliserProducts[[#Headers],[Company]],1)</f>
        <v/>
      </c>
      <c r="AA96" s="148" t="str" cm="1">
        <f t="array" ref="AA96">Common_InputFunctions.Utility_DisplayArrayInTable(Fertiliser_SourceData.Fertiliser_Products_Data1(), FertiliserProducts[[#Headers],[Company]],1)</f>
        <v/>
      </c>
      <c r="AB96" s="148" t="str" cm="1">
        <f t="array" ref="AB96">Common_InputFunctions.Utility_DisplayArrayInTable(Fertiliser_SourceData.Fertiliser_Products_Data1(), FertiliserProducts[[#Headers],[Company]],1)</f>
        <v/>
      </c>
      <c r="AC96" s="148" t="str" cm="1">
        <f t="array" ref="AC96">Common_InputFunctions.Utility_DisplayArrayInTable(Fertiliser_SourceData.Fertiliser_Products_Data1(), FertiliserProducts[[#Headers],[Company]],1)</f>
        <v/>
      </c>
      <c r="AD96" s="148" t="str" cm="1">
        <f t="array" ref="AD96">Common_InputFunctions.Utility_DisplayArrayInTable(Fertiliser_SourceData.Fertiliser_Products_Data1(), FertiliserProducts[[#Headers],[Company]],1)</f>
        <v/>
      </c>
      <c r="AE96" s="148" t="str" cm="1">
        <f t="array" ref="AE96">Common_InputFunctions.Utility_DisplayArrayInTable(Fertiliser_SourceData.Fertiliser_Products_Data1(), FertiliserProducts[[#Headers],[Company]],1)</f>
        <v/>
      </c>
      <c r="AF96" s="148" t="str" cm="1">
        <f t="array" ref="AF96">Common_InputFunctions.Utility_DisplayArrayInTable(Fertiliser_SourceData.Fertiliser_Products_Data1(), FertiliserProducts[[#Headers],[Company]],1)</f>
        <v/>
      </c>
      <c r="AG96" s="148" t="str" cm="1">
        <f t="array" ref="AG96">Common_InputFunctions.Utility_DisplayArrayInTable(Fertiliser_SourceData.Fertiliser_Products_Data1(), FertiliserProducts[[#Headers],[Company]],1)</f>
        <v/>
      </c>
      <c r="AH96" s="148" t="str" cm="1">
        <f t="array" ref="AH96">Common_InputFunctions.Utility_DisplayArrayInTable(Fertiliser_SourceData.Fertiliser_Products_Data1(), FertiliserProducts[[#Headers],[Company]],1)</f>
        <v/>
      </c>
      <c r="AK96" s="1"/>
      <c r="AL96" s="1"/>
      <c r="AM96" s="1"/>
    </row>
    <row r="97" spans="1:39" ht="20.100000000000001" customHeight="1" x14ac:dyDescent="0.2">
      <c r="D97" s="148" t="str" cm="1">
        <f t="array" ref="D97">Common_InputFunctions.Utility_DisplayArrayInTable(Fertiliser_SourceData.Fertiliser_Products_Data1(), FertiliserProducts[[#Headers],[Company]],1)</f>
        <v>Campbells fertilisers Australia</v>
      </c>
      <c r="E97" s="148" t="str" cm="1">
        <f t="array" ref="E97">Common_InputFunctions.Utility_DisplayArrayInTable(Fertiliser_SourceData.Fertiliser_Products_Data1(), FertiliserProducts[[#Headers],[Company]],1)</f>
        <v>Aqua Thio-Complete</v>
      </c>
      <c r="F97" s="148" t="str" cm="1">
        <f t="array" ref="F97">Common_InputFunctions.Utility_DisplayArrayInTable(Fertiliser_SourceData.Fertiliser_Products_Data1(), FertiliserProducts[[#Headers],[Company]],1)</f>
        <v>L</v>
      </c>
      <c r="G97" s="148" cm="1">
        <f t="array" ref="G97">Common_InputFunctions.Utility_DisplayArrayInTable(Fertiliser_SourceData.Fertiliser_Products_Data1(), FertiliserProducts[[#Headers],[Company]],1)</f>
        <v>1.43</v>
      </c>
      <c r="H97" s="148" t="str" cm="1">
        <f t="array" ref="H97">Common_InputFunctions.Utility_DisplayArrayInTable(Fertiliser_SourceData.Fertiliser_Products_Data1(), FertiliserProducts[[#Headers],[Company]],1)</f>
        <v/>
      </c>
      <c r="I97" s="148" t="str" cm="1">
        <f t="array" ref="I97">Common_InputFunctions.Utility_DisplayArrayInTable(Fertiliser_SourceData.Fertiliser_Products_Data1(), FertiliserProducts[[#Headers],[Company]],1)</f>
        <v/>
      </c>
      <c r="J97" s="148" t="str" cm="1">
        <f t="array" ref="J97">Common_InputFunctions.Utility_DisplayArrayInTable(Fertiliser_SourceData.Fertiliser_Products_Data1(), FertiliserProducts[[#Headers],[Company]],1)</f>
        <v/>
      </c>
      <c r="K97" s="148" cm="1">
        <f t="array" ref="K97">Common_InputFunctions.Utility_DisplayArrayInTable(Fertiliser_SourceData.Fertiliser_Products_Data1(), FertiliserProducts[[#Headers],[Company]],1)</f>
        <v>2.5</v>
      </c>
      <c r="L97" s="148" cm="1">
        <f t="array" ref="L97">Common_InputFunctions.Utility_DisplayArrayInTable(Fertiliser_SourceData.Fertiliser_Products_Data1(), FertiliserProducts[[#Headers],[Company]],1)</f>
        <v>3.8</v>
      </c>
      <c r="M97" s="148" cm="1">
        <f t="array" ref="M97">Common_InputFunctions.Utility_DisplayArrayInTable(Fertiliser_SourceData.Fertiliser_Products_Data1(), FertiliserProducts[[#Headers],[Company]],1)</f>
        <v>22.5</v>
      </c>
      <c r="N97" s="148" t="str" cm="1">
        <f t="array" ref="N97">Common_InputFunctions.Utility_DisplayArrayInTable(Fertiliser_SourceData.Fertiliser_Products_Data1(), FertiliserProducts[[#Headers],[Company]],1)</f>
        <v/>
      </c>
      <c r="O97" s="148" t="str" cm="1">
        <f t="array" ref="O97">Common_InputFunctions.Utility_DisplayArrayInTable(Fertiliser_SourceData.Fertiliser_Products_Data1(), FertiliserProducts[[#Headers],[Company]],1)</f>
        <v>Potassium - Generic</v>
      </c>
      <c r="P97" s="148" cm="1">
        <f t="array" ref="P97">Common_InputFunctions.Utility_DisplayArrayInTable(Fertiliser_SourceData.Fertiliser_Products_Data1(), FertiliserProducts[[#Headers],[Company]],1)</f>
        <v>0.22500000000000001</v>
      </c>
      <c r="Q97" s="148" t="str" cm="1">
        <f t="array" ref="Q97">Common_InputFunctions.Utility_DisplayArrayInTable(Fertiliser_SourceData.Fertiliser_Products_Data1(), FertiliserProducts[[#Headers],[Company]],1)</f>
        <v>Phosphorus - Generic</v>
      </c>
      <c r="R97" s="148" cm="1">
        <f t="array" ref="R97">Common_InputFunctions.Utility_DisplayArrayInTable(Fertiliser_SourceData.Fertiliser_Products_Data1(), FertiliserProducts[[#Headers],[Company]],1)</f>
        <v>3.7999999999999999E-2</v>
      </c>
      <c r="S97" s="148" t="str" cm="1">
        <f t="array" ref="S97">Common_InputFunctions.Utility_DisplayArrayInTable(Fertiliser_SourceData.Fertiliser_Products_Data1(), FertiliserProducts[[#Headers],[Company]],1)</f>
        <v>Nitrogen - Generic</v>
      </c>
      <c r="T97" s="148" cm="1">
        <f t="array" ref="T97">Common_InputFunctions.Utility_DisplayArrayInTable(Fertiliser_SourceData.Fertiliser_Products_Data1(), FertiliserProducts[[#Headers],[Company]],1)</f>
        <v>2.5000000000000001E-2</v>
      </c>
      <c r="U97" s="148" t="str" cm="1">
        <f t="array" ref="U97">Common_InputFunctions.Utility_DisplayArrayInTable(Fertiliser_SourceData.Fertiliser_Products_Data1(), FertiliserProducts[[#Headers],[Company]],1)</f>
        <v/>
      </c>
      <c r="V97" s="148" t="str" cm="1">
        <f t="array" ref="V97">Common_InputFunctions.Utility_DisplayArrayInTable(Fertiliser_SourceData.Fertiliser_Products_Data1(), FertiliserProducts[[#Headers],[Company]],1)</f>
        <v/>
      </c>
      <c r="W97" s="148" t="str" cm="1">
        <f t="array" ref="W97">Common_InputFunctions.Utility_DisplayArrayInTable(Fertiliser_SourceData.Fertiliser_Products_Data1(), FertiliserProducts[[#Headers],[Company]],1)</f>
        <v/>
      </c>
      <c r="X97" s="148" t="str" cm="1">
        <f t="array" ref="X97">Common_InputFunctions.Utility_DisplayArrayInTable(Fertiliser_SourceData.Fertiliser_Products_Data1(), FertiliserProducts[[#Headers],[Company]],1)</f>
        <v/>
      </c>
      <c r="Y97" s="148" t="str" cm="1">
        <f t="array" ref="Y97">Common_InputFunctions.Utility_DisplayArrayInTable(Fertiliser_SourceData.Fertiliser_Products_Data1(), FertiliserProducts[[#Headers],[Company]],1)</f>
        <v/>
      </c>
      <c r="Z97" s="148" t="str" cm="1">
        <f t="array" ref="Z97">Common_InputFunctions.Utility_DisplayArrayInTable(Fertiliser_SourceData.Fertiliser_Products_Data1(), FertiliserProducts[[#Headers],[Company]],1)</f>
        <v/>
      </c>
      <c r="AA97" s="148" t="str" cm="1">
        <f t="array" ref="AA97">Common_InputFunctions.Utility_DisplayArrayInTable(Fertiliser_SourceData.Fertiliser_Products_Data1(), FertiliserProducts[[#Headers],[Company]],1)</f>
        <v/>
      </c>
      <c r="AB97" s="148" t="str" cm="1">
        <f t="array" ref="AB97">Common_InputFunctions.Utility_DisplayArrayInTable(Fertiliser_SourceData.Fertiliser_Products_Data1(), FertiliserProducts[[#Headers],[Company]],1)</f>
        <v/>
      </c>
      <c r="AC97" s="148" t="str" cm="1">
        <f t="array" ref="AC97">Common_InputFunctions.Utility_DisplayArrayInTable(Fertiliser_SourceData.Fertiliser_Products_Data1(), FertiliserProducts[[#Headers],[Company]],1)</f>
        <v/>
      </c>
      <c r="AD97" s="148" t="str" cm="1">
        <f t="array" ref="AD97">Common_InputFunctions.Utility_DisplayArrayInTable(Fertiliser_SourceData.Fertiliser_Products_Data1(), FertiliserProducts[[#Headers],[Company]],1)</f>
        <v/>
      </c>
      <c r="AE97" s="148" t="str" cm="1">
        <f t="array" ref="AE97">Common_InputFunctions.Utility_DisplayArrayInTable(Fertiliser_SourceData.Fertiliser_Products_Data1(), FertiliserProducts[[#Headers],[Company]],1)</f>
        <v/>
      </c>
      <c r="AF97" s="148" t="str" cm="1">
        <f t="array" ref="AF97">Common_InputFunctions.Utility_DisplayArrayInTable(Fertiliser_SourceData.Fertiliser_Products_Data1(), FertiliserProducts[[#Headers],[Company]],1)</f>
        <v/>
      </c>
      <c r="AG97" s="148" t="str" cm="1">
        <f t="array" ref="AG97">Common_InputFunctions.Utility_DisplayArrayInTable(Fertiliser_SourceData.Fertiliser_Products_Data1(), FertiliserProducts[[#Headers],[Company]],1)</f>
        <v/>
      </c>
      <c r="AH97" s="148" t="str" cm="1">
        <f t="array" ref="AH97">Common_InputFunctions.Utility_DisplayArrayInTable(Fertiliser_SourceData.Fertiliser_Products_Data1(), FertiliserProducts[[#Headers],[Company]],1)</f>
        <v/>
      </c>
      <c r="AK97" s="1"/>
      <c r="AL97" s="1"/>
      <c r="AM97" s="1"/>
    </row>
    <row r="98" spans="1:39" ht="20.100000000000001" customHeight="1" x14ac:dyDescent="0.2">
      <c r="A98" s="79" t="str">
        <f>HYPERLINK("#A1", "▲ Back to top")</f>
        <v>▲ Back to top</v>
      </c>
      <c r="D98" s="148" t="str" cm="1">
        <f t="array" ref="D98">Common_InputFunctions.Utility_DisplayArrayInTable(Fertiliser_SourceData.Fertiliser_Products_Data1(), FertiliserProducts[[#Headers],[Company]],1)</f>
        <v>Campbells fertilisers Australia</v>
      </c>
      <c r="E98" s="148" t="str" cm="1">
        <f t="array" ref="E98">Common_InputFunctions.Utility_DisplayArrayInTable(Fertiliser_SourceData.Fertiliser_Products_Data1(), FertiliserProducts[[#Headers],[Company]],1)</f>
        <v>Aqua Thio-Emerge</v>
      </c>
      <c r="F98" s="148" t="str" cm="1">
        <f t="array" ref="F98">Common_InputFunctions.Utility_DisplayArrayInTable(Fertiliser_SourceData.Fertiliser_Products_Data1(), FertiliserProducts[[#Headers],[Company]],1)</f>
        <v>L</v>
      </c>
      <c r="G98" s="148" cm="1">
        <f t="array" ref="G98">Common_InputFunctions.Utility_DisplayArrayInTable(Fertiliser_SourceData.Fertiliser_Products_Data1(), FertiliserProducts[[#Headers],[Company]],1)</f>
        <v>1.29</v>
      </c>
      <c r="H98" s="148" t="str" cm="1">
        <f t="array" ref="H98">Common_InputFunctions.Utility_DisplayArrayInTable(Fertiliser_SourceData.Fertiliser_Products_Data1(), FertiliserProducts[[#Headers],[Company]],1)</f>
        <v/>
      </c>
      <c r="I98" s="148" t="str" cm="1">
        <f t="array" ref="I98">Common_InputFunctions.Utility_DisplayArrayInTable(Fertiliser_SourceData.Fertiliser_Products_Data1(), FertiliserProducts[[#Headers],[Company]],1)</f>
        <v/>
      </c>
      <c r="J98" s="148" t="str" cm="1">
        <f t="array" ref="J98">Common_InputFunctions.Utility_DisplayArrayInTable(Fertiliser_SourceData.Fertiliser_Products_Data1(), FertiliserProducts[[#Headers],[Company]],1)</f>
        <v/>
      </c>
      <c r="K98" s="148" cm="1">
        <f t="array" ref="K98">Common_InputFunctions.Utility_DisplayArrayInTable(Fertiliser_SourceData.Fertiliser_Products_Data1(), FertiliserProducts[[#Headers],[Company]],1)</f>
        <v>10.5</v>
      </c>
      <c r="L98" s="148" cm="1">
        <f t="array" ref="L98">Common_InputFunctions.Utility_DisplayArrayInTable(Fertiliser_SourceData.Fertiliser_Products_Data1(), FertiliserProducts[[#Headers],[Company]],1)</f>
        <v>9.4</v>
      </c>
      <c r="M98" s="148" cm="1">
        <f t="array" ref="M98">Common_InputFunctions.Utility_DisplayArrayInTable(Fertiliser_SourceData.Fertiliser_Products_Data1(), FertiliserProducts[[#Headers],[Company]],1)</f>
        <v>4</v>
      </c>
      <c r="N98" s="148" cm="1">
        <f t="array" ref="N98">Common_InputFunctions.Utility_DisplayArrayInTable(Fertiliser_SourceData.Fertiliser_Products_Data1(), FertiliserProducts[[#Headers],[Company]],1)</f>
        <v>3</v>
      </c>
      <c r="O98" s="148" t="str" cm="1">
        <f t="array" ref="O98">Common_InputFunctions.Utility_DisplayArrayInTable(Fertiliser_SourceData.Fertiliser_Products_Data1(), FertiliserProducts[[#Headers],[Company]],1)</f>
        <v>Nitrogen - Generic</v>
      </c>
      <c r="P98" s="148" cm="1">
        <f t="array" ref="P98">Common_InputFunctions.Utility_DisplayArrayInTable(Fertiliser_SourceData.Fertiliser_Products_Data1(), FertiliserProducts[[#Headers],[Company]],1)</f>
        <v>0.105</v>
      </c>
      <c r="Q98" s="148" t="str" cm="1">
        <f t="array" ref="Q98">Common_InputFunctions.Utility_DisplayArrayInTable(Fertiliser_SourceData.Fertiliser_Products_Data1(), FertiliserProducts[[#Headers],[Company]],1)</f>
        <v>Phosphorus - Generic</v>
      </c>
      <c r="R98" s="148" cm="1">
        <f t="array" ref="R98">Common_InputFunctions.Utility_DisplayArrayInTable(Fertiliser_SourceData.Fertiliser_Products_Data1(), FertiliserProducts[[#Headers],[Company]],1)</f>
        <v>9.4E-2</v>
      </c>
      <c r="S98" s="148" t="str" cm="1">
        <f t="array" ref="S98">Common_InputFunctions.Utility_DisplayArrayInTable(Fertiliser_SourceData.Fertiliser_Products_Data1(), FertiliserProducts[[#Headers],[Company]],1)</f>
        <v>Potassium - Generic</v>
      </c>
      <c r="T98" s="148" cm="1">
        <f t="array" ref="T98">Common_InputFunctions.Utility_DisplayArrayInTable(Fertiliser_SourceData.Fertiliser_Products_Data1(), FertiliserProducts[[#Headers],[Company]],1)</f>
        <v>0.04</v>
      </c>
      <c r="U98" s="148" t="str" cm="1">
        <f t="array" ref="U98">Common_InputFunctions.Utility_DisplayArrayInTable(Fertiliser_SourceData.Fertiliser_Products_Data1(), FertiliserProducts[[#Headers],[Company]],1)</f>
        <v>Sulfur - Generic</v>
      </c>
      <c r="V98" s="148" cm="1">
        <f t="array" ref="V98">Common_InputFunctions.Utility_DisplayArrayInTable(Fertiliser_SourceData.Fertiliser_Products_Data1(), FertiliserProducts[[#Headers],[Company]],1)</f>
        <v>0.03</v>
      </c>
      <c r="W98" s="148" t="str" cm="1">
        <f t="array" ref="W98">Common_InputFunctions.Utility_DisplayArrayInTable(Fertiliser_SourceData.Fertiliser_Products_Data1(), FertiliserProducts[[#Headers],[Company]],1)</f>
        <v/>
      </c>
      <c r="X98" s="148" t="str" cm="1">
        <f t="array" ref="X98">Common_InputFunctions.Utility_DisplayArrayInTable(Fertiliser_SourceData.Fertiliser_Products_Data1(), FertiliserProducts[[#Headers],[Company]],1)</f>
        <v/>
      </c>
      <c r="Y98" s="148" t="str" cm="1">
        <f t="array" ref="Y98">Common_InputFunctions.Utility_DisplayArrayInTable(Fertiliser_SourceData.Fertiliser_Products_Data1(), FertiliserProducts[[#Headers],[Company]],1)</f>
        <v/>
      </c>
      <c r="Z98" s="148" t="str" cm="1">
        <f t="array" ref="Z98">Common_InputFunctions.Utility_DisplayArrayInTable(Fertiliser_SourceData.Fertiliser_Products_Data1(), FertiliserProducts[[#Headers],[Company]],1)</f>
        <v/>
      </c>
      <c r="AA98" s="148" t="str" cm="1">
        <f t="array" ref="AA98">Common_InputFunctions.Utility_DisplayArrayInTable(Fertiliser_SourceData.Fertiliser_Products_Data1(), FertiliserProducts[[#Headers],[Company]],1)</f>
        <v/>
      </c>
      <c r="AB98" s="148" t="str" cm="1">
        <f t="array" ref="AB98">Common_InputFunctions.Utility_DisplayArrayInTable(Fertiliser_SourceData.Fertiliser_Products_Data1(), FertiliserProducts[[#Headers],[Company]],1)</f>
        <v/>
      </c>
      <c r="AC98" s="148" t="str" cm="1">
        <f t="array" ref="AC98">Common_InputFunctions.Utility_DisplayArrayInTable(Fertiliser_SourceData.Fertiliser_Products_Data1(), FertiliserProducts[[#Headers],[Company]],1)</f>
        <v/>
      </c>
      <c r="AD98" s="148" t="str" cm="1">
        <f t="array" ref="AD98">Common_InputFunctions.Utility_DisplayArrayInTable(Fertiliser_SourceData.Fertiliser_Products_Data1(), FertiliserProducts[[#Headers],[Company]],1)</f>
        <v/>
      </c>
      <c r="AE98" s="148" t="str" cm="1">
        <f t="array" ref="AE98">Common_InputFunctions.Utility_DisplayArrayInTable(Fertiliser_SourceData.Fertiliser_Products_Data1(), FertiliserProducts[[#Headers],[Company]],1)</f>
        <v/>
      </c>
      <c r="AF98" s="148" t="str" cm="1">
        <f t="array" ref="AF98">Common_InputFunctions.Utility_DisplayArrayInTable(Fertiliser_SourceData.Fertiliser_Products_Data1(), FertiliserProducts[[#Headers],[Company]],1)</f>
        <v/>
      </c>
      <c r="AG98" s="148" t="str" cm="1">
        <f t="array" ref="AG98">Common_InputFunctions.Utility_DisplayArrayInTable(Fertiliser_SourceData.Fertiliser_Products_Data1(), FertiliserProducts[[#Headers],[Company]],1)</f>
        <v/>
      </c>
      <c r="AH98" s="148" t="str" cm="1">
        <f t="array" ref="AH98">Common_InputFunctions.Utility_DisplayArrayInTable(Fertiliser_SourceData.Fertiliser_Products_Data1(), FertiliserProducts[[#Headers],[Company]],1)</f>
        <v/>
      </c>
      <c r="AK98" s="1"/>
      <c r="AL98" s="1"/>
      <c r="AM98" s="1"/>
    </row>
    <row r="99" spans="1:39" ht="20.100000000000001" customHeight="1" x14ac:dyDescent="0.2">
      <c r="D99" s="148" t="str" cm="1">
        <f t="array" ref="D99">Common_InputFunctions.Utility_DisplayArrayInTable(Fertiliser_SourceData.Fertiliser_Products_Data1(), FertiliserProducts[[#Headers],[Company]],1)</f>
        <v>Campbells fertilisers Australia</v>
      </c>
      <c r="E99" s="148" t="str" cm="1">
        <f t="array" ref="E99">Common_InputFunctions.Utility_DisplayArrayInTable(Fertiliser_SourceData.Fertiliser_Products_Data1(), FertiliserProducts[[#Headers],[Company]],1)</f>
        <v>Aqua Thio-Flourish</v>
      </c>
      <c r="F99" s="148" t="str" cm="1">
        <f t="array" ref="F99">Common_InputFunctions.Utility_DisplayArrayInTable(Fertiliser_SourceData.Fertiliser_Products_Data1(), FertiliserProducts[[#Headers],[Company]],1)</f>
        <v>L</v>
      </c>
      <c r="G99" s="148" cm="1">
        <f t="array" ref="G99">Common_InputFunctions.Utility_DisplayArrayInTable(Fertiliser_SourceData.Fertiliser_Products_Data1(), FertiliserProducts[[#Headers],[Company]],1)</f>
        <v>1.32</v>
      </c>
      <c r="H99" s="148" t="str" cm="1">
        <f t="array" ref="H99">Common_InputFunctions.Utility_DisplayArrayInTable(Fertiliser_SourceData.Fertiliser_Products_Data1(), FertiliserProducts[[#Headers],[Company]],1)</f>
        <v/>
      </c>
      <c r="I99" s="148" t="str" cm="1">
        <f t="array" ref="I99">Common_InputFunctions.Utility_DisplayArrayInTable(Fertiliser_SourceData.Fertiliser_Products_Data1(), FertiliserProducts[[#Headers],[Company]],1)</f>
        <v/>
      </c>
      <c r="J99" s="148" t="str" cm="1">
        <f t="array" ref="J99">Common_InputFunctions.Utility_DisplayArrayInTable(Fertiliser_SourceData.Fertiliser_Products_Data1(), FertiliserProducts[[#Headers],[Company]],1)</f>
        <v/>
      </c>
      <c r="K99" s="148" cm="1">
        <f t="array" ref="K99">Common_InputFunctions.Utility_DisplayArrayInTable(Fertiliser_SourceData.Fertiliser_Products_Data1(), FertiliserProducts[[#Headers],[Company]],1)</f>
        <v>9.5</v>
      </c>
      <c r="L99" s="148" cm="1">
        <f t="array" ref="L99">Common_InputFunctions.Utility_DisplayArrayInTable(Fertiliser_SourceData.Fertiliser_Products_Data1(), FertiliserProducts[[#Headers],[Company]],1)</f>
        <v>4.7</v>
      </c>
      <c r="M99" s="148" cm="1">
        <f t="array" ref="M99">Common_InputFunctions.Utility_DisplayArrayInTable(Fertiliser_SourceData.Fertiliser_Products_Data1(), FertiliserProducts[[#Headers],[Company]],1)</f>
        <v>10.8</v>
      </c>
      <c r="N99" s="148" cm="1">
        <f t="array" ref="N99">Common_InputFunctions.Utility_DisplayArrayInTable(Fertiliser_SourceData.Fertiliser_Products_Data1(), FertiliserProducts[[#Headers],[Company]],1)</f>
        <v>8.1</v>
      </c>
      <c r="O99" s="148" t="str" cm="1">
        <f t="array" ref="O99">Common_InputFunctions.Utility_DisplayArrayInTable(Fertiliser_SourceData.Fertiliser_Products_Data1(), FertiliserProducts[[#Headers],[Company]],1)</f>
        <v>Potassium - Generic</v>
      </c>
      <c r="P99" s="148" cm="1">
        <f t="array" ref="P99">Common_InputFunctions.Utility_DisplayArrayInTable(Fertiliser_SourceData.Fertiliser_Products_Data1(), FertiliserProducts[[#Headers],[Company]],1)</f>
        <v>0.108</v>
      </c>
      <c r="Q99" s="148" t="str" cm="1">
        <f t="array" ref="Q99">Common_InputFunctions.Utility_DisplayArrayInTable(Fertiliser_SourceData.Fertiliser_Products_Data1(), FertiliserProducts[[#Headers],[Company]],1)</f>
        <v>Nitrogen - Generic</v>
      </c>
      <c r="R99" s="148" cm="1">
        <f t="array" ref="R99">Common_InputFunctions.Utility_DisplayArrayInTable(Fertiliser_SourceData.Fertiliser_Products_Data1(), FertiliserProducts[[#Headers],[Company]],1)</f>
        <v>9.5000000000000001E-2</v>
      </c>
      <c r="S99" s="148" t="str" cm="1">
        <f t="array" ref="S99">Common_InputFunctions.Utility_DisplayArrayInTable(Fertiliser_SourceData.Fertiliser_Products_Data1(), FertiliserProducts[[#Headers],[Company]],1)</f>
        <v>Sulfur - Generic</v>
      </c>
      <c r="T99" s="148" cm="1">
        <f t="array" ref="T99">Common_InputFunctions.Utility_DisplayArrayInTable(Fertiliser_SourceData.Fertiliser_Products_Data1(), FertiliserProducts[[#Headers],[Company]],1)</f>
        <v>8.1000000000000003E-2</v>
      </c>
      <c r="U99" s="148" t="str" cm="1">
        <f t="array" ref="U99">Common_InputFunctions.Utility_DisplayArrayInTable(Fertiliser_SourceData.Fertiliser_Products_Data1(), FertiliserProducts[[#Headers],[Company]],1)</f>
        <v>Phosphorus - Generic</v>
      </c>
      <c r="V99" s="148" cm="1">
        <f t="array" ref="V99">Common_InputFunctions.Utility_DisplayArrayInTable(Fertiliser_SourceData.Fertiliser_Products_Data1(), FertiliserProducts[[#Headers],[Company]],1)</f>
        <v>4.7E-2</v>
      </c>
      <c r="W99" s="148" t="str" cm="1">
        <f t="array" ref="W99">Common_InputFunctions.Utility_DisplayArrayInTable(Fertiliser_SourceData.Fertiliser_Products_Data1(), FertiliserProducts[[#Headers],[Company]],1)</f>
        <v/>
      </c>
      <c r="X99" s="148" t="str" cm="1">
        <f t="array" ref="X99">Common_InputFunctions.Utility_DisplayArrayInTable(Fertiliser_SourceData.Fertiliser_Products_Data1(), FertiliserProducts[[#Headers],[Company]],1)</f>
        <v/>
      </c>
      <c r="Y99" s="148" t="str" cm="1">
        <f t="array" ref="Y99">Common_InputFunctions.Utility_DisplayArrayInTable(Fertiliser_SourceData.Fertiliser_Products_Data1(), FertiliserProducts[[#Headers],[Company]],1)</f>
        <v/>
      </c>
      <c r="Z99" s="148" t="str" cm="1">
        <f t="array" ref="Z99">Common_InputFunctions.Utility_DisplayArrayInTable(Fertiliser_SourceData.Fertiliser_Products_Data1(), FertiliserProducts[[#Headers],[Company]],1)</f>
        <v/>
      </c>
      <c r="AA99" s="148" t="str" cm="1">
        <f t="array" ref="AA99">Common_InputFunctions.Utility_DisplayArrayInTable(Fertiliser_SourceData.Fertiliser_Products_Data1(), FertiliserProducts[[#Headers],[Company]],1)</f>
        <v/>
      </c>
      <c r="AB99" s="148" t="str" cm="1">
        <f t="array" ref="AB99">Common_InputFunctions.Utility_DisplayArrayInTable(Fertiliser_SourceData.Fertiliser_Products_Data1(), FertiliserProducts[[#Headers],[Company]],1)</f>
        <v/>
      </c>
      <c r="AC99" s="148" t="str" cm="1">
        <f t="array" ref="AC99">Common_InputFunctions.Utility_DisplayArrayInTable(Fertiliser_SourceData.Fertiliser_Products_Data1(), FertiliserProducts[[#Headers],[Company]],1)</f>
        <v/>
      </c>
      <c r="AD99" s="148" t="str" cm="1">
        <f t="array" ref="AD99">Common_InputFunctions.Utility_DisplayArrayInTable(Fertiliser_SourceData.Fertiliser_Products_Data1(), FertiliserProducts[[#Headers],[Company]],1)</f>
        <v/>
      </c>
      <c r="AE99" s="148" t="str" cm="1">
        <f t="array" ref="AE99">Common_InputFunctions.Utility_DisplayArrayInTable(Fertiliser_SourceData.Fertiliser_Products_Data1(), FertiliserProducts[[#Headers],[Company]],1)</f>
        <v/>
      </c>
      <c r="AF99" s="148" t="str" cm="1">
        <f t="array" ref="AF99">Common_InputFunctions.Utility_DisplayArrayInTable(Fertiliser_SourceData.Fertiliser_Products_Data1(), FertiliserProducts[[#Headers],[Company]],1)</f>
        <v/>
      </c>
      <c r="AG99" s="148" t="str" cm="1">
        <f t="array" ref="AG99">Common_InputFunctions.Utility_DisplayArrayInTable(Fertiliser_SourceData.Fertiliser_Products_Data1(), FertiliserProducts[[#Headers],[Company]],1)</f>
        <v/>
      </c>
      <c r="AH99" s="148" t="str" cm="1">
        <f t="array" ref="AH99">Common_InputFunctions.Utility_DisplayArrayInTable(Fertiliser_SourceData.Fertiliser_Products_Data1(), FertiliserProducts[[#Headers],[Company]],1)</f>
        <v/>
      </c>
      <c r="AK99" s="1"/>
      <c r="AL99" s="1"/>
      <c r="AM99" s="1"/>
    </row>
    <row r="100" spans="1:39" ht="20.100000000000001" customHeight="1" x14ac:dyDescent="0.2">
      <c r="D100" s="148" t="str" cm="1">
        <f t="array" ref="D100">Common_InputFunctions.Utility_DisplayArrayInTable(Fertiliser_SourceData.Fertiliser_Products_Data1(), FertiliserProducts[[#Headers],[Company]],1)</f>
        <v>Campbells fertilisers Australia</v>
      </c>
      <c r="E100" s="148" t="str" cm="1">
        <f t="array" ref="E100">Common_InputFunctions.Utility_DisplayArrayInTable(Fertiliser_SourceData.Fertiliser_Products_Data1(), FertiliserProducts[[#Headers],[Company]],1)</f>
        <v>Boost-It</v>
      </c>
      <c r="F100" s="148" t="str" cm="1">
        <f t="array" ref="F100">Common_InputFunctions.Utility_DisplayArrayInTable(Fertiliser_SourceData.Fertiliser_Products_Data1(), FertiliserProducts[[#Headers],[Company]],1)</f>
        <v>kg</v>
      </c>
      <c r="G100" s="148" cm="1">
        <f t="array" ref="G100">Common_InputFunctions.Utility_DisplayArrayInTable(Fertiliser_SourceData.Fertiliser_Products_Data1(), FertiliserProducts[[#Headers],[Company]],1)</f>
        <v>1</v>
      </c>
      <c r="H100" s="148" t="str" cm="1">
        <f t="array" ref="H100">Common_InputFunctions.Utility_DisplayArrayInTable(Fertiliser_SourceData.Fertiliser_Products_Data1(), FertiliserProducts[[#Headers],[Company]],1)</f>
        <v/>
      </c>
      <c r="I100" s="148" t="str" cm="1">
        <f t="array" ref="I100">Common_InputFunctions.Utility_DisplayArrayInTable(Fertiliser_SourceData.Fertiliser_Products_Data1(), FertiliserProducts[[#Headers],[Company]],1)</f>
        <v/>
      </c>
      <c r="J100" s="148" t="str" cm="1">
        <f t="array" ref="J100">Common_InputFunctions.Utility_DisplayArrayInTable(Fertiliser_SourceData.Fertiliser_Products_Data1(), FertiliserProducts[[#Headers],[Company]],1)</f>
        <v/>
      </c>
      <c r="K100" s="148" cm="1">
        <f t="array" ref="K100">Common_InputFunctions.Utility_DisplayArrayInTable(Fertiliser_SourceData.Fertiliser_Products_Data1(), FertiliserProducts[[#Headers],[Company]],1)</f>
        <v>24</v>
      </c>
      <c r="L100" s="148" cm="1">
        <f t="array" ref="L100">Common_InputFunctions.Utility_DisplayArrayInTable(Fertiliser_SourceData.Fertiliser_Products_Data1(), FertiliserProducts[[#Headers],[Company]],1)</f>
        <v>5.2</v>
      </c>
      <c r="M100" s="148" cm="1">
        <f t="array" ref="M100">Common_InputFunctions.Utility_DisplayArrayInTable(Fertiliser_SourceData.Fertiliser_Products_Data1(), FertiliserProducts[[#Headers],[Company]],1)</f>
        <v>8</v>
      </c>
      <c r="N100" s="148" cm="1">
        <f t="array" ref="N100">Common_InputFunctions.Utility_DisplayArrayInTable(Fertiliser_SourceData.Fertiliser_Products_Data1(), FertiliserProducts[[#Headers],[Company]],1)</f>
        <v>5.3</v>
      </c>
      <c r="O100" s="148" t="str" cm="1">
        <f t="array" ref="O100">Common_InputFunctions.Utility_DisplayArrayInTable(Fertiliser_SourceData.Fertiliser_Products_Data1(), FertiliserProducts[[#Headers],[Company]],1)</f>
        <v>Urea</v>
      </c>
      <c r="P100" s="148" cm="1">
        <f t="array" ref="P100">Common_InputFunctions.Utility_DisplayArrayInTable(Fertiliser_SourceData.Fertiliser_Products_Data1(), FertiliserProducts[[#Headers],[Company]],1)</f>
        <v>0.52173899999999995</v>
      </c>
      <c r="Q100" s="148" t="str" cm="1">
        <f t="array" ref="Q100">Common_InputFunctions.Utility_DisplayArrayInTable(Fertiliser_SourceData.Fertiliser_Products_Data1(), FertiliserProducts[[#Headers],[Company]],1)</f>
        <v>Potassium - Generic</v>
      </c>
      <c r="R100" s="148" cm="1">
        <f t="array" ref="R100">Common_InputFunctions.Utility_DisplayArrayInTable(Fertiliser_SourceData.Fertiliser_Products_Data1(), FertiliserProducts[[#Headers],[Company]],1)</f>
        <v>0.08</v>
      </c>
      <c r="S100" s="148" t="str" cm="1">
        <f t="array" ref="S100">Common_InputFunctions.Utility_DisplayArrayInTable(Fertiliser_SourceData.Fertiliser_Products_Data1(), FertiliserProducts[[#Headers],[Company]],1)</f>
        <v>Sulfur - Generic</v>
      </c>
      <c r="T100" s="148" cm="1">
        <f t="array" ref="T100">Common_InputFunctions.Utility_DisplayArrayInTable(Fertiliser_SourceData.Fertiliser_Products_Data1(), FertiliserProducts[[#Headers],[Company]],1)</f>
        <v>5.2999999999999999E-2</v>
      </c>
      <c r="U100" s="148" t="str" cm="1">
        <f t="array" ref="U100">Common_InputFunctions.Utility_DisplayArrayInTable(Fertiliser_SourceData.Fertiliser_Products_Data1(), FertiliserProducts[[#Headers],[Company]],1)</f>
        <v>Phosphorus - Generic</v>
      </c>
      <c r="V100" s="148" cm="1">
        <f t="array" ref="V100">Common_InputFunctions.Utility_DisplayArrayInTable(Fertiliser_SourceData.Fertiliser_Products_Data1(), FertiliserProducts[[#Headers],[Company]],1)</f>
        <v>5.1999999999999998E-2</v>
      </c>
      <c r="W100" s="148" t="str" cm="1">
        <f t="array" ref="W100">Common_InputFunctions.Utility_DisplayArrayInTable(Fertiliser_SourceData.Fertiliser_Products_Data1(), FertiliserProducts[[#Headers],[Company]],1)</f>
        <v>Magnesium</v>
      </c>
      <c r="X100" s="148" cm="1">
        <f t="array" ref="X100">Common_InputFunctions.Utility_DisplayArrayInTable(Fertiliser_SourceData.Fertiliser_Products_Data1(), FertiliserProducts[[#Headers],[Company]],1)</f>
        <v>1.2999999999999999E-2</v>
      </c>
      <c r="Y100" s="148" t="str" cm="1">
        <f t="array" ref="Y100">Common_InputFunctions.Utility_DisplayArrayInTable(Fertiliser_SourceData.Fertiliser_Products_Data1(), FertiliserProducts[[#Headers],[Company]],1)</f>
        <v>Zinc</v>
      </c>
      <c r="Z100" s="148" cm="1">
        <f t="array" ref="Z100">Common_InputFunctions.Utility_DisplayArrayInTable(Fertiliser_SourceData.Fertiliser_Products_Data1(), FertiliserProducts[[#Headers],[Company]],1)</f>
        <v>2E-3</v>
      </c>
      <c r="AA100" s="148" t="str" cm="1">
        <f t="array" ref="AA100">Common_InputFunctions.Utility_DisplayArrayInTable(Fertiliser_SourceData.Fertiliser_Products_Data1(), FertiliserProducts[[#Headers],[Company]],1)</f>
        <v>Manganese</v>
      </c>
      <c r="AB100" s="148" cm="1">
        <f t="array" ref="AB100">Common_InputFunctions.Utility_DisplayArrayInTable(Fertiliser_SourceData.Fertiliser_Products_Data1(), FertiliserProducts[[#Headers],[Company]],1)</f>
        <v>3.5000000000000001E-3</v>
      </c>
      <c r="AC100" s="148" t="str" cm="1">
        <f t="array" ref="AC100">Common_InputFunctions.Utility_DisplayArrayInTable(Fertiliser_SourceData.Fertiliser_Products_Data1(), FertiliserProducts[[#Headers],[Company]],1)</f>
        <v>Iron</v>
      </c>
      <c r="AD100" s="148" cm="1">
        <f t="array" ref="AD100">Common_InputFunctions.Utility_DisplayArrayInTable(Fertiliser_SourceData.Fertiliser_Products_Data1(), FertiliserProducts[[#Headers],[Company]],1)</f>
        <v>1.2999999999999999E-3</v>
      </c>
      <c r="AE100" s="148" t="str" cm="1">
        <f t="array" ref="AE100">Common_InputFunctions.Utility_DisplayArrayInTable(Fertiliser_SourceData.Fertiliser_Products_Data1(), FertiliserProducts[[#Headers],[Company]],1)</f>
        <v>Copper</v>
      </c>
      <c r="AF100" s="148" cm="1">
        <f t="array" ref="AF100">Common_InputFunctions.Utility_DisplayArrayInTable(Fertiliser_SourceData.Fertiliser_Products_Data1(), FertiliserProducts[[#Headers],[Company]],1)</f>
        <v>6.9999999999999999E-4</v>
      </c>
      <c r="AG100" s="148" t="str" cm="1">
        <f t="array" ref="AG100">Common_InputFunctions.Utility_DisplayArrayInTable(Fertiliser_SourceData.Fertiliser_Products_Data1(), FertiliserProducts[[#Headers],[Company]],1)</f>
        <v>Boron</v>
      </c>
      <c r="AH100" s="148" cm="1">
        <f t="array" ref="AH100">Common_InputFunctions.Utility_DisplayArrayInTable(Fertiliser_SourceData.Fertiliser_Products_Data1(), FertiliserProducts[[#Headers],[Company]],1)</f>
        <v>6.9999999999999999E-4</v>
      </c>
      <c r="AK100" s="1"/>
      <c r="AL100" s="1"/>
      <c r="AM100" s="1"/>
    </row>
    <row r="101" spans="1:39" ht="20.100000000000001" customHeight="1" x14ac:dyDescent="0.2">
      <c r="D101" s="148" t="str" cm="1">
        <f t="array" ref="D101">Common_InputFunctions.Utility_DisplayArrayInTable(Fertiliser_SourceData.Fertiliser_Products_Data1(), FertiliserProducts[[#Headers],[Company]],1)</f>
        <v>Campbells fertilisers Australia</v>
      </c>
      <c r="E101" s="148" t="str" cm="1">
        <f t="array" ref="E101">Common_InputFunctions.Utility_DisplayArrayInTable(Fertiliser_SourceData.Fertiliser_Products_Data1(), FertiliserProducts[[#Headers],[Company]],1)</f>
        <v>Bronze</v>
      </c>
      <c r="F101" s="148" t="str" cm="1">
        <f t="array" ref="F101">Common_InputFunctions.Utility_DisplayArrayInTable(Fertiliser_SourceData.Fertiliser_Products_Data1(), FertiliserProducts[[#Headers],[Company]],1)</f>
        <v>kg</v>
      </c>
      <c r="G101" s="148" cm="1">
        <f t="array" ref="G101">Common_InputFunctions.Utility_DisplayArrayInTable(Fertiliser_SourceData.Fertiliser_Products_Data1(), FertiliserProducts[[#Headers],[Company]],1)</f>
        <v>1</v>
      </c>
      <c r="H101" s="148" t="str" cm="1">
        <f t="array" ref="H101">Common_InputFunctions.Utility_DisplayArrayInTable(Fertiliser_SourceData.Fertiliser_Products_Data1(), FertiliserProducts[[#Headers],[Company]],1)</f>
        <v/>
      </c>
      <c r="I101" s="148" t="str" cm="1">
        <f t="array" ref="I101">Common_InputFunctions.Utility_DisplayArrayInTable(Fertiliser_SourceData.Fertiliser_Products_Data1(), FertiliserProducts[[#Headers],[Company]],1)</f>
        <v/>
      </c>
      <c r="J101" s="148" t="str" cm="1">
        <f t="array" ref="J101">Common_InputFunctions.Utility_DisplayArrayInTable(Fertiliser_SourceData.Fertiliser_Products_Data1(), FertiliserProducts[[#Headers],[Company]],1)</f>
        <v/>
      </c>
      <c r="K101" s="148" cm="1">
        <f t="array" ref="K101">Common_InputFunctions.Utility_DisplayArrayInTable(Fertiliser_SourceData.Fertiliser_Products_Data1(), FertiliserProducts[[#Headers],[Company]],1)</f>
        <v>17</v>
      </c>
      <c r="L101" s="148" cm="1">
        <f t="array" ref="L101">Common_InputFunctions.Utility_DisplayArrayInTable(Fertiliser_SourceData.Fertiliser_Products_Data1(), FertiliserProducts[[#Headers],[Company]],1)</f>
        <v>0.04</v>
      </c>
      <c r="M101" s="148" cm="1">
        <f t="array" ref="M101">Common_InputFunctions.Utility_DisplayArrayInTable(Fertiliser_SourceData.Fertiliser_Products_Data1(), FertiliserProducts[[#Headers],[Company]],1)</f>
        <v>11.6</v>
      </c>
      <c r="N101" s="148" cm="1">
        <f t="array" ref="N101">Common_InputFunctions.Utility_DisplayArrayInTable(Fertiliser_SourceData.Fertiliser_Products_Data1(), FertiliserProducts[[#Headers],[Company]],1)</f>
        <v>0.5</v>
      </c>
      <c r="O101" s="148" t="str" cm="1">
        <f t="array" ref="O101">Common_InputFunctions.Utility_DisplayArrayInTable(Fertiliser_SourceData.Fertiliser_Products_Data1(), FertiliserProducts[[#Headers],[Company]],1)</f>
        <v>Muriate of potash (MOP)</v>
      </c>
      <c r="P101" s="148" cm="1">
        <f t="array" ref="P101">Common_InputFunctions.Utility_DisplayArrayInTable(Fertiliser_SourceData.Fertiliser_Products_Data1(), FertiliserProducts[[#Headers],[Company]],1)</f>
        <v>0.23200000000000001</v>
      </c>
      <c r="Q101" s="148" t="str" cm="1">
        <f t="array" ref="Q101">Common_InputFunctions.Utility_DisplayArrayInTable(Fertiliser_SourceData.Fertiliser_Products_Data1(), FertiliserProducts[[#Headers],[Company]],1)</f>
        <v>Nitrogen - Generic</v>
      </c>
      <c r="R101" s="148" cm="1">
        <f t="array" ref="R101">Common_InputFunctions.Utility_DisplayArrayInTable(Fertiliser_SourceData.Fertiliser_Products_Data1(), FertiliserProducts[[#Headers],[Company]],1)</f>
        <v>0.17</v>
      </c>
      <c r="S101" s="148" t="str" cm="1">
        <f t="array" ref="S101">Common_InputFunctions.Utility_DisplayArrayInTable(Fertiliser_SourceData.Fertiliser_Products_Data1(), FertiliserProducts[[#Headers],[Company]],1)</f>
        <v>Sulfur - Generic</v>
      </c>
      <c r="T101" s="148" cm="1">
        <f t="array" ref="T101">Common_InputFunctions.Utility_DisplayArrayInTable(Fertiliser_SourceData.Fertiliser_Products_Data1(), FertiliserProducts[[#Headers],[Company]],1)</f>
        <v>5.0000000000000001E-3</v>
      </c>
      <c r="U101" s="148" t="str" cm="1">
        <f t="array" ref="U101">Common_InputFunctions.Utility_DisplayArrayInTable(Fertiliser_SourceData.Fertiliser_Products_Data1(), FertiliserProducts[[#Headers],[Company]],1)</f>
        <v>Magnesium</v>
      </c>
      <c r="V101" s="148" cm="1">
        <f t="array" ref="V101">Common_InputFunctions.Utility_DisplayArrayInTable(Fertiliser_SourceData.Fertiliser_Products_Data1(), FertiliserProducts[[#Headers],[Company]],1)</f>
        <v>2.3999999999999998E-3</v>
      </c>
      <c r="W101" s="148" t="str" cm="1">
        <f t="array" ref="W101">Common_InputFunctions.Utility_DisplayArrayInTable(Fertiliser_SourceData.Fertiliser_Products_Data1(), FertiliserProducts[[#Headers],[Company]],1)</f>
        <v>Phosphorus - Generic</v>
      </c>
      <c r="X101" s="148" cm="1">
        <f t="array" ref="X101">Common_InputFunctions.Utility_DisplayArrayInTable(Fertiliser_SourceData.Fertiliser_Products_Data1(), FertiliserProducts[[#Headers],[Company]],1)</f>
        <v>4.0000000000000002E-4</v>
      </c>
      <c r="Y101" s="148" t="str" cm="1">
        <f t="array" ref="Y101">Common_InputFunctions.Utility_DisplayArrayInTable(Fertiliser_SourceData.Fertiliser_Products_Data1(), FertiliserProducts[[#Headers],[Company]],1)</f>
        <v/>
      </c>
      <c r="Z101" s="148" t="str" cm="1">
        <f t="array" ref="Z101">Common_InputFunctions.Utility_DisplayArrayInTable(Fertiliser_SourceData.Fertiliser_Products_Data1(), FertiliserProducts[[#Headers],[Company]],1)</f>
        <v/>
      </c>
      <c r="AA101" s="148" t="str" cm="1">
        <f t="array" ref="AA101">Common_InputFunctions.Utility_DisplayArrayInTable(Fertiliser_SourceData.Fertiliser_Products_Data1(), FertiliserProducts[[#Headers],[Company]],1)</f>
        <v/>
      </c>
      <c r="AB101" s="148" t="str" cm="1">
        <f t="array" ref="AB101">Common_InputFunctions.Utility_DisplayArrayInTable(Fertiliser_SourceData.Fertiliser_Products_Data1(), FertiliserProducts[[#Headers],[Company]],1)</f>
        <v/>
      </c>
      <c r="AC101" s="148" t="str" cm="1">
        <f t="array" ref="AC101">Common_InputFunctions.Utility_DisplayArrayInTable(Fertiliser_SourceData.Fertiliser_Products_Data1(), FertiliserProducts[[#Headers],[Company]],1)</f>
        <v/>
      </c>
      <c r="AD101" s="148" t="str" cm="1">
        <f t="array" ref="AD101">Common_InputFunctions.Utility_DisplayArrayInTable(Fertiliser_SourceData.Fertiliser_Products_Data1(), FertiliserProducts[[#Headers],[Company]],1)</f>
        <v/>
      </c>
      <c r="AE101" s="148" t="str" cm="1">
        <f t="array" ref="AE101">Common_InputFunctions.Utility_DisplayArrayInTable(Fertiliser_SourceData.Fertiliser_Products_Data1(), FertiliserProducts[[#Headers],[Company]],1)</f>
        <v/>
      </c>
      <c r="AF101" s="148" t="str" cm="1">
        <f t="array" ref="AF101">Common_InputFunctions.Utility_DisplayArrayInTable(Fertiliser_SourceData.Fertiliser_Products_Data1(), FertiliserProducts[[#Headers],[Company]],1)</f>
        <v/>
      </c>
      <c r="AG101" s="148" t="str" cm="1">
        <f t="array" ref="AG101">Common_InputFunctions.Utility_DisplayArrayInTable(Fertiliser_SourceData.Fertiliser_Products_Data1(), FertiliserProducts[[#Headers],[Company]],1)</f>
        <v/>
      </c>
      <c r="AH101" s="148" t="str" cm="1">
        <f t="array" ref="AH101">Common_InputFunctions.Utility_DisplayArrayInTable(Fertiliser_SourceData.Fertiliser_Products_Data1(), FertiliserProducts[[#Headers],[Company]],1)</f>
        <v/>
      </c>
      <c r="AK101" s="1"/>
      <c r="AL101" s="1"/>
      <c r="AM101" s="1"/>
    </row>
    <row r="102" spans="1:39" ht="20.100000000000001" customHeight="1" x14ac:dyDescent="0.2">
      <c r="D102" s="148" t="str" cm="1">
        <f t="array" ref="D102">Common_InputFunctions.Utility_DisplayArrayInTable(Fertiliser_SourceData.Fertiliser_Products_Data1(), FertiliserProducts[[#Headers],[Company]],1)</f>
        <v>Campbells fertilisers Australia</v>
      </c>
      <c r="E102" s="148" t="str" cm="1">
        <f t="array" ref="E102">Common_InputFunctions.Utility_DisplayArrayInTable(Fertiliser_SourceData.Fertiliser_Products_Data1(), FertiliserProducts[[#Headers],[Company]],1)</f>
        <v>Calbit C</v>
      </c>
      <c r="F102" s="148" t="str" cm="1">
        <f t="array" ref="F102">Common_InputFunctions.Utility_DisplayArrayInTable(Fertiliser_SourceData.Fertiliser_Products_Data1(), FertiliserProducts[[#Headers],[Company]],1)</f>
        <v>L</v>
      </c>
      <c r="G102" s="148" cm="1">
        <f t="array" ref="G102">Common_InputFunctions.Utility_DisplayArrayInTable(Fertiliser_SourceData.Fertiliser_Products_Data1(), FertiliserProducts[[#Headers],[Company]],1)</f>
        <v>1.45</v>
      </c>
      <c r="H102" s="148" t="str" cm="1">
        <f t="array" ref="H102">Common_InputFunctions.Utility_DisplayArrayInTable(Fertiliser_SourceData.Fertiliser_Products_Data1(), FertiliserProducts[[#Headers],[Company]],1)</f>
        <v/>
      </c>
      <c r="I102" s="148" t="str" cm="1">
        <f t="array" ref="I102">Common_InputFunctions.Utility_DisplayArrayInTable(Fertiliser_SourceData.Fertiliser_Products_Data1(), FertiliserProducts[[#Headers],[Company]],1)</f>
        <v/>
      </c>
      <c r="J102" s="148" t="str" cm="1">
        <f t="array" ref="J102">Common_InputFunctions.Utility_DisplayArrayInTable(Fertiliser_SourceData.Fertiliser_Products_Data1(), FertiliserProducts[[#Headers],[Company]],1)</f>
        <v/>
      </c>
      <c r="K102" s="148" t="str" cm="1">
        <f t="array" ref="K102">Common_InputFunctions.Utility_DisplayArrayInTable(Fertiliser_SourceData.Fertiliser_Products_Data1(), FertiliserProducts[[#Headers],[Company]],1)</f>
        <v/>
      </c>
      <c r="L102" s="148" t="str" cm="1">
        <f t="array" ref="L102">Common_InputFunctions.Utility_DisplayArrayInTable(Fertiliser_SourceData.Fertiliser_Products_Data1(), FertiliserProducts[[#Headers],[Company]],1)</f>
        <v/>
      </c>
      <c r="M102" s="148" t="str" cm="1">
        <f t="array" ref="M102">Common_InputFunctions.Utility_DisplayArrayInTable(Fertiliser_SourceData.Fertiliser_Products_Data1(), FertiliserProducts[[#Headers],[Company]],1)</f>
        <v/>
      </c>
      <c r="N102" s="148" t="str" cm="1">
        <f t="array" ref="N102">Common_InputFunctions.Utility_DisplayArrayInTable(Fertiliser_SourceData.Fertiliser_Products_Data1(), FertiliserProducts[[#Headers],[Company]],1)</f>
        <v/>
      </c>
      <c r="O102" s="148" t="str" cm="1">
        <f t="array" ref="O102">Common_InputFunctions.Utility_DisplayArrayInTable(Fertiliser_SourceData.Fertiliser_Products_Data1(), FertiliserProducts[[#Headers],[Company]],1)</f>
        <v>Calcium</v>
      </c>
      <c r="P102" s="148" cm="1">
        <f t="array" ref="P102">Common_InputFunctions.Utility_DisplayArrayInTable(Fertiliser_SourceData.Fertiliser_Products_Data1(), FertiliserProducts[[#Headers],[Company]],1)</f>
        <v>0.107</v>
      </c>
      <c r="Q102" s="148" t="str" cm="1">
        <f t="array" ref="Q102">Common_InputFunctions.Utility_DisplayArrayInTable(Fertiliser_SourceData.Fertiliser_Products_Data1(), FertiliserProducts[[#Headers],[Company]],1)</f>
        <v/>
      </c>
      <c r="R102" s="148" t="str" cm="1">
        <f t="array" ref="R102">Common_InputFunctions.Utility_DisplayArrayInTable(Fertiliser_SourceData.Fertiliser_Products_Data1(), FertiliserProducts[[#Headers],[Company]],1)</f>
        <v/>
      </c>
      <c r="S102" s="148" t="str" cm="1">
        <f t="array" ref="S102">Common_InputFunctions.Utility_DisplayArrayInTable(Fertiliser_SourceData.Fertiliser_Products_Data1(), FertiliserProducts[[#Headers],[Company]],1)</f>
        <v/>
      </c>
      <c r="T102" s="148" t="str" cm="1">
        <f t="array" ref="T102">Common_InputFunctions.Utility_DisplayArrayInTable(Fertiliser_SourceData.Fertiliser_Products_Data1(), FertiliserProducts[[#Headers],[Company]],1)</f>
        <v/>
      </c>
      <c r="U102" s="148" t="str" cm="1">
        <f t="array" ref="U102">Common_InputFunctions.Utility_DisplayArrayInTable(Fertiliser_SourceData.Fertiliser_Products_Data1(), FertiliserProducts[[#Headers],[Company]],1)</f>
        <v/>
      </c>
      <c r="V102" s="148" t="str" cm="1">
        <f t="array" ref="V102">Common_InputFunctions.Utility_DisplayArrayInTable(Fertiliser_SourceData.Fertiliser_Products_Data1(), FertiliserProducts[[#Headers],[Company]],1)</f>
        <v/>
      </c>
      <c r="W102" s="148" t="str" cm="1">
        <f t="array" ref="W102">Common_InputFunctions.Utility_DisplayArrayInTable(Fertiliser_SourceData.Fertiliser_Products_Data1(), FertiliserProducts[[#Headers],[Company]],1)</f>
        <v/>
      </c>
      <c r="X102" s="148" t="str" cm="1">
        <f t="array" ref="X102">Common_InputFunctions.Utility_DisplayArrayInTable(Fertiliser_SourceData.Fertiliser_Products_Data1(), FertiliserProducts[[#Headers],[Company]],1)</f>
        <v/>
      </c>
      <c r="Y102" s="148" t="str" cm="1">
        <f t="array" ref="Y102">Common_InputFunctions.Utility_DisplayArrayInTable(Fertiliser_SourceData.Fertiliser_Products_Data1(), FertiliserProducts[[#Headers],[Company]],1)</f>
        <v/>
      </c>
      <c r="Z102" s="148" t="str" cm="1">
        <f t="array" ref="Z102">Common_InputFunctions.Utility_DisplayArrayInTable(Fertiliser_SourceData.Fertiliser_Products_Data1(), FertiliserProducts[[#Headers],[Company]],1)</f>
        <v/>
      </c>
      <c r="AA102" s="148" t="str" cm="1">
        <f t="array" ref="AA102">Common_InputFunctions.Utility_DisplayArrayInTable(Fertiliser_SourceData.Fertiliser_Products_Data1(), FertiliserProducts[[#Headers],[Company]],1)</f>
        <v/>
      </c>
      <c r="AB102" s="148" t="str" cm="1">
        <f t="array" ref="AB102">Common_InputFunctions.Utility_DisplayArrayInTable(Fertiliser_SourceData.Fertiliser_Products_Data1(), FertiliserProducts[[#Headers],[Company]],1)</f>
        <v/>
      </c>
      <c r="AC102" s="148" t="str" cm="1">
        <f t="array" ref="AC102">Common_InputFunctions.Utility_DisplayArrayInTable(Fertiliser_SourceData.Fertiliser_Products_Data1(), FertiliserProducts[[#Headers],[Company]],1)</f>
        <v/>
      </c>
      <c r="AD102" s="148" t="str" cm="1">
        <f t="array" ref="AD102">Common_InputFunctions.Utility_DisplayArrayInTable(Fertiliser_SourceData.Fertiliser_Products_Data1(), FertiliserProducts[[#Headers],[Company]],1)</f>
        <v/>
      </c>
      <c r="AE102" s="148" t="str" cm="1">
        <f t="array" ref="AE102">Common_InputFunctions.Utility_DisplayArrayInTable(Fertiliser_SourceData.Fertiliser_Products_Data1(), FertiliserProducts[[#Headers],[Company]],1)</f>
        <v/>
      </c>
      <c r="AF102" s="148" t="str" cm="1">
        <f t="array" ref="AF102">Common_InputFunctions.Utility_DisplayArrayInTable(Fertiliser_SourceData.Fertiliser_Products_Data1(), FertiliserProducts[[#Headers],[Company]],1)</f>
        <v/>
      </c>
      <c r="AG102" s="148" t="str" cm="1">
        <f t="array" ref="AG102">Common_InputFunctions.Utility_DisplayArrayInTable(Fertiliser_SourceData.Fertiliser_Products_Data1(), FertiliserProducts[[#Headers],[Company]],1)</f>
        <v/>
      </c>
      <c r="AH102" s="148" t="str" cm="1">
        <f t="array" ref="AH102">Common_InputFunctions.Utility_DisplayArrayInTable(Fertiliser_SourceData.Fertiliser_Products_Data1(), FertiliserProducts[[#Headers],[Company]],1)</f>
        <v/>
      </c>
      <c r="AK102" s="1"/>
      <c r="AL102" s="1"/>
      <c r="AM102" s="1"/>
    </row>
    <row r="103" spans="1:39" ht="20.100000000000001" customHeight="1" x14ac:dyDescent="0.2">
      <c r="D103" s="148" t="str" cm="1">
        <f t="array" ref="D103">Common_InputFunctions.Utility_DisplayArrayInTable(Fertiliser_SourceData.Fertiliser_Products_Data1(), FertiliserProducts[[#Headers],[Company]],1)</f>
        <v>Campbells fertilisers Australia</v>
      </c>
      <c r="E103" s="148" t="str" cm="1">
        <f t="array" ref="E103">Common_InputFunctions.Utility_DisplayArrayInTable(Fertiliser_SourceData.Fertiliser_Products_Data1(), FertiliserProducts[[#Headers],[Company]],1)</f>
        <v>Compass</v>
      </c>
      <c r="F103" s="148" t="str" cm="1">
        <f t="array" ref="F103">Common_InputFunctions.Utility_DisplayArrayInTable(Fertiliser_SourceData.Fertiliser_Products_Data1(), FertiliserProducts[[#Headers],[Company]],1)</f>
        <v>kg</v>
      </c>
      <c r="G103" s="148" cm="1">
        <f t="array" ref="G103">Common_InputFunctions.Utility_DisplayArrayInTable(Fertiliser_SourceData.Fertiliser_Products_Data1(), FertiliserProducts[[#Headers],[Company]],1)</f>
        <v>1</v>
      </c>
      <c r="H103" s="148" t="str" cm="1">
        <f t="array" ref="H103">Common_InputFunctions.Utility_DisplayArrayInTable(Fertiliser_SourceData.Fertiliser_Products_Data1(), FertiliserProducts[[#Headers],[Company]],1)</f>
        <v/>
      </c>
      <c r="I103" s="148" t="str" cm="1">
        <f t="array" ref="I103">Common_InputFunctions.Utility_DisplayArrayInTable(Fertiliser_SourceData.Fertiliser_Products_Data1(), FertiliserProducts[[#Headers],[Company]],1)</f>
        <v/>
      </c>
      <c r="J103" s="148" t="str" cm="1">
        <f t="array" ref="J103">Common_InputFunctions.Utility_DisplayArrayInTable(Fertiliser_SourceData.Fertiliser_Products_Data1(), FertiliserProducts[[#Headers],[Company]],1)</f>
        <v/>
      </c>
      <c r="K103" s="148" cm="1">
        <f t="array" ref="K103">Common_InputFunctions.Utility_DisplayArrayInTable(Fertiliser_SourceData.Fertiliser_Products_Data1(), FertiliserProducts[[#Headers],[Company]],1)</f>
        <v>15</v>
      </c>
      <c r="L103" s="148" cm="1">
        <f t="array" ref="L103">Common_InputFunctions.Utility_DisplayArrayInTable(Fertiliser_SourceData.Fertiliser_Products_Data1(), FertiliserProducts[[#Headers],[Company]],1)</f>
        <v>6.5</v>
      </c>
      <c r="M103" s="148" cm="1">
        <f t="array" ref="M103">Common_InputFunctions.Utility_DisplayArrayInTable(Fertiliser_SourceData.Fertiliser_Products_Data1(), FertiliserProducts[[#Headers],[Company]],1)</f>
        <v>12.5</v>
      </c>
      <c r="N103" s="148" cm="1">
        <f t="array" ref="N103">Common_InputFunctions.Utility_DisplayArrayInTable(Fertiliser_SourceData.Fertiliser_Products_Data1(), FertiliserProducts[[#Headers],[Company]],1)</f>
        <v>6</v>
      </c>
      <c r="O103" s="148" t="str" cm="1">
        <f t="array" ref="O103">Common_InputFunctions.Utility_DisplayArrayInTable(Fertiliser_SourceData.Fertiliser_Products_Data1(), FertiliserProducts[[#Headers],[Company]],1)</f>
        <v>Nitrogen - Ammoniacal</v>
      </c>
      <c r="P103" s="148" cm="1">
        <f t="array" ref="P103">Common_InputFunctions.Utility_DisplayArrayInTable(Fertiliser_SourceData.Fertiliser_Products_Data1(), FertiliserProducts[[#Headers],[Company]],1)</f>
        <v>7.4999999999999997E-2</v>
      </c>
      <c r="Q103" s="148" t="str" cm="1">
        <f t="array" ref="Q103">Common_InputFunctions.Utility_DisplayArrayInTable(Fertiliser_SourceData.Fertiliser_Products_Data1(), FertiliserProducts[[#Headers],[Company]],1)</f>
        <v>Nitrogen - Nitrate</v>
      </c>
      <c r="R103" s="148" cm="1">
        <f t="array" ref="R103">Common_InputFunctions.Utility_DisplayArrayInTable(Fertiliser_SourceData.Fertiliser_Products_Data1(), FertiliserProducts[[#Headers],[Company]],1)</f>
        <v>7.4999999999999997E-2</v>
      </c>
      <c r="S103" s="148" t="str" cm="1">
        <f t="array" ref="S103">Common_InputFunctions.Utility_DisplayArrayInTable(Fertiliser_SourceData.Fertiliser_Products_Data1(), FertiliserProducts[[#Headers],[Company]],1)</f>
        <v>Potassium - Generic</v>
      </c>
      <c r="T103" s="148" cm="1">
        <f t="array" ref="T103">Common_InputFunctions.Utility_DisplayArrayInTable(Fertiliser_SourceData.Fertiliser_Products_Data1(), FertiliserProducts[[#Headers],[Company]],1)</f>
        <v>0.125</v>
      </c>
      <c r="U103" s="148" t="str" cm="1">
        <f t="array" ref="U103">Common_InputFunctions.Utility_DisplayArrayInTable(Fertiliser_SourceData.Fertiliser_Products_Data1(), FertiliserProducts[[#Headers],[Company]],1)</f>
        <v>Phosphorus - Generic</v>
      </c>
      <c r="V103" s="148" cm="1">
        <f t="array" ref="V103">Common_InputFunctions.Utility_DisplayArrayInTable(Fertiliser_SourceData.Fertiliser_Products_Data1(), FertiliserProducts[[#Headers],[Company]],1)</f>
        <v>6.5000000000000002E-2</v>
      </c>
      <c r="W103" s="148" t="str" cm="1">
        <f t="array" ref="W103">Common_InputFunctions.Utility_DisplayArrayInTable(Fertiliser_SourceData.Fertiliser_Products_Data1(), FertiliserProducts[[#Headers],[Company]],1)</f>
        <v>Sulfur - Generic</v>
      </c>
      <c r="X103" s="148" cm="1">
        <f t="array" ref="X103">Common_InputFunctions.Utility_DisplayArrayInTable(Fertiliser_SourceData.Fertiliser_Products_Data1(), FertiliserProducts[[#Headers],[Company]],1)</f>
        <v>0.06</v>
      </c>
      <c r="Y103" s="148" t="str" cm="1">
        <f t="array" ref="Y103">Common_InputFunctions.Utility_DisplayArrayInTable(Fertiliser_SourceData.Fertiliser_Products_Data1(), FertiliserProducts[[#Headers],[Company]],1)</f>
        <v/>
      </c>
      <c r="Z103" s="148" t="str" cm="1">
        <f t="array" ref="Z103">Common_InputFunctions.Utility_DisplayArrayInTable(Fertiliser_SourceData.Fertiliser_Products_Data1(), FertiliserProducts[[#Headers],[Company]],1)</f>
        <v/>
      </c>
      <c r="AA103" s="148" t="str" cm="1">
        <f t="array" ref="AA103">Common_InputFunctions.Utility_DisplayArrayInTable(Fertiliser_SourceData.Fertiliser_Products_Data1(), FertiliserProducts[[#Headers],[Company]],1)</f>
        <v/>
      </c>
      <c r="AB103" s="148" t="str" cm="1">
        <f t="array" ref="AB103">Common_InputFunctions.Utility_DisplayArrayInTable(Fertiliser_SourceData.Fertiliser_Products_Data1(), FertiliserProducts[[#Headers],[Company]],1)</f>
        <v/>
      </c>
      <c r="AC103" s="148" t="str" cm="1">
        <f t="array" ref="AC103">Common_InputFunctions.Utility_DisplayArrayInTable(Fertiliser_SourceData.Fertiliser_Products_Data1(), FertiliserProducts[[#Headers],[Company]],1)</f>
        <v/>
      </c>
      <c r="AD103" s="148" t="str" cm="1">
        <f t="array" ref="AD103">Common_InputFunctions.Utility_DisplayArrayInTable(Fertiliser_SourceData.Fertiliser_Products_Data1(), FertiliserProducts[[#Headers],[Company]],1)</f>
        <v/>
      </c>
      <c r="AE103" s="148" t="str" cm="1">
        <f t="array" ref="AE103">Common_InputFunctions.Utility_DisplayArrayInTable(Fertiliser_SourceData.Fertiliser_Products_Data1(), FertiliserProducts[[#Headers],[Company]],1)</f>
        <v/>
      </c>
      <c r="AF103" s="148" t="str" cm="1">
        <f t="array" ref="AF103">Common_InputFunctions.Utility_DisplayArrayInTable(Fertiliser_SourceData.Fertiliser_Products_Data1(), FertiliserProducts[[#Headers],[Company]],1)</f>
        <v/>
      </c>
      <c r="AG103" s="148" t="str" cm="1">
        <f t="array" ref="AG103">Common_InputFunctions.Utility_DisplayArrayInTable(Fertiliser_SourceData.Fertiliser_Products_Data1(), FertiliserProducts[[#Headers],[Company]],1)</f>
        <v/>
      </c>
      <c r="AH103" s="148" t="str" cm="1">
        <f t="array" ref="AH103">Common_InputFunctions.Utility_DisplayArrayInTable(Fertiliser_SourceData.Fertiliser_Products_Data1(), FertiliserProducts[[#Headers],[Company]],1)</f>
        <v/>
      </c>
      <c r="AK103" s="1"/>
      <c r="AL103" s="1"/>
      <c r="AM103" s="1"/>
    </row>
    <row r="104" spans="1:39" ht="20.100000000000001" customHeight="1" x14ac:dyDescent="0.2">
      <c r="D104" s="148" t="str" cm="1">
        <f t="array" ref="D104">Common_InputFunctions.Utility_DisplayArrayInTable(Fertiliser_SourceData.Fertiliser_Products_Data1(), FertiliserProducts[[#Headers],[Company]],1)</f>
        <v>Campbells fertilisers Australia</v>
      </c>
      <c r="E104" s="148" t="str" cm="1">
        <f t="array" ref="E104">Common_InputFunctions.Utility_DisplayArrayInTable(Fertiliser_SourceData.Fertiliser_Products_Data1(), FertiliserProducts[[#Headers],[Company]],1)</f>
        <v>CoRoN 12-0-10</v>
      </c>
      <c r="F104" s="148" t="str" cm="1">
        <f t="array" ref="F104">Common_InputFunctions.Utility_DisplayArrayInTable(Fertiliser_SourceData.Fertiliser_Products_Data1(), FertiliserProducts[[#Headers],[Company]],1)</f>
        <v>L</v>
      </c>
      <c r="G104" s="148" cm="1">
        <f t="array" ref="G104">Common_InputFunctions.Utility_DisplayArrayInTable(Fertiliser_SourceData.Fertiliser_Products_Data1(), FertiliserProducts[[#Headers],[Company]],1)</f>
        <v>1.2150000000000001</v>
      </c>
      <c r="H104" s="148" t="str" cm="1">
        <f t="array" ref="H104">Common_InputFunctions.Utility_DisplayArrayInTable(Fertiliser_SourceData.Fertiliser_Products_Data1(), FertiliserProducts[[#Headers],[Company]],1)</f>
        <v/>
      </c>
      <c r="I104" s="148" t="str" cm="1">
        <f t="array" ref="I104">Common_InputFunctions.Utility_DisplayArrayInTable(Fertiliser_SourceData.Fertiliser_Products_Data1(), FertiliserProducts[[#Headers],[Company]],1)</f>
        <v/>
      </c>
      <c r="J104" s="148" t="str" cm="1">
        <f t="array" ref="J104">Common_InputFunctions.Utility_DisplayArrayInTable(Fertiliser_SourceData.Fertiliser_Products_Data1(), FertiliserProducts[[#Headers],[Company]],1)</f>
        <v/>
      </c>
      <c r="K104" s="148" cm="1">
        <f t="array" ref="K104">Common_InputFunctions.Utility_DisplayArrayInTable(Fertiliser_SourceData.Fertiliser_Products_Data1(), FertiliserProducts[[#Headers],[Company]],1)</f>
        <v>12</v>
      </c>
      <c r="L104" s="148" t="str" cm="1">
        <f t="array" ref="L104">Common_InputFunctions.Utility_DisplayArrayInTable(Fertiliser_SourceData.Fertiliser_Products_Data1(), FertiliserProducts[[#Headers],[Company]],1)</f>
        <v/>
      </c>
      <c r="M104" s="148" cm="1">
        <f t="array" ref="M104">Common_InputFunctions.Utility_DisplayArrayInTable(Fertiliser_SourceData.Fertiliser_Products_Data1(), FertiliserProducts[[#Headers],[Company]],1)</f>
        <v>10</v>
      </c>
      <c r="N104" s="148" t="str" cm="1">
        <f t="array" ref="N104">Common_InputFunctions.Utility_DisplayArrayInTable(Fertiliser_SourceData.Fertiliser_Products_Data1(), FertiliserProducts[[#Headers],[Company]],1)</f>
        <v/>
      </c>
      <c r="O104" s="148" t="str" cm="1">
        <f t="array" ref="O104">Common_InputFunctions.Utility_DisplayArrayInTable(Fertiliser_SourceData.Fertiliser_Products_Data1(), FertiliserProducts[[#Headers],[Company]],1)</f>
        <v>Urea</v>
      </c>
      <c r="P104" s="148" cm="1">
        <f t="array" ref="P104">Common_InputFunctions.Utility_DisplayArrayInTable(Fertiliser_SourceData.Fertiliser_Products_Data1(), FertiliserProducts[[#Headers],[Company]],1)</f>
        <v>0.19565199999999999</v>
      </c>
      <c r="Q104" s="148" t="str" cm="1">
        <f t="array" ref="Q104">Common_InputFunctions.Utility_DisplayArrayInTable(Fertiliser_SourceData.Fertiliser_Products_Data1(), FertiliserProducts[[#Headers],[Company]],1)</f>
        <v>Potassium - Generic</v>
      </c>
      <c r="R104" s="148" cm="1">
        <f t="array" ref="R104">Common_InputFunctions.Utility_DisplayArrayInTable(Fertiliser_SourceData.Fertiliser_Products_Data1(), FertiliserProducts[[#Headers],[Company]],1)</f>
        <v>0.1</v>
      </c>
      <c r="S104" s="148" t="str" cm="1">
        <f t="array" ref="S104">Common_InputFunctions.Utility_DisplayArrayInTable(Fertiliser_SourceData.Fertiliser_Products_Data1(), FertiliserProducts[[#Headers],[Company]],1)</f>
        <v>Nitrogen - Generic</v>
      </c>
      <c r="T104" s="148" cm="1">
        <f t="array" ref="T104">Common_InputFunctions.Utility_DisplayArrayInTable(Fertiliser_SourceData.Fertiliser_Products_Data1(), FertiliserProducts[[#Headers],[Company]],1)</f>
        <v>0.03</v>
      </c>
      <c r="U104" s="148" t="str" cm="1">
        <f t="array" ref="U104">Common_InputFunctions.Utility_DisplayArrayInTable(Fertiliser_SourceData.Fertiliser_Products_Data1(), FertiliserProducts[[#Headers],[Company]],1)</f>
        <v>Boron</v>
      </c>
      <c r="V104" s="148" cm="1">
        <f t="array" ref="V104">Common_InputFunctions.Utility_DisplayArrayInTable(Fertiliser_SourceData.Fertiliser_Products_Data1(), FertiliserProducts[[#Headers],[Company]],1)</f>
        <v>5.0000000000000001E-3</v>
      </c>
      <c r="W104" s="148" t="str" cm="1">
        <f t="array" ref="W104">Common_InputFunctions.Utility_DisplayArrayInTable(Fertiliser_SourceData.Fertiliser_Products_Data1(), FertiliserProducts[[#Headers],[Company]],1)</f>
        <v/>
      </c>
      <c r="X104" s="148" t="str" cm="1">
        <f t="array" ref="X104">Common_InputFunctions.Utility_DisplayArrayInTable(Fertiliser_SourceData.Fertiliser_Products_Data1(), FertiliserProducts[[#Headers],[Company]],1)</f>
        <v/>
      </c>
      <c r="Y104" s="148" t="str" cm="1">
        <f t="array" ref="Y104">Common_InputFunctions.Utility_DisplayArrayInTable(Fertiliser_SourceData.Fertiliser_Products_Data1(), FertiliserProducts[[#Headers],[Company]],1)</f>
        <v/>
      </c>
      <c r="Z104" s="148" t="str" cm="1">
        <f t="array" ref="Z104">Common_InputFunctions.Utility_DisplayArrayInTable(Fertiliser_SourceData.Fertiliser_Products_Data1(), FertiliserProducts[[#Headers],[Company]],1)</f>
        <v/>
      </c>
      <c r="AA104" s="148" t="str" cm="1">
        <f t="array" ref="AA104">Common_InputFunctions.Utility_DisplayArrayInTable(Fertiliser_SourceData.Fertiliser_Products_Data1(), FertiliserProducts[[#Headers],[Company]],1)</f>
        <v/>
      </c>
      <c r="AB104" s="148" t="str" cm="1">
        <f t="array" ref="AB104">Common_InputFunctions.Utility_DisplayArrayInTable(Fertiliser_SourceData.Fertiliser_Products_Data1(), FertiliserProducts[[#Headers],[Company]],1)</f>
        <v/>
      </c>
      <c r="AC104" s="148" t="str" cm="1">
        <f t="array" ref="AC104">Common_InputFunctions.Utility_DisplayArrayInTable(Fertiliser_SourceData.Fertiliser_Products_Data1(), FertiliserProducts[[#Headers],[Company]],1)</f>
        <v/>
      </c>
      <c r="AD104" s="148" t="str" cm="1">
        <f t="array" ref="AD104">Common_InputFunctions.Utility_DisplayArrayInTable(Fertiliser_SourceData.Fertiliser_Products_Data1(), FertiliserProducts[[#Headers],[Company]],1)</f>
        <v/>
      </c>
      <c r="AE104" s="148" t="str" cm="1">
        <f t="array" ref="AE104">Common_InputFunctions.Utility_DisplayArrayInTable(Fertiliser_SourceData.Fertiliser_Products_Data1(), FertiliserProducts[[#Headers],[Company]],1)</f>
        <v/>
      </c>
      <c r="AF104" s="148" t="str" cm="1">
        <f t="array" ref="AF104">Common_InputFunctions.Utility_DisplayArrayInTable(Fertiliser_SourceData.Fertiliser_Products_Data1(), FertiliserProducts[[#Headers],[Company]],1)</f>
        <v/>
      </c>
      <c r="AG104" s="148" t="str" cm="1">
        <f t="array" ref="AG104">Common_InputFunctions.Utility_DisplayArrayInTable(Fertiliser_SourceData.Fertiliser_Products_Data1(), FertiliserProducts[[#Headers],[Company]],1)</f>
        <v/>
      </c>
      <c r="AH104" s="148" t="str" cm="1">
        <f t="array" ref="AH104">Common_InputFunctions.Utility_DisplayArrayInTable(Fertiliser_SourceData.Fertiliser_Products_Data1(), FertiliserProducts[[#Headers],[Company]],1)</f>
        <v/>
      </c>
      <c r="AK104" s="1"/>
      <c r="AL104" s="1"/>
      <c r="AM104" s="1"/>
    </row>
    <row r="105" spans="1:39" ht="20.100000000000001" customHeight="1" x14ac:dyDescent="0.2">
      <c r="D105" s="148" t="str" cm="1">
        <f t="array" ref="D105">Common_InputFunctions.Utility_DisplayArrayInTable(Fertiliser_SourceData.Fertiliser_Products_Data1(), FertiliserProducts[[#Headers],[Company]],1)</f>
        <v>Campbells fertilisers Australia</v>
      </c>
      <c r="E105" s="148" t="str" cm="1">
        <f t="array" ref="E105">Common_InputFunctions.Utility_DisplayArrayInTable(Fertiliser_SourceData.Fertiliser_Products_Data1(), FertiliserProducts[[#Headers],[Company]],1)</f>
        <v>Maximum Quick-N</v>
      </c>
      <c r="F105" s="148" t="str" cm="1">
        <f t="array" ref="F105">Common_InputFunctions.Utility_DisplayArrayInTable(Fertiliser_SourceData.Fertiliser_Products_Data1(), FertiliserProducts[[#Headers],[Company]],1)</f>
        <v>kg</v>
      </c>
      <c r="G105" s="148" cm="1">
        <f t="array" ref="G105">Common_InputFunctions.Utility_DisplayArrayInTable(Fertiliser_SourceData.Fertiliser_Products_Data1(), FertiliserProducts[[#Headers],[Company]],1)</f>
        <v>1</v>
      </c>
      <c r="H105" s="148" t="str" cm="1">
        <f t="array" ref="H105">Common_InputFunctions.Utility_DisplayArrayInTable(Fertiliser_SourceData.Fertiliser_Products_Data1(), FertiliserProducts[[#Headers],[Company]],1)</f>
        <v/>
      </c>
      <c r="I105" s="148" t="str" cm="1">
        <f t="array" ref="I105">Common_InputFunctions.Utility_DisplayArrayInTable(Fertiliser_SourceData.Fertiliser_Products_Data1(), FertiliserProducts[[#Headers],[Company]],1)</f>
        <v/>
      </c>
      <c r="J105" s="148" t="str" cm="1">
        <f t="array" ref="J105">Common_InputFunctions.Utility_DisplayArrayInTable(Fertiliser_SourceData.Fertiliser_Products_Data1(), FertiliserProducts[[#Headers],[Company]],1)</f>
        <v/>
      </c>
      <c r="K105" s="148" cm="1">
        <f t="array" ref="K105">Common_InputFunctions.Utility_DisplayArrayInTable(Fertiliser_SourceData.Fertiliser_Products_Data1(), FertiliserProducts[[#Headers],[Company]],1)</f>
        <v>21.66</v>
      </c>
      <c r="L105" s="148" t="str" cm="1">
        <f t="array" ref="L105">Common_InputFunctions.Utility_DisplayArrayInTable(Fertiliser_SourceData.Fertiliser_Products_Data1(), FertiliserProducts[[#Headers],[Company]],1)</f>
        <v/>
      </c>
      <c r="M105" s="148" t="str" cm="1">
        <f t="array" ref="M105">Common_InputFunctions.Utility_DisplayArrayInTable(Fertiliser_SourceData.Fertiliser_Products_Data1(), FertiliserProducts[[#Headers],[Company]],1)</f>
        <v/>
      </c>
      <c r="N105" s="148" cm="1">
        <f t="array" ref="N105">Common_InputFunctions.Utility_DisplayArrayInTable(Fertiliser_SourceData.Fertiliser_Products_Data1(), FertiliserProducts[[#Headers],[Company]],1)</f>
        <v>13.2</v>
      </c>
      <c r="O105" s="148" t="str" cm="1">
        <f t="array" ref="O105">Common_InputFunctions.Utility_DisplayArrayInTable(Fertiliser_SourceData.Fertiliser_Products_Data1(), FertiliserProducts[[#Headers],[Company]],1)</f>
        <v>Sulphate of ammonia (SOA)</v>
      </c>
      <c r="P105" s="148" cm="1">
        <f t="array" ref="P105">Common_InputFunctions.Utility_DisplayArrayInTable(Fertiliser_SourceData.Fertiliser_Products_Data1(), FertiliserProducts[[#Headers],[Company]],1)</f>
        <v>0.55000000000000004</v>
      </c>
      <c r="Q105" s="148" t="str" cm="1">
        <f t="array" ref="Q105">Common_InputFunctions.Utility_DisplayArrayInTable(Fertiliser_SourceData.Fertiliser_Products_Data1(), FertiliserProducts[[#Headers],[Company]],1)</f>
        <v>Ammonium nitrate (AN)</v>
      </c>
      <c r="R105" s="148" cm="1">
        <f t="array" ref="R105">Common_InputFunctions.Utility_DisplayArrayInTable(Fertiliser_SourceData.Fertiliser_Products_Data1(), FertiliserProducts[[#Headers],[Company]],1)</f>
        <v>0.3</v>
      </c>
      <c r="S105" s="148" t="str" cm="1">
        <f t="array" ref="S105">Common_InputFunctions.Utility_DisplayArrayInTable(Fertiliser_SourceData.Fertiliser_Products_Data1(), FertiliserProducts[[#Headers],[Company]],1)</f>
        <v/>
      </c>
      <c r="T105" s="148" t="str" cm="1">
        <f t="array" ref="T105">Common_InputFunctions.Utility_DisplayArrayInTable(Fertiliser_SourceData.Fertiliser_Products_Data1(), FertiliserProducts[[#Headers],[Company]],1)</f>
        <v/>
      </c>
      <c r="U105" s="148" t="str" cm="1">
        <f t="array" ref="U105">Common_InputFunctions.Utility_DisplayArrayInTable(Fertiliser_SourceData.Fertiliser_Products_Data1(), FertiliserProducts[[#Headers],[Company]],1)</f>
        <v/>
      </c>
      <c r="V105" s="148" t="str" cm="1">
        <f t="array" ref="V105">Common_InputFunctions.Utility_DisplayArrayInTable(Fertiliser_SourceData.Fertiliser_Products_Data1(), FertiliserProducts[[#Headers],[Company]],1)</f>
        <v/>
      </c>
      <c r="W105" s="148" t="str" cm="1">
        <f t="array" ref="W105">Common_InputFunctions.Utility_DisplayArrayInTable(Fertiliser_SourceData.Fertiliser_Products_Data1(), FertiliserProducts[[#Headers],[Company]],1)</f>
        <v/>
      </c>
      <c r="X105" s="148" t="str" cm="1">
        <f t="array" ref="X105">Common_InputFunctions.Utility_DisplayArrayInTable(Fertiliser_SourceData.Fertiliser_Products_Data1(), FertiliserProducts[[#Headers],[Company]],1)</f>
        <v/>
      </c>
      <c r="Y105" s="148" t="str" cm="1">
        <f t="array" ref="Y105">Common_InputFunctions.Utility_DisplayArrayInTable(Fertiliser_SourceData.Fertiliser_Products_Data1(), FertiliserProducts[[#Headers],[Company]],1)</f>
        <v/>
      </c>
      <c r="Z105" s="148" t="str" cm="1">
        <f t="array" ref="Z105">Common_InputFunctions.Utility_DisplayArrayInTable(Fertiliser_SourceData.Fertiliser_Products_Data1(), FertiliserProducts[[#Headers],[Company]],1)</f>
        <v/>
      </c>
      <c r="AA105" s="148" t="str" cm="1">
        <f t="array" ref="AA105">Common_InputFunctions.Utility_DisplayArrayInTable(Fertiliser_SourceData.Fertiliser_Products_Data1(), FertiliserProducts[[#Headers],[Company]],1)</f>
        <v/>
      </c>
      <c r="AB105" s="148" t="str" cm="1">
        <f t="array" ref="AB105">Common_InputFunctions.Utility_DisplayArrayInTable(Fertiliser_SourceData.Fertiliser_Products_Data1(), FertiliserProducts[[#Headers],[Company]],1)</f>
        <v/>
      </c>
      <c r="AC105" s="148" t="str" cm="1">
        <f t="array" ref="AC105">Common_InputFunctions.Utility_DisplayArrayInTable(Fertiliser_SourceData.Fertiliser_Products_Data1(), FertiliserProducts[[#Headers],[Company]],1)</f>
        <v/>
      </c>
      <c r="AD105" s="148" t="str" cm="1">
        <f t="array" ref="AD105">Common_InputFunctions.Utility_DisplayArrayInTable(Fertiliser_SourceData.Fertiliser_Products_Data1(), FertiliserProducts[[#Headers],[Company]],1)</f>
        <v/>
      </c>
      <c r="AE105" s="148" t="str" cm="1">
        <f t="array" ref="AE105">Common_InputFunctions.Utility_DisplayArrayInTable(Fertiliser_SourceData.Fertiliser_Products_Data1(), FertiliserProducts[[#Headers],[Company]],1)</f>
        <v/>
      </c>
      <c r="AF105" s="148" t="str" cm="1">
        <f t="array" ref="AF105">Common_InputFunctions.Utility_DisplayArrayInTable(Fertiliser_SourceData.Fertiliser_Products_Data1(), FertiliserProducts[[#Headers],[Company]],1)</f>
        <v/>
      </c>
      <c r="AG105" s="148" t="str" cm="1">
        <f t="array" ref="AG105">Common_InputFunctions.Utility_DisplayArrayInTable(Fertiliser_SourceData.Fertiliser_Products_Data1(), FertiliserProducts[[#Headers],[Company]],1)</f>
        <v/>
      </c>
      <c r="AH105" s="148" t="str" cm="1">
        <f t="array" ref="AH105">Common_InputFunctions.Utility_DisplayArrayInTable(Fertiliser_SourceData.Fertiliser_Products_Data1(), FertiliserProducts[[#Headers],[Company]],1)</f>
        <v/>
      </c>
      <c r="AK105" s="1"/>
      <c r="AL105" s="1"/>
      <c r="AM105" s="1"/>
    </row>
    <row r="106" spans="1:39" ht="20.100000000000001" customHeight="1" x14ac:dyDescent="0.2">
      <c r="D106" s="148" t="str" cm="1">
        <f t="array" ref="D106">Common_InputFunctions.Utility_DisplayArrayInTable(Fertiliser_SourceData.Fertiliser_Products_Data1(), FertiliserProducts[[#Headers],[Company]],1)</f>
        <v>SL Tec</v>
      </c>
      <c r="E106" s="148" t="str" cm="1">
        <f t="array" ref="E106">Common_InputFunctions.Utility_DisplayArrayInTable(Fertiliser_SourceData.Fertiliser_Products_Data1(), FertiliserProducts[[#Headers],[Company]],1)</f>
        <v>Crop Booster PLUS</v>
      </c>
      <c r="F106" s="148" t="str" cm="1">
        <f t="array" ref="F106">Common_InputFunctions.Utility_DisplayArrayInTable(Fertiliser_SourceData.Fertiliser_Products_Data1(), FertiliserProducts[[#Headers],[Company]],1)</f>
        <v>L</v>
      </c>
      <c r="G106" s="148" cm="1">
        <f t="array" ref="G106">Common_InputFunctions.Utility_DisplayArrayInTable(Fertiliser_SourceData.Fertiliser_Products_Data1(), FertiliserProducts[[#Headers],[Company]],1)</f>
        <v>1.319</v>
      </c>
      <c r="H106" s="148" t="str" cm="1">
        <f t="array" ref="H106">Common_InputFunctions.Utility_DisplayArrayInTable(Fertiliser_SourceData.Fertiliser_Products_Data1(), FertiliserProducts[[#Headers],[Company]],1)</f>
        <v/>
      </c>
      <c r="I106" s="148" t="str" cm="1">
        <f t="array" ref="I106">Common_InputFunctions.Utility_DisplayArrayInTable(Fertiliser_SourceData.Fertiliser_Products_Data1(), FertiliserProducts[[#Headers],[Company]],1)</f>
        <v/>
      </c>
      <c r="J106" s="148" t="str" cm="1">
        <f t="array" ref="J106">Common_InputFunctions.Utility_DisplayArrayInTable(Fertiliser_SourceData.Fertiliser_Products_Data1(), FertiliserProducts[[#Headers],[Company]],1)</f>
        <v/>
      </c>
      <c r="K106" s="148" cm="1">
        <f t="array" ref="K106">Common_InputFunctions.Utility_DisplayArrayInTable(Fertiliser_SourceData.Fertiliser_Products_Data1(), FertiliserProducts[[#Headers],[Company]],1)</f>
        <v>5</v>
      </c>
      <c r="L106" s="148" cm="1">
        <f t="array" ref="L106">Common_InputFunctions.Utility_DisplayArrayInTable(Fertiliser_SourceData.Fertiliser_Products_Data1(), FertiliserProducts[[#Headers],[Company]],1)</f>
        <v>15</v>
      </c>
      <c r="M106" s="148" cm="1">
        <f t="array" ref="M106">Common_InputFunctions.Utility_DisplayArrayInTable(Fertiliser_SourceData.Fertiliser_Products_Data1(), FertiliserProducts[[#Headers],[Company]],1)</f>
        <v>2.1</v>
      </c>
      <c r="N106" s="148" t="str" cm="1">
        <f t="array" ref="N106">Common_InputFunctions.Utility_DisplayArrayInTable(Fertiliser_SourceData.Fertiliser_Products_Data1(), FertiliserProducts[[#Headers],[Company]],1)</f>
        <v/>
      </c>
      <c r="O106" s="148" t="str" cm="1">
        <f t="array" ref="O106">Common_InputFunctions.Utility_DisplayArrayInTable(Fertiliser_SourceData.Fertiliser_Products_Data1(), FertiliserProducts[[#Headers],[Company]],1)</f>
        <v>Phosphorus - Generic</v>
      </c>
      <c r="P106" s="148" cm="1">
        <f t="array" ref="P106">Common_InputFunctions.Utility_DisplayArrayInTable(Fertiliser_SourceData.Fertiliser_Products_Data1(), FertiliserProducts[[#Headers],[Company]],1)</f>
        <v>0.15</v>
      </c>
      <c r="Q106" s="148" t="str" cm="1">
        <f t="array" ref="Q106">Common_InputFunctions.Utility_DisplayArrayInTable(Fertiliser_SourceData.Fertiliser_Products_Data1(), FertiliserProducts[[#Headers],[Company]],1)</f>
        <v>Calcium</v>
      </c>
      <c r="R106" s="148" cm="1">
        <f t="array" ref="R106">Common_InputFunctions.Utility_DisplayArrayInTable(Fertiliser_SourceData.Fertiliser_Products_Data1(), FertiliserProducts[[#Headers],[Company]],1)</f>
        <v>0.04</v>
      </c>
      <c r="S106" s="148" t="str" cm="1">
        <f t="array" ref="S106">Common_InputFunctions.Utility_DisplayArrayInTable(Fertiliser_SourceData.Fertiliser_Products_Data1(), FertiliserProducts[[#Headers],[Company]],1)</f>
        <v>Nitrogen - Ammoniacal</v>
      </c>
      <c r="T106" s="148" cm="1">
        <f t="array" ref="T106">Common_InputFunctions.Utility_DisplayArrayInTable(Fertiliser_SourceData.Fertiliser_Products_Data1(), FertiliserProducts[[#Headers],[Company]],1)</f>
        <v>2.9000000000000001E-2</v>
      </c>
      <c r="U106" s="148" t="str" cm="1">
        <f t="array" ref="U106">Common_InputFunctions.Utility_DisplayArrayInTable(Fertiliser_SourceData.Fertiliser_Products_Data1(), FertiliserProducts[[#Headers],[Company]],1)</f>
        <v>Nitrogen - Nitrate</v>
      </c>
      <c r="V106" s="148" cm="1">
        <f t="array" ref="V106">Common_InputFunctions.Utility_DisplayArrayInTable(Fertiliser_SourceData.Fertiliser_Products_Data1(), FertiliserProducts[[#Headers],[Company]],1)</f>
        <v>2.1000000000000001E-2</v>
      </c>
      <c r="W106" s="148" t="str" cm="1">
        <f t="array" ref="W106">Common_InputFunctions.Utility_DisplayArrayInTable(Fertiliser_SourceData.Fertiliser_Products_Data1(), FertiliserProducts[[#Headers],[Company]],1)</f>
        <v>Potassium - Generic</v>
      </c>
      <c r="X106" s="148" cm="1">
        <f t="array" ref="X106">Common_InputFunctions.Utility_DisplayArrayInTable(Fertiliser_SourceData.Fertiliser_Products_Data1(), FertiliserProducts[[#Headers],[Company]],1)</f>
        <v>2.1000000000000001E-2</v>
      </c>
      <c r="Y106" s="148" t="str" cm="1">
        <f t="array" ref="Y106">Common_InputFunctions.Utility_DisplayArrayInTable(Fertiliser_SourceData.Fertiliser_Products_Data1(), FertiliserProducts[[#Headers],[Company]],1)</f>
        <v>Copper</v>
      </c>
      <c r="Z106" s="148" cm="1">
        <f t="array" ref="Z106">Common_InputFunctions.Utility_DisplayArrayInTable(Fertiliser_SourceData.Fertiliser_Products_Data1(), FertiliserProducts[[#Headers],[Company]],1)</f>
        <v>5.0000000000000001E-3</v>
      </c>
      <c r="AA106" s="148" t="str" cm="1">
        <f t="array" ref="AA106">Common_InputFunctions.Utility_DisplayArrayInTable(Fertiliser_SourceData.Fertiliser_Products_Data1(), FertiliserProducts[[#Headers],[Company]],1)</f>
        <v>Zinc</v>
      </c>
      <c r="AB106" s="148" cm="1">
        <f t="array" ref="AB106">Common_InputFunctions.Utility_DisplayArrayInTable(Fertiliser_SourceData.Fertiliser_Products_Data1(), FertiliserProducts[[#Headers],[Company]],1)</f>
        <v>4.0000000000000001E-3</v>
      </c>
      <c r="AC106" s="148" t="str" cm="1">
        <f t="array" ref="AC106">Common_InputFunctions.Utility_DisplayArrayInTable(Fertiliser_SourceData.Fertiliser_Products_Data1(), FertiliserProducts[[#Headers],[Company]],1)</f>
        <v>Manganese</v>
      </c>
      <c r="AD106" s="148" cm="1">
        <f t="array" ref="AD106">Common_InputFunctions.Utility_DisplayArrayInTable(Fertiliser_SourceData.Fertiliser_Products_Data1(), FertiliserProducts[[#Headers],[Company]],1)</f>
        <v>4.0000000000000001E-3</v>
      </c>
      <c r="AE106" s="148" t="str" cm="1">
        <f t="array" ref="AE106">Common_InputFunctions.Utility_DisplayArrayInTable(Fertiliser_SourceData.Fertiliser_Products_Data1(), FertiliserProducts[[#Headers],[Company]],1)</f>
        <v>Magnesium</v>
      </c>
      <c r="AF106" s="148" cm="1">
        <f t="array" ref="AF106">Common_InputFunctions.Utility_DisplayArrayInTable(Fertiliser_SourceData.Fertiliser_Products_Data1(), FertiliserProducts[[#Headers],[Company]],1)</f>
        <v>2E-3</v>
      </c>
      <c r="AG106" s="148" t="str" cm="1">
        <f t="array" ref="AG106">Common_InputFunctions.Utility_DisplayArrayInTable(Fertiliser_SourceData.Fertiliser_Products_Data1(), FertiliserProducts[[#Headers],[Company]],1)</f>
        <v/>
      </c>
      <c r="AH106" s="148" t="str" cm="1">
        <f t="array" ref="AH106">Common_InputFunctions.Utility_DisplayArrayInTable(Fertiliser_SourceData.Fertiliser_Products_Data1(), FertiliserProducts[[#Headers],[Company]],1)</f>
        <v/>
      </c>
      <c r="AK106" s="1"/>
      <c r="AL106" s="1"/>
      <c r="AM106" s="1"/>
    </row>
    <row r="107" spans="1:39" ht="20.100000000000001" customHeight="1" x14ac:dyDescent="0.2">
      <c r="D107" s="148" t="str" cm="1">
        <f t="array" ref="D107">Common_InputFunctions.Utility_DisplayArrayInTable(Fertiliser_SourceData.Fertiliser_Products_Data1(), FertiliserProducts[[#Headers],[Company]],1)</f>
        <v>Risso-Chemical</v>
      </c>
      <c r="E107" s="148" t="str" cm="1">
        <f t="array" ref="E107">Common_InputFunctions.Utility_DisplayArrayInTable(Fertiliser_SourceData.Fertiliser_Products_Data1(), FertiliserProducts[[#Headers],[Company]],1)</f>
        <v>Ammonium Bicarbonate</v>
      </c>
      <c r="F107" s="148" t="str" cm="1">
        <f t="array" ref="F107">Common_InputFunctions.Utility_DisplayArrayInTable(Fertiliser_SourceData.Fertiliser_Products_Data1(), FertiliserProducts[[#Headers],[Company]],1)</f>
        <v>kg</v>
      </c>
      <c r="G107" s="148" cm="1">
        <f t="array" ref="G107">Common_InputFunctions.Utility_DisplayArrayInTable(Fertiliser_SourceData.Fertiliser_Products_Data1(), FertiliserProducts[[#Headers],[Company]],1)</f>
        <v>1</v>
      </c>
      <c r="H107" s="148" t="str" cm="1">
        <f t="array" ref="H107">Common_InputFunctions.Utility_DisplayArrayInTable(Fertiliser_SourceData.Fertiliser_Products_Data1(), FertiliserProducts[[#Headers],[Company]],1)</f>
        <v/>
      </c>
      <c r="I107" s="148" t="str" cm="1">
        <f t="array" ref="I107">Common_InputFunctions.Utility_DisplayArrayInTable(Fertiliser_SourceData.Fertiliser_Products_Data1(), FertiliserProducts[[#Headers],[Company]],1)</f>
        <v/>
      </c>
      <c r="J107" s="148" t="str" cm="1">
        <f t="array" ref="J107">Common_InputFunctions.Utility_DisplayArrayInTable(Fertiliser_SourceData.Fertiliser_Products_Data1(), FertiliserProducts[[#Headers],[Company]],1)</f>
        <v>China</v>
      </c>
      <c r="K107" s="148" cm="1">
        <f t="array" ref="K107">Common_InputFunctions.Utility_DisplayArrayInTable(Fertiliser_SourceData.Fertiliser_Products_Data1(), FertiliserProducts[[#Headers],[Company]],1)</f>
        <v>17.7</v>
      </c>
      <c r="L107" s="148" t="str" cm="1">
        <f t="array" ref="L107">Common_InputFunctions.Utility_DisplayArrayInTable(Fertiliser_SourceData.Fertiliser_Products_Data1(), FertiliserProducts[[#Headers],[Company]],1)</f>
        <v/>
      </c>
      <c r="M107" s="148" t="str" cm="1">
        <f t="array" ref="M107">Common_InputFunctions.Utility_DisplayArrayInTable(Fertiliser_SourceData.Fertiliser_Products_Data1(), FertiliserProducts[[#Headers],[Company]],1)</f>
        <v/>
      </c>
      <c r="N107" s="148" t="str" cm="1">
        <f t="array" ref="N107">Common_InputFunctions.Utility_DisplayArrayInTable(Fertiliser_SourceData.Fertiliser_Products_Data1(), FertiliserProducts[[#Headers],[Company]],1)</f>
        <v/>
      </c>
      <c r="O107" s="148" t="str" cm="1">
        <f t="array" ref="O107">Common_InputFunctions.Utility_DisplayArrayInTable(Fertiliser_SourceData.Fertiliser_Products_Data1(), FertiliserProducts[[#Headers],[Company]],1)</f>
        <v>Nitrogen - Ammoniacal</v>
      </c>
      <c r="P107" s="148" cm="1">
        <f t="array" ref="P107">Common_InputFunctions.Utility_DisplayArrayInTable(Fertiliser_SourceData.Fertiliser_Products_Data1(), FertiliserProducts[[#Headers],[Company]],1)</f>
        <v>0.17699999999999999</v>
      </c>
      <c r="Q107" s="148" t="str" cm="1">
        <f t="array" ref="Q107">Common_InputFunctions.Utility_DisplayArrayInTable(Fertiliser_SourceData.Fertiliser_Products_Data1(), FertiliserProducts[[#Headers],[Company]],1)</f>
        <v/>
      </c>
      <c r="R107" s="148" t="str" cm="1">
        <f t="array" ref="R107">Common_InputFunctions.Utility_DisplayArrayInTable(Fertiliser_SourceData.Fertiliser_Products_Data1(), FertiliserProducts[[#Headers],[Company]],1)</f>
        <v/>
      </c>
      <c r="S107" s="148" t="str" cm="1">
        <f t="array" ref="S107">Common_InputFunctions.Utility_DisplayArrayInTable(Fertiliser_SourceData.Fertiliser_Products_Data1(), FertiliserProducts[[#Headers],[Company]],1)</f>
        <v/>
      </c>
      <c r="T107" s="148" t="str" cm="1">
        <f t="array" ref="T107">Common_InputFunctions.Utility_DisplayArrayInTable(Fertiliser_SourceData.Fertiliser_Products_Data1(), FertiliserProducts[[#Headers],[Company]],1)</f>
        <v/>
      </c>
      <c r="U107" s="148" t="str" cm="1">
        <f t="array" ref="U107">Common_InputFunctions.Utility_DisplayArrayInTable(Fertiliser_SourceData.Fertiliser_Products_Data1(), FertiliserProducts[[#Headers],[Company]],1)</f>
        <v/>
      </c>
      <c r="V107" s="148" t="str" cm="1">
        <f t="array" ref="V107">Common_InputFunctions.Utility_DisplayArrayInTable(Fertiliser_SourceData.Fertiliser_Products_Data1(), FertiliserProducts[[#Headers],[Company]],1)</f>
        <v/>
      </c>
      <c r="W107" s="148" t="str" cm="1">
        <f t="array" ref="W107">Common_InputFunctions.Utility_DisplayArrayInTable(Fertiliser_SourceData.Fertiliser_Products_Data1(), FertiliserProducts[[#Headers],[Company]],1)</f>
        <v/>
      </c>
      <c r="X107" s="148" t="str" cm="1">
        <f t="array" ref="X107">Common_InputFunctions.Utility_DisplayArrayInTable(Fertiliser_SourceData.Fertiliser_Products_Data1(), FertiliserProducts[[#Headers],[Company]],1)</f>
        <v/>
      </c>
      <c r="Y107" s="148" t="str" cm="1">
        <f t="array" ref="Y107">Common_InputFunctions.Utility_DisplayArrayInTable(Fertiliser_SourceData.Fertiliser_Products_Data1(), FertiliserProducts[[#Headers],[Company]],1)</f>
        <v/>
      </c>
      <c r="Z107" s="148" t="str" cm="1">
        <f t="array" ref="Z107">Common_InputFunctions.Utility_DisplayArrayInTable(Fertiliser_SourceData.Fertiliser_Products_Data1(), FertiliserProducts[[#Headers],[Company]],1)</f>
        <v/>
      </c>
      <c r="AA107" s="148" t="str" cm="1">
        <f t="array" ref="AA107">Common_InputFunctions.Utility_DisplayArrayInTable(Fertiliser_SourceData.Fertiliser_Products_Data1(), FertiliserProducts[[#Headers],[Company]],1)</f>
        <v/>
      </c>
      <c r="AB107" s="148" t="str" cm="1">
        <f t="array" ref="AB107">Common_InputFunctions.Utility_DisplayArrayInTable(Fertiliser_SourceData.Fertiliser_Products_Data1(), FertiliserProducts[[#Headers],[Company]],1)</f>
        <v/>
      </c>
      <c r="AC107" s="148" t="str" cm="1">
        <f t="array" ref="AC107">Common_InputFunctions.Utility_DisplayArrayInTable(Fertiliser_SourceData.Fertiliser_Products_Data1(), FertiliserProducts[[#Headers],[Company]],1)</f>
        <v/>
      </c>
      <c r="AD107" s="148" t="str" cm="1">
        <f t="array" ref="AD107">Common_InputFunctions.Utility_DisplayArrayInTable(Fertiliser_SourceData.Fertiliser_Products_Data1(), FertiliserProducts[[#Headers],[Company]],1)</f>
        <v/>
      </c>
      <c r="AE107" s="148" t="str" cm="1">
        <f t="array" ref="AE107">Common_InputFunctions.Utility_DisplayArrayInTable(Fertiliser_SourceData.Fertiliser_Products_Data1(), FertiliserProducts[[#Headers],[Company]],1)</f>
        <v/>
      </c>
      <c r="AF107" s="148" t="str" cm="1">
        <f t="array" ref="AF107">Common_InputFunctions.Utility_DisplayArrayInTable(Fertiliser_SourceData.Fertiliser_Products_Data1(), FertiliserProducts[[#Headers],[Company]],1)</f>
        <v/>
      </c>
      <c r="AG107" s="148" t="str" cm="1">
        <f t="array" ref="AG107">Common_InputFunctions.Utility_DisplayArrayInTable(Fertiliser_SourceData.Fertiliser_Products_Data1(), FertiliserProducts[[#Headers],[Company]],1)</f>
        <v/>
      </c>
      <c r="AH107" s="148" t="str" cm="1">
        <f t="array" ref="AH107">Common_InputFunctions.Utility_DisplayArrayInTable(Fertiliser_SourceData.Fertiliser_Products_Data1(), FertiliserProducts[[#Headers],[Company]],1)</f>
        <v/>
      </c>
      <c r="AK107" s="1"/>
      <c r="AL107" s="1"/>
      <c r="AM107" s="1"/>
    </row>
    <row r="108" spans="1:39" ht="20.100000000000001" customHeight="1" x14ac:dyDescent="0.2">
      <c r="D108" s="148" t="str" cm="1">
        <f t="array" ref="D108">Common_InputFunctions.Utility_DisplayArrayInTable(Fertiliser_SourceData.Fertiliser_Products_Data1(), FertiliserProducts[[#Headers],[Company]],1)</f>
        <v>Risso-Chemical</v>
      </c>
      <c r="E108" s="148" t="str" cm="1">
        <f t="array" ref="E108">Common_InputFunctions.Utility_DisplayArrayInTable(Fertiliser_SourceData.Fertiliser_Products_Data1(), FertiliserProducts[[#Headers],[Company]],1)</f>
        <v>Ammonium Sulfate</v>
      </c>
      <c r="F108" s="148" t="str" cm="1">
        <f t="array" ref="F108">Common_InputFunctions.Utility_DisplayArrayInTable(Fertiliser_SourceData.Fertiliser_Products_Data1(), FertiliserProducts[[#Headers],[Company]],1)</f>
        <v>kg</v>
      </c>
      <c r="G108" s="148" cm="1">
        <f t="array" ref="G108">Common_InputFunctions.Utility_DisplayArrayInTable(Fertiliser_SourceData.Fertiliser_Products_Data1(), FertiliserProducts[[#Headers],[Company]],1)</f>
        <v>1</v>
      </c>
      <c r="H108" s="148" t="str" cm="1">
        <f t="array" ref="H108">Common_InputFunctions.Utility_DisplayArrayInTable(Fertiliser_SourceData.Fertiliser_Products_Data1(), FertiliserProducts[[#Headers],[Company]],1)</f>
        <v/>
      </c>
      <c r="I108" s="148" t="str" cm="1">
        <f t="array" ref="I108">Common_InputFunctions.Utility_DisplayArrayInTable(Fertiliser_SourceData.Fertiliser_Products_Data1(), FertiliserProducts[[#Headers],[Company]],1)</f>
        <v/>
      </c>
      <c r="J108" s="148" t="str" cm="1">
        <f t="array" ref="J108">Common_InputFunctions.Utility_DisplayArrayInTable(Fertiliser_SourceData.Fertiliser_Products_Data1(), FertiliserProducts[[#Headers],[Company]],1)</f>
        <v>China</v>
      </c>
      <c r="K108" s="148" cm="1">
        <f t="array" ref="K108">Common_InputFunctions.Utility_DisplayArrayInTable(Fertiliser_SourceData.Fertiliser_Products_Data1(), FertiliserProducts[[#Headers],[Company]],1)</f>
        <v>21</v>
      </c>
      <c r="L108" s="148" t="str" cm="1">
        <f t="array" ref="L108">Common_InputFunctions.Utility_DisplayArrayInTable(Fertiliser_SourceData.Fertiliser_Products_Data1(), FertiliserProducts[[#Headers],[Company]],1)</f>
        <v/>
      </c>
      <c r="M108" s="148" t="str" cm="1">
        <f t="array" ref="M108">Common_InputFunctions.Utility_DisplayArrayInTable(Fertiliser_SourceData.Fertiliser_Products_Data1(), FertiliserProducts[[#Headers],[Company]],1)</f>
        <v/>
      </c>
      <c r="N108" s="148" cm="1">
        <f t="array" ref="N108">Common_InputFunctions.Utility_DisplayArrayInTable(Fertiliser_SourceData.Fertiliser_Products_Data1(), FertiliserProducts[[#Headers],[Company]],1)</f>
        <v>24</v>
      </c>
      <c r="O108" s="148" t="str" cm="1">
        <f t="array" ref="O108">Common_InputFunctions.Utility_DisplayArrayInTable(Fertiliser_SourceData.Fertiliser_Products_Data1(), FertiliserProducts[[#Headers],[Company]],1)</f>
        <v>Sulfur - Generic</v>
      </c>
      <c r="P108" s="148" cm="1">
        <f t="array" ref="P108">Common_InputFunctions.Utility_DisplayArrayInTable(Fertiliser_SourceData.Fertiliser_Products_Data1(), FertiliserProducts[[#Headers],[Company]],1)</f>
        <v>0.24</v>
      </c>
      <c r="Q108" s="148" t="str" cm="1">
        <f t="array" ref="Q108">Common_InputFunctions.Utility_DisplayArrayInTable(Fertiliser_SourceData.Fertiliser_Products_Data1(), FertiliserProducts[[#Headers],[Company]],1)</f>
        <v>Nitrogen - Ammoniacal</v>
      </c>
      <c r="R108" s="148" cm="1">
        <f t="array" ref="R108">Common_InputFunctions.Utility_DisplayArrayInTable(Fertiliser_SourceData.Fertiliser_Products_Data1(), FertiliserProducts[[#Headers],[Company]],1)</f>
        <v>0.21</v>
      </c>
      <c r="S108" s="148" t="str" cm="1">
        <f t="array" ref="S108">Common_InputFunctions.Utility_DisplayArrayInTable(Fertiliser_SourceData.Fertiliser_Products_Data1(), FertiliserProducts[[#Headers],[Company]],1)</f>
        <v/>
      </c>
      <c r="T108" s="148" t="str" cm="1">
        <f t="array" ref="T108">Common_InputFunctions.Utility_DisplayArrayInTable(Fertiliser_SourceData.Fertiliser_Products_Data1(), FertiliserProducts[[#Headers],[Company]],1)</f>
        <v/>
      </c>
      <c r="U108" s="148" t="str" cm="1">
        <f t="array" ref="U108">Common_InputFunctions.Utility_DisplayArrayInTable(Fertiliser_SourceData.Fertiliser_Products_Data1(), FertiliserProducts[[#Headers],[Company]],1)</f>
        <v/>
      </c>
      <c r="V108" s="148" t="str" cm="1">
        <f t="array" ref="V108">Common_InputFunctions.Utility_DisplayArrayInTable(Fertiliser_SourceData.Fertiliser_Products_Data1(), FertiliserProducts[[#Headers],[Company]],1)</f>
        <v/>
      </c>
      <c r="W108" s="148" t="str" cm="1">
        <f t="array" ref="W108">Common_InputFunctions.Utility_DisplayArrayInTable(Fertiliser_SourceData.Fertiliser_Products_Data1(), FertiliserProducts[[#Headers],[Company]],1)</f>
        <v/>
      </c>
      <c r="X108" s="148" t="str" cm="1">
        <f t="array" ref="X108">Common_InputFunctions.Utility_DisplayArrayInTable(Fertiliser_SourceData.Fertiliser_Products_Data1(), FertiliserProducts[[#Headers],[Company]],1)</f>
        <v/>
      </c>
      <c r="Y108" s="148" t="str" cm="1">
        <f t="array" ref="Y108">Common_InputFunctions.Utility_DisplayArrayInTable(Fertiliser_SourceData.Fertiliser_Products_Data1(), FertiliserProducts[[#Headers],[Company]],1)</f>
        <v/>
      </c>
      <c r="Z108" s="148" t="str" cm="1">
        <f t="array" ref="Z108">Common_InputFunctions.Utility_DisplayArrayInTable(Fertiliser_SourceData.Fertiliser_Products_Data1(), FertiliserProducts[[#Headers],[Company]],1)</f>
        <v/>
      </c>
      <c r="AA108" s="148" t="str" cm="1">
        <f t="array" ref="AA108">Common_InputFunctions.Utility_DisplayArrayInTable(Fertiliser_SourceData.Fertiliser_Products_Data1(), FertiliserProducts[[#Headers],[Company]],1)</f>
        <v/>
      </c>
      <c r="AB108" s="148" t="str" cm="1">
        <f t="array" ref="AB108">Common_InputFunctions.Utility_DisplayArrayInTable(Fertiliser_SourceData.Fertiliser_Products_Data1(), FertiliserProducts[[#Headers],[Company]],1)</f>
        <v/>
      </c>
      <c r="AC108" s="148" t="str" cm="1">
        <f t="array" ref="AC108">Common_InputFunctions.Utility_DisplayArrayInTable(Fertiliser_SourceData.Fertiliser_Products_Data1(), FertiliserProducts[[#Headers],[Company]],1)</f>
        <v/>
      </c>
      <c r="AD108" s="148" t="str" cm="1">
        <f t="array" ref="AD108">Common_InputFunctions.Utility_DisplayArrayInTable(Fertiliser_SourceData.Fertiliser_Products_Data1(), FertiliserProducts[[#Headers],[Company]],1)</f>
        <v/>
      </c>
      <c r="AE108" s="148" t="str" cm="1">
        <f t="array" ref="AE108">Common_InputFunctions.Utility_DisplayArrayInTable(Fertiliser_SourceData.Fertiliser_Products_Data1(), FertiliserProducts[[#Headers],[Company]],1)</f>
        <v/>
      </c>
      <c r="AF108" s="148" t="str" cm="1">
        <f t="array" ref="AF108">Common_InputFunctions.Utility_DisplayArrayInTable(Fertiliser_SourceData.Fertiliser_Products_Data1(), FertiliserProducts[[#Headers],[Company]],1)</f>
        <v/>
      </c>
      <c r="AG108" s="148" t="str" cm="1">
        <f t="array" ref="AG108">Common_InputFunctions.Utility_DisplayArrayInTable(Fertiliser_SourceData.Fertiliser_Products_Data1(), FertiliserProducts[[#Headers],[Company]],1)</f>
        <v/>
      </c>
      <c r="AH108" s="148" t="str" cm="1">
        <f t="array" ref="AH108">Common_InputFunctions.Utility_DisplayArrayInTable(Fertiliser_SourceData.Fertiliser_Products_Data1(), FertiliserProducts[[#Headers],[Company]],1)</f>
        <v/>
      </c>
      <c r="AK108" s="1"/>
      <c r="AL108" s="1"/>
      <c r="AM108" s="1"/>
    </row>
    <row r="109" spans="1:39" ht="20.100000000000001" customHeight="1" x14ac:dyDescent="0.2">
      <c r="D109" s="148" t="str" cm="1">
        <f t="array" ref="D109">Common_InputFunctions.Utility_DisplayArrayInTable(Fertiliser_SourceData.Fertiliser_Products_Data1(), FertiliserProducts[[#Headers],[Company]],1)</f>
        <v>Ravensdown</v>
      </c>
      <c r="E109" s="148" t="str" cm="1">
        <f t="array" ref="E109">Common_InputFunctions.Utility_DisplayArrayInTable(Fertiliser_SourceData.Fertiliser_Products_Data1(), FertiliserProducts[[#Headers],[Company]],1)</f>
        <v>Ammonium Sulphate - Granular</v>
      </c>
      <c r="F109" s="148" t="str" cm="1">
        <f t="array" ref="F109">Common_InputFunctions.Utility_DisplayArrayInTable(Fertiliser_SourceData.Fertiliser_Products_Data1(), FertiliserProducts[[#Headers],[Company]],1)</f>
        <v>kg</v>
      </c>
      <c r="G109" s="148" cm="1">
        <f t="array" ref="G109">Common_InputFunctions.Utility_DisplayArrayInTable(Fertiliser_SourceData.Fertiliser_Products_Data1(), FertiliserProducts[[#Headers],[Company]],1)</f>
        <v>1</v>
      </c>
      <c r="H109" s="148" t="str" cm="1">
        <f t="array" ref="H109">Common_InputFunctions.Utility_DisplayArrayInTable(Fertiliser_SourceData.Fertiliser_Products_Data1(), FertiliserProducts[[#Headers],[Company]],1)</f>
        <v/>
      </c>
      <c r="I109" s="148" t="str" cm="1">
        <f t="array" ref="I109">Common_InputFunctions.Utility_DisplayArrayInTable(Fertiliser_SourceData.Fertiliser_Products_Data1(), FertiliserProducts[[#Headers],[Company]],1)</f>
        <v/>
      </c>
      <c r="J109" s="148" t="str" cm="1">
        <f t="array" ref="J109">Common_InputFunctions.Utility_DisplayArrayInTable(Fertiliser_SourceData.Fertiliser_Products_Data1(), FertiliserProducts[[#Headers],[Company]],1)</f>
        <v/>
      </c>
      <c r="K109" s="148" cm="1">
        <f t="array" ref="K109">Common_InputFunctions.Utility_DisplayArrayInTable(Fertiliser_SourceData.Fertiliser_Products_Data1(), FertiliserProducts[[#Headers],[Company]],1)</f>
        <v>21</v>
      </c>
      <c r="L109" s="148" t="str" cm="1">
        <f t="array" ref="L109">Common_InputFunctions.Utility_DisplayArrayInTable(Fertiliser_SourceData.Fertiliser_Products_Data1(), FertiliserProducts[[#Headers],[Company]],1)</f>
        <v/>
      </c>
      <c r="M109" s="148" t="str" cm="1">
        <f t="array" ref="M109">Common_InputFunctions.Utility_DisplayArrayInTable(Fertiliser_SourceData.Fertiliser_Products_Data1(), FertiliserProducts[[#Headers],[Company]],1)</f>
        <v/>
      </c>
      <c r="N109" s="148" cm="1">
        <f t="array" ref="N109">Common_InputFunctions.Utility_DisplayArrayInTable(Fertiliser_SourceData.Fertiliser_Products_Data1(), FertiliserProducts[[#Headers],[Company]],1)</f>
        <v>24</v>
      </c>
      <c r="O109" s="148" t="str" cm="1">
        <f t="array" ref="O109">Common_InputFunctions.Utility_DisplayArrayInTable(Fertiliser_SourceData.Fertiliser_Products_Data1(), FertiliserProducts[[#Headers],[Company]],1)</f>
        <v>Sulphate of ammonia (SOA)</v>
      </c>
      <c r="P109" s="148" cm="1">
        <f t="array" ref="P109">Common_InputFunctions.Utility_DisplayArrayInTable(Fertiliser_SourceData.Fertiliser_Products_Data1(), FertiliserProducts[[#Headers],[Company]],1)</f>
        <v>1</v>
      </c>
      <c r="Q109" s="148" t="str" cm="1">
        <f t="array" ref="Q109">Common_InputFunctions.Utility_DisplayArrayInTable(Fertiliser_SourceData.Fertiliser_Products_Data1(), FertiliserProducts[[#Headers],[Company]],1)</f>
        <v/>
      </c>
      <c r="R109" s="148" t="str" cm="1">
        <f t="array" ref="R109">Common_InputFunctions.Utility_DisplayArrayInTable(Fertiliser_SourceData.Fertiliser_Products_Data1(), FertiliserProducts[[#Headers],[Company]],1)</f>
        <v/>
      </c>
      <c r="S109" s="148" t="str" cm="1">
        <f t="array" ref="S109">Common_InputFunctions.Utility_DisplayArrayInTable(Fertiliser_SourceData.Fertiliser_Products_Data1(), FertiliserProducts[[#Headers],[Company]],1)</f>
        <v/>
      </c>
      <c r="T109" s="148" t="str" cm="1">
        <f t="array" ref="T109">Common_InputFunctions.Utility_DisplayArrayInTable(Fertiliser_SourceData.Fertiliser_Products_Data1(), FertiliserProducts[[#Headers],[Company]],1)</f>
        <v/>
      </c>
      <c r="U109" s="148" t="str" cm="1">
        <f t="array" ref="U109">Common_InputFunctions.Utility_DisplayArrayInTable(Fertiliser_SourceData.Fertiliser_Products_Data1(), FertiliserProducts[[#Headers],[Company]],1)</f>
        <v/>
      </c>
      <c r="V109" s="148" t="str" cm="1">
        <f t="array" ref="V109">Common_InputFunctions.Utility_DisplayArrayInTable(Fertiliser_SourceData.Fertiliser_Products_Data1(), FertiliserProducts[[#Headers],[Company]],1)</f>
        <v/>
      </c>
      <c r="W109" s="148" t="str" cm="1">
        <f t="array" ref="W109">Common_InputFunctions.Utility_DisplayArrayInTable(Fertiliser_SourceData.Fertiliser_Products_Data1(), FertiliserProducts[[#Headers],[Company]],1)</f>
        <v/>
      </c>
      <c r="X109" s="148" t="str" cm="1">
        <f t="array" ref="X109">Common_InputFunctions.Utility_DisplayArrayInTable(Fertiliser_SourceData.Fertiliser_Products_Data1(), FertiliserProducts[[#Headers],[Company]],1)</f>
        <v/>
      </c>
      <c r="Y109" s="148" t="str" cm="1">
        <f t="array" ref="Y109">Common_InputFunctions.Utility_DisplayArrayInTable(Fertiliser_SourceData.Fertiliser_Products_Data1(), FertiliserProducts[[#Headers],[Company]],1)</f>
        <v/>
      </c>
      <c r="Z109" s="148" t="str" cm="1">
        <f t="array" ref="Z109">Common_InputFunctions.Utility_DisplayArrayInTable(Fertiliser_SourceData.Fertiliser_Products_Data1(), FertiliserProducts[[#Headers],[Company]],1)</f>
        <v/>
      </c>
      <c r="AA109" s="148" t="str" cm="1">
        <f t="array" ref="AA109">Common_InputFunctions.Utility_DisplayArrayInTable(Fertiliser_SourceData.Fertiliser_Products_Data1(), FertiliserProducts[[#Headers],[Company]],1)</f>
        <v/>
      </c>
      <c r="AB109" s="148" t="str" cm="1">
        <f t="array" ref="AB109">Common_InputFunctions.Utility_DisplayArrayInTable(Fertiliser_SourceData.Fertiliser_Products_Data1(), FertiliserProducts[[#Headers],[Company]],1)</f>
        <v/>
      </c>
      <c r="AC109" s="148" t="str" cm="1">
        <f t="array" ref="AC109">Common_InputFunctions.Utility_DisplayArrayInTable(Fertiliser_SourceData.Fertiliser_Products_Data1(), FertiliserProducts[[#Headers],[Company]],1)</f>
        <v/>
      </c>
      <c r="AD109" s="148" t="str" cm="1">
        <f t="array" ref="AD109">Common_InputFunctions.Utility_DisplayArrayInTable(Fertiliser_SourceData.Fertiliser_Products_Data1(), FertiliserProducts[[#Headers],[Company]],1)</f>
        <v/>
      </c>
      <c r="AE109" s="148" t="str" cm="1">
        <f t="array" ref="AE109">Common_InputFunctions.Utility_DisplayArrayInTable(Fertiliser_SourceData.Fertiliser_Products_Data1(), FertiliserProducts[[#Headers],[Company]],1)</f>
        <v/>
      </c>
      <c r="AF109" s="148" t="str" cm="1">
        <f t="array" ref="AF109">Common_InputFunctions.Utility_DisplayArrayInTable(Fertiliser_SourceData.Fertiliser_Products_Data1(), FertiliserProducts[[#Headers],[Company]],1)</f>
        <v/>
      </c>
      <c r="AG109" s="148" t="str" cm="1">
        <f t="array" ref="AG109">Common_InputFunctions.Utility_DisplayArrayInTable(Fertiliser_SourceData.Fertiliser_Products_Data1(), FertiliserProducts[[#Headers],[Company]],1)</f>
        <v/>
      </c>
      <c r="AH109" s="148" t="str" cm="1">
        <f t="array" ref="AH109">Common_InputFunctions.Utility_DisplayArrayInTable(Fertiliser_SourceData.Fertiliser_Products_Data1(), FertiliserProducts[[#Headers],[Company]],1)</f>
        <v/>
      </c>
      <c r="AK109" s="1"/>
      <c r="AL109" s="1"/>
      <c r="AM109" s="1"/>
    </row>
    <row r="110" spans="1:39" ht="20.100000000000001" customHeight="1" x14ac:dyDescent="0.2">
      <c r="D110" s="148" t="str" cm="1">
        <f t="array" ref="D110">Common_InputFunctions.Utility_DisplayArrayInTable(Fertiliser_SourceData.Fertiliser_Products_Data1(), FertiliserProducts[[#Headers],[Company]],1)</f>
        <v>Impact Fertilisers</v>
      </c>
      <c r="E110" s="148" t="str" cm="1">
        <f t="array" ref="E110">Common_InputFunctions.Utility_DisplayArrayInTable(Fertiliser_SourceData.Fertiliser_Products_Data1(), FertiliserProducts[[#Headers],[Company]],1)</f>
        <v>Di-Ammonium Phosphate (DAP)</v>
      </c>
      <c r="F110" s="148" t="str" cm="1">
        <f t="array" ref="F110">Common_InputFunctions.Utility_DisplayArrayInTable(Fertiliser_SourceData.Fertiliser_Products_Data1(), FertiliserProducts[[#Headers],[Company]],1)</f>
        <v>kg</v>
      </c>
      <c r="G110" s="148" cm="1">
        <f t="array" ref="G110">Common_InputFunctions.Utility_DisplayArrayInTable(Fertiliser_SourceData.Fertiliser_Products_Data1(), FertiliserProducts[[#Headers],[Company]],1)</f>
        <v>1</v>
      </c>
      <c r="H110" s="148" t="str" cm="1">
        <f t="array" ref="H110">Common_InputFunctions.Utility_DisplayArrayInTable(Fertiliser_SourceData.Fertiliser_Products_Data1(), FertiliserProducts[[#Headers],[Company]],1)</f>
        <v/>
      </c>
      <c r="I110" s="148" t="str" cm="1">
        <f t="array" ref="I110">Common_InputFunctions.Utility_DisplayArrayInTable(Fertiliser_SourceData.Fertiliser_Products_Data1(), FertiliserProducts[[#Headers],[Company]],1)</f>
        <v/>
      </c>
      <c r="J110" s="148" t="str" cm="1">
        <f t="array" ref="J110">Common_InputFunctions.Utility_DisplayArrayInTable(Fertiliser_SourceData.Fertiliser_Products_Data1(), FertiliserProducts[[#Headers],[Company]],1)</f>
        <v/>
      </c>
      <c r="K110" s="148" cm="1">
        <f t="array" ref="K110">Common_InputFunctions.Utility_DisplayArrayInTable(Fertiliser_SourceData.Fertiliser_Products_Data1(), FertiliserProducts[[#Headers],[Company]],1)</f>
        <v>18</v>
      </c>
      <c r="L110" s="148" cm="1">
        <f t="array" ref="L110">Common_InputFunctions.Utility_DisplayArrayInTable(Fertiliser_SourceData.Fertiliser_Products_Data1(), FertiliserProducts[[#Headers],[Company]],1)</f>
        <v>20</v>
      </c>
      <c r="M110" s="148" t="str" cm="1">
        <f t="array" ref="M110">Common_InputFunctions.Utility_DisplayArrayInTable(Fertiliser_SourceData.Fertiliser_Products_Data1(), FertiliserProducts[[#Headers],[Company]],1)</f>
        <v/>
      </c>
      <c r="N110" s="148" t="str" cm="1">
        <f t="array" ref="N110">Common_InputFunctions.Utility_DisplayArrayInTable(Fertiliser_SourceData.Fertiliser_Products_Data1(), FertiliserProducts[[#Headers],[Company]],1)</f>
        <v/>
      </c>
      <c r="O110" s="148" t="str" cm="1">
        <f t="array" ref="O110">Common_InputFunctions.Utility_DisplayArrayInTable(Fertiliser_SourceData.Fertiliser_Products_Data1(), FertiliserProducts[[#Headers],[Company]],1)</f>
        <v>Diammonium phosphate (DAP)</v>
      </c>
      <c r="P110" s="148" cm="1">
        <f t="array" ref="P110">Common_InputFunctions.Utility_DisplayArrayInTable(Fertiliser_SourceData.Fertiliser_Products_Data1(), FertiliserProducts[[#Headers],[Company]],1)</f>
        <v>1</v>
      </c>
      <c r="Q110" s="148" t="str" cm="1">
        <f t="array" ref="Q110">Common_InputFunctions.Utility_DisplayArrayInTable(Fertiliser_SourceData.Fertiliser_Products_Data1(), FertiliserProducts[[#Headers],[Company]],1)</f>
        <v/>
      </c>
      <c r="R110" s="148" t="str" cm="1">
        <f t="array" ref="R110">Common_InputFunctions.Utility_DisplayArrayInTable(Fertiliser_SourceData.Fertiliser_Products_Data1(), FertiliserProducts[[#Headers],[Company]],1)</f>
        <v/>
      </c>
      <c r="S110" s="148" t="str" cm="1">
        <f t="array" ref="S110">Common_InputFunctions.Utility_DisplayArrayInTable(Fertiliser_SourceData.Fertiliser_Products_Data1(), FertiliserProducts[[#Headers],[Company]],1)</f>
        <v/>
      </c>
      <c r="T110" s="148" t="str" cm="1">
        <f t="array" ref="T110">Common_InputFunctions.Utility_DisplayArrayInTable(Fertiliser_SourceData.Fertiliser_Products_Data1(), FertiliserProducts[[#Headers],[Company]],1)</f>
        <v/>
      </c>
      <c r="U110" s="148" t="str" cm="1">
        <f t="array" ref="U110">Common_InputFunctions.Utility_DisplayArrayInTable(Fertiliser_SourceData.Fertiliser_Products_Data1(), FertiliserProducts[[#Headers],[Company]],1)</f>
        <v/>
      </c>
      <c r="V110" s="148" t="str" cm="1">
        <f t="array" ref="V110">Common_InputFunctions.Utility_DisplayArrayInTable(Fertiliser_SourceData.Fertiliser_Products_Data1(), FertiliserProducts[[#Headers],[Company]],1)</f>
        <v/>
      </c>
      <c r="W110" s="148" t="str" cm="1">
        <f t="array" ref="W110">Common_InputFunctions.Utility_DisplayArrayInTable(Fertiliser_SourceData.Fertiliser_Products_Data1(), FertiliserProducts[[#Headers],[Company]],1)</f>
        <v/>
      </c>
      <c r="X110" s="148" t="str" cm="1">
        <f t="array" ref="X110">Common_InputFunctions.Utility_DisplayArrayInTable(Fertiliser_SourceData.Fertiliser_Products_Data1(), FertiliserProducts[[#Headers],[Company]],1)</f>
        <v/>
      </c>
      <c r="Y110" s="148" t="str" cm="1">
        <f t="array" ref="Y110">Common_InputFunctions.Utility_DisplayArrayInTable(Fertiliser_SourceData.Fertiliser_Products_Data1(), FertiliserProducts[[#Headers],[Company]],1)</f>
        <v/>
      </c>
      <c r="Z110" s="148" t="str" cm="1">
        <f t="array" ref="Z110">Common_InputFunctions.Utility_DisplayArrayInTable(Fertiliser_SourceData.Fertiliser_Products_Data1(), FertiliserProducts[[#Headers],[Company]],1)</f>
        <v/>
      </c>
      <c r="AA110" s="148" t="str" cm="1">
        <f t="array" ref="AA110">Common_InputFunctions.Utility_DisplayArrayInTable(Fertiliser_SourceData.Fertiliser_Products_Data1(), FertiliserProducts[[#Headers],[Company]],1)</f>
        <v/>
      </c>
      <c r="AB110" s="148" t="str" cm="1">
        <f t="array" ref="AB110">Common_InputFunctions.Utility_DisplayArrayInTable(Fertiliser_SourceData.Fertiliser_Products_Data1(), FertiliserProducts[[#Headers],[Company]],1)</f>
        <v/>
      </c>
      <c r="AC110" s="148" t="str" cm="1">
        <f t="array" ref="AC110">Common_InputFunctions.Utility_DisplayArrayInTable(Fertiliser_SourceData.Fertiliser_Products_Data1(), FertiliserProducts[[#Headers],[Company]],1)</f>
        <v/>
      </c>
      <c r="AD110" s="148" t="str" cm="1">
        <f t="array" ref="AD110">Common_InputFunctions.Utility_DisplayArrayInTable(Fertiliser_SourceData.Fertiliser_Products_Data1(), FertiliserProducts[[#Headers],[Company]],1)</f>
        <v/>
      </c>
      <c r="AE110" s="148" t="str" cm="1">
        <f t="array" ref="AE110">Common_InputFunctions.Utility_DisplayArrayInTable(Fertiliser_SourceData.Fertiliser_Products_Data1(), FertiliserProducts[[#Headers],[Company]],1)</f>
        <v/>
      </c>
      <c r="AF110" s="148" t="str" cm="1">
        <f t="array" ref="AF110">Common_InputFunctions.Utility_DisplayArrayInTable(Fertiliser_SourceData.Fertiliser_Products_Data1(), FertiliserProducts[[#Headers],[Company]],1)</f>
        <v/>
      </c>
      <c r="AG110" s="148" t="str" cm="1">
        <f t="array" ref="AG110">Common_InputFunctions.Utility_DisplayArrayInTable(Fertiliser_SourceData.Fertiliser_Products_Data1(), FertiliserProducts[[#Headers],[Company]],1)</f>
        <v/>
      </c>
      <c r="AH110" s="148" t="str" cm="1">
        <f t="array" ref="AH110">Common_InputFunctions.Utility_DisplayArrayInTable(Fertiliser_SourceData.Fertiliser_Products_Data1(), FertiliserProducts[[#Headers],[Company]],1)</f>
        <v/>
      </c>
      <c r="AK110" s="1"/>
      <c r="AL110" s="1"/>
      <c r="AM110" s="1"/>
    </row>
    <row r="111" spans="1:39" ht="20.100000000000001" customHeight="1" x14ac:dyDescent="0.2">
      <c r="D111" s="148" t="str" cm="1">
        <f t="array" ref="D111">Common_InputFunctions.Utility_DisplayArrayInTable(Fertiliser_SourceData.Fertiliser_Products_Data1(), FertiliserProducts[[#Headers],[Company]],1)</f>
        <v>Incitec Pivot Fertilisers</v>
      </c>
      <c r="E111" s="148" t="str" cm="1">
        <f t="array" ref="E111">Common_InputFunctions.Utility_DisplayArrayInTable(Fertiliser_SourceData.Fertiliser_Products_Data1(), FertiliserProducts[[#Headers],[Company]],1)</f>
        <v>Basalt BooSSta</v>
      </c>
      <c r="F111" s="148" t="str" cm="1">
        <f t="array" ref="F111">Common_InputFunctions.Utility_DisplayArrayInTable(Fertiliser_SourceData.Fertiliser_Products_Data1(), FertiliserProducts[[#Headers],[Company]],1)</f>
        <v>kg</v>
      </c>
      <c r="G111" s="148" cm="1">
        <f t="array" ref="G111">Common_InputFunctions.Utility_DisplayArrayInTable(Fertiliser_SourceData.Fertiliser_Products_Data1(), FertiliserProducts[[#Headers],[Company]],1)</f>
        <v>1</v>
      </c>
      <c r="H111" s="148" t="str" cm="1">
        <f t="array" ref="H111">Common_InputFunctions.Utility_DisplayArrayInTable(Fertiliser_SourceData.Fertiliser_Products_Data1(), FertiliserProducts[[#Headers],[Company]],1)</f>
        <v/>
      </c>
      <c r="I111" s="148" t="str" cm="1">
        <f t="array" ref="I111">Common_InputFunctions.Utility_DisplayArrayInTable(Fertiliser_SourceData.Fertiliser_Products_Data1(), FertiliserProducts[[#Headers],[Company]],1)</f>
        <v/>
      </c>
      <c r="J111" s="148" t="str" cm="1">
        <f t="array" ref="J111">Common_InputFunctions.Utility_DisplayArrayInTable(Fertiliser_SourceData.Fertiliser_Products_Data1(), FertiliserProducts[[#Headers],[Company]],1)</f>
        <v/>
      </c>
      <c r="K111" s="148" cm="1">
        <f t="array" ref="K111">Common_InputFunctions.Utility_DisplayArrayInTable(Fertiliser_SourceData.Fertiliser_Products_Data1(), FertiliserProducts[[#Headers],[Company]],1)</f>
        <v>8</v>
      </c>
      <c r="L111" s="148" cm="1">
        <f t="array" ref="L111">Common_InputFunctions.Utility_DisplayArrayInTable(Fertiliser_SourceData.Fertiliser_Products_Data1(), FertiliserProducts[[#Headers],[Company]],1)</f>
        <v>14</v>
      </c>
      <c r="M111" s="148" t="str" cm="1">
        <f t="array" ref="M111">Common_InputFunctions.Utility_DisplayArrayInTable(Fertiliser_SourceData.Fertiliser_Products_Data1(), FertiliserProducts[[#Headers],[Company]],1)</f>
        <v/>
      </c>
      <c r="N111" s="148" cm="1">
        <f t="array" ref="N111">Common_InputFunctions.Utility_DisplayArrayInTable(Fertiliser_SourceData.Fertiliser_Products_Data1(), FertiliserProducts[[#Headers],[Company]],1)</f>
        <v>27.6</v>
      </c>
      <c r="O111" s="148" t="str" cm="1">
        <f t="array" ref="O111">Common_InputFunctions.Utility_DisplayArrayInTable(Fertiliser_SourceData.Fertiliser_Products_Data1(), FertiliserProducts[[#Headers],[Company]],1)</f>
        <v>Sulfur - Generic</v>
      </c>
      <c r="P111" s="148" cm="1">
        <f t="array" ref="P111">Common_InputFunctions.Utility_DisplayArrayInTable(Fertiliser_SourceData.Fertiliser_Products_Data1(), FertiliserProducts[[#Headers],[Company]],1)</f>
        <v>0.27600000000000002</v>
      </c>
      <c r="Q111" s="148" t="str" cm="1">
        <f t="array" ref="Q111">Common_InputFunctions.Utility_DisplayArrayInTable(Fertiliser_SourceData.Fertiliser_Products_Data1(), FertiliserProducts[[#Headers],[Company]],1)</f>
        <v>Phosphorus - Generic</v>
      </c>
      <c r="R111" s="148" cm="1">
        <f t="array" ref="R111">Common_InputFunctions.Utility_DisplayArrayInTable(Fertiliser_SourceData.Fertiliser_Products_Data1(), FertiliserProducts[[#Headers],[Company]],1)</f>
        <v>0.14000000000000001</v>
      </c>
      <c r="S111" s="148" t="str" cm="1">
        <f t="array" ref="S111">Common_InputFunctions.Utility_DisplayArrayInTable(Fertiliser_SourceData.Fertiliser_Products_Data1(), FertiliserProducts[[#Headers],[Company]],1)</f>
        <v>Nitrogen - Generic</v>
      </c>
      <c r="T111" s="148" cm="1">
        <f t="array" ref="T111">Common_InputFunctions.Utility_DisplayArrayInTable(Fertiliser_SourceData.Fertiliser_Products_Data1(), FertiliserProducts[[#Headers],[Company]],1)</f>
        <v>0.08</v>
      </c>
      <c r="U111" s="148" t="str" cm="1">
        <f t="array" ref="U111">Common_InputFunctions.Utility_DisplayArrayInTable(Fertiliser_SourceData.Fertiliser_Products_Data1(), FertiliserProducts[[#Headers],[Company]],1)</f>
        <v>Fluoride</v>
      </c>
      <c r="V111" s="148" cm="1">
        <f t="array" ref="V111">Common_InputFunctions.Utility_DisplayArrayInTable(Fertiliser_SourceData.Fertiliser_Products_Data1(), FertiliserProducts[[#Headers],[Company]],1)</f>
        <v>2.4E-2</v>
      </c>
      <c r="W111" s="148" t="str" cm="1">
        <f t="array" ref="W111">Common_InputFunctions.Utility_DisplayArrayInTable(Fertiliser_SourceData.Fertiliser_Products_Data1(), FertiliserProducts[[#Headers],[Company]],1)</f>
        <v/>
      </c>
      <c r="X111" s="148" t="str" cm="1">
        <f t="array" ref="X111">Common_InputFunctions.Utility_DisplayArrayInTable(Fertiliser_SourceData.Fertiliser_Products_Data1(), FertiliserProducts[[#Headers],[Company]],1)</f>
        <v/>
      </c>
      <c r="Y111" s="148" t="str" cm="1">
        <f t="array" ref="Y111">Common_InputFunctions.Utility_DisplayArrayInTable(Fertiliser_SourceData.Fertiliser_Products_Data1(), FertiliserProducts[[#Headers],[Company]],1)</f>
        <v/>
      </c>
      <c r="Z111" s="148" t="str" cm="1">
        <f t="array" ref="Z111">Common_InputFunctions.Utility_DisplayArrayInTable(Fertiliser_SourceData.Fertiliser_Products_Data1(), FertiliserProducts[[#Headers],[Company]],1)</f>
        <v/>
      </c>
      <c r="AA111" s="148" t="str" cm="1">
        <f t="array" ref="AA111">Common_InputFunctions.Utility_DisplayArrayInTable(Fertiliser_SourceData.Fertiliser_Products_Data1(), FertiliserProducts[[#Headers],[Company]],1)</f>
        <v/>
      </c>
      <c r="AB111" s="148" t="str" cm="1">
        <f t="array" ref="AB111">Common_InputFunctions.Utility_DisplayArrayInTable(Fertiliser_SourceData.Fertiliser_Products_Data1(), FertiliserProducts[[#Headers],[Company]],1)</f>
        <v/>
      </c>
      <c r="AC111" s="148" t="str" cm="1">
        <f t="array" ref="AC111">Common_InputFunctions.Utility_DisplayArrayInTable(Fertiliser_SourceData.Fertiliser_Products_Data1(), FertiliserProducts[[#Headers],[Company]],1)</f>
        <v/>
      </c>
      <c r="AD111" s="148" t="str" cm="1">
        <f t="array" ref="AD111">Common_InputFunctions.Utility_DisplayArrayInTable(Fertiliser_SourceData.Fertiliser_Products_Data1(), FertiliserProducts[[#Headers],[Company]],1)</f>
        <v/>
      </c>
      <c r="AE111" s="148" t="str" cm="1">
        <f t="array" ref="AE111">Common_InputFunctions.Utility_DisplayArrayInTable(Fertiliser_SourceData.Fertiliser_Products_Data1(), FertiliserProducts[[#Headers],[Company]],1)</f>
        <v/>
      </c>
      <c r="AF111" s="148" t="str" cm="1">
        <f t="array" ref="AF111">Common_InputFunctions.Utility_DisplayArrayInTable(Fertiliser_SourceData.Fertiliser_Products_Data1(), FertiliserProducts[[#Headers],[Company]],1)</f>
        <v/>
      </c>
      <c r="AG111" s="148" t="str" cm="1">
        <f t="array" ref="AG111">Common_InputFunctions.Utility_DisplayArrayInTable(Fertiliser_SourceData.Fertiliser_Products_Data1(), FertiliserProducts[[#Headers],[Company]],1)</f>
        <v/>
      </c>
      <c r="AH111" s="148" t="str" cm="1">
        <f t="array" ref="AH111">Common_InputFunctions.Utility_DisplayArrayInTable(Fertiliser_SourceData.Fertiliser_Products_Data1(), FertiliserProducts[[#Headers],[Company]],1)</f>
        <v/>
      </c>
      <c r="AK111" s="1"/>
      <c r="AL111" s="1"/>
      <c r="AM111" s="1"/>
    </row>
    <row r="112" spans="1:39" ht="20.100000000000001" customHeight="1" x14ac:dyDescent="0.2">
      <c r="D112" s="148" t="str" cm="1">
        <f t="array" ref="D112">Common_InputFunctions.Utility_DisplayArrayInTable(Fertiliser_SourceData.Fertiliser_Products_Data1(), FertiliserProducts[[#Headers],[Company]],1)</f>
        <v>Summit Fertilizers</v>
      </c>
      <c r="E112" s="148" t="str" cm="1">
        <f t="array" ref="E112">Common_InputFunctions.Utility_DisplayArrayInTable(Fertiliser_SourceData.Fertiliser_Products_Data1(), FertiliserProducts[[#Headers],[Company]],1)</f>
        <v>DAPSZC</v>
      </c>
      <c r="F112" s="148" t="str" cm="1">
        <f t="array" ref="F112">Common_InputFunctions.Utility_DisplayArrayInTable(Fertiliser_SourceData.Fertiliser_Products_Data1(), FertiliserProducts[[#Headers],[Company]],1)</f>
        <v>kg</v>
      </c>
      <c r="G112" s="148" cm="1">
        <f t="array" ref="G112">Common_InputFunctions.Utility_DisplayArrayInTable(Fertiliser_SourceData.Fertiliser_Products_Data1(), FertiliserProducts[[#Headers],[Company]],1)</f>
        <v>1</v>
      </c>
      <c r="H112" s="148" t="str" cm="1">
        <f t="array" ref="H112">Common_InputFunctions.Utility_DisplayArrayInTable(Fertiliser_SourceData.Fertiliser_Products_Data1(), FertiliserProducts[[#Headers],[Company]],1)</f>
        <v/>
      </c>
      <c r="I112" s="148" t="str" cm="1">
        <f t="array" ref="I112">Common_InputFunctions.Utility_DisplayArrayInTable(Fertiliser_SourceData.Fertiliser_Products_Data1(), FertiliserProducts[[#Headers],[Company]],1)</f>
        <v/>
      </c>
      <c r="J112" s="148" t="str" cm="1">
        <f t="array" ref="J112">Common_InputFunctions.Utility_DisplayArrayInTable(Fertiliser_SourceData.Fertiliser_Products_Data1(), FertiliserProducts[[#Headers],[Company]],1)</f>
        <v/>
      </c>
      <c r="K112" s="148" cm="1">
        <f t="array" ref="K112">Common_InputFunctions.Utility_DisplayArrayInTable(Fertiliser_SourceData.Fertiliser_Products_Data1(), FertiliserProducts[[#Headers],[Company]],1)</f>
        <v>16.899999999999999</v>
      </c>
      <c r="L112" s="148" cm="1">
        <f t="array" ref="L112">Common_InputFunctions.Utility_DisplayArrayInTable(Fertiliser_SourceData.Fertiliser_Products_Data1(), FertiliserProducts[[#Headers],[Company]],1)</f>
        <v>18.2</v>
      </c>
      <c r="M112" s="148" t="str" cm="1">
        <f t="array" ref="M112">Common_InputFunctions.Utility_DisplayArrayInTable(Fertiliser_SourceData.Fertiliser_Products_Data1(), FertiliserProducts[[#Headers],[Company]],1)</f>
        <v/>
      </c>
      <c r="N112" s="148" cm="1">
        <f t="array" ref="N112">Common_InputFunctions.Utility_DisplayArrayInTable(Fertiliser_SourceData.Fertiliser_Products_Data1(), FertiliserProducts[[#Headers],[Company]],1)</f>
        <v>8</v>
      </c>
      <c r="O112" s="148" t="str" cm="1">
        <f t="array" ref="O112">Common_InputFunctions.Utility_DisplayArrayInTable(Fertiliser_SourceData.Fertiliser_Products_Data1(), FertiliserProducts[[#Headers],[Company]],1)</f>
        <v>Phosphorus - Generic</v>
      </c>
      <c r="P112" s="148" cm="1">
        <f t="array" ref="P112">Common_InputFunctions.Utility_DisplayArrayInTable(Fertiliser_SourceData.Fertiliser_Products_Data1(), FertiliserProducts[[#Headers],[Company]],1)</f>
        <v>0.182</v>
      </c>
      <c r="Q112" s="148" t="str" cm="1">
        <f t="array" ref="Q112">Common_InputFunctions.Utility_DisplayArrayInTable(Fertiliser_SourceData.Fertiliser_Products_Data1(), FertiliserProducts[[#Headers],[Company]],1)</f>
        <v>Nitrogen - Generic</v>
      </c>
      <c r="R112" s="148" cm="1">
        <f t="array" ref="R112">Common_InputFunctions.Utility_DisplayArrayInTable(Fertiliser_SourceData.Fertiliser_Products_Data1(), FertiliserProducts[[#Headers],[Company]],1)</f>
        <v>0.16900000000000001</v>
      </c>
      <c r="S112" s="148" t="str" cm="1">
        <f t="array" ref="S112">Common_InputFunctions.Utility_DisplayArrayInTable(Fertiliser_SourceData.Fertiliser_Products_Data1(), FertiliserProducts[[#Headers],[Company]],1)</f>
        <v>Sulfur - Generic</v>
      </c>
      <c r="T112" s="148" cm="1">
        <f t="array" ref="T112">Common_InputFunctions.Utility_DisplayArrayInTable(Fertiliser_SourceData.Fertiliser_Products_Data1(), FertiliserProducts[[#Headers],[Company]],1)</f>
        <v>0.08</v>
      </c>
      <c r="U112" s="148" t="str" cm="1">
        <f t="array" ref="U112">Common_InputFunctions.Utility_DisplayArrayInTable(Fertiliser_SourceData.Fertiliser_Products_Data1(), FertiliserProducts[[#Headers],[Company]],1)</f>
        <v>Zinc</v>
      </c>
      <c r="V112" s="148" cm="1">
        <f t="array" ref="V112">Common_InputFunctions.Utility_DisplayArrayInTable(Fertiliser_SourceData.Fertiliser_Products_Data1(), FertiliserProducts[[#Headers],[Company]],1)</f>
        <v>2E-3</v>
      </c>
      <c r="W112" s="148" t="str" cm="1">
        <f t="array" ref="W112">Common_InputFunctions.Utility_DisplayArrayInTable(Fertiliser_SourceData.Fertiliser_Products_Data1(), FertiliserProducts[[#Headers],[Company]],1)</f>
        <v>Copper</v>
      </c>
      <c r="X112" s="148" cm="1">
        <f t="array" ref="X112">Common_InputFunctions.Utility_DisplayArrayInTable(Fertiliser_SourceData.Fertiliser_Products_Data1(), FertiliserProducts[[#Headers],[Company]],1)</f>
        <v>1E-3</v>
      </c>
      <c r="Y112" s="148" t="str" cm="1">
        <f t="array" ref="Y112">Common_InputFunctions.Utility_DisplayArrayInTable(Fertiliser_SourceData.Fertiliser_Products_Data1(), FertiliserProducts[[#Headers],[Company]],1)</f>
        <v/>
      </c>
      <c r="Z112" s="148" t="str" cm="1">
        <f t="array" ref="Z112">Common_InputFunctions.Utility_DisplayArrayInTable(Fertiliser_SourceData.Fertiliser_Products_Data1(), FertiliserProducts[[#Headers],[Company]],1)</f>
        <v/>
      </c>
      <c r="AA112" s="148" t="str" cm="1">
        <f t="array" ref="AA112">Common_InputFunctions.Utility_DisplayArrayInTable(Fertiliser_SourceData.Fertiliser_Products_Data1(), FertiliserProducts[[#Headers],[Company]],1)</f>
        <v/>
      </c>
      <c r="AB112" s="148" t="str" cm="1">
        <f t="array" ref="AB112">Common_InputFunctions.Utility_DisplayArrayInTable(Fertiliser_SourceData.Fertiliser_Products_Data1(), FertiliserProducts[[#Headers],[Company]],1)</f>
        <v/>
      </c>
      <c r="AC112" s="148" t="str" cm="1">
        <f t="array" ref="AC112">Common_InputFunctions.Utility_DisplayArrayInTable(Fertiliser_SourceData.Fertiliser_Products_Data1(), FertiliserProducts[[#Headers],[Company]],1)</f>
        <v/>
      </c>
      <c r="AD112" s="148" t="str" cm="1">
        <f t="array" ref="AD112">Common_InputFunctions.Utility_DisplayArrayInTable(Fertiliser_SourceData.Fertiliser_Products_Data1(), FertiliserProducts[[#Headers],[Company]],1)</f>
        <v/>
      </c>
      <c r="AE112" s="148" t="str" cm="1">
        <f t="array" ref="AE112">Common_InputFunctions.Utility_DisplayArrayInTable(Fertiliser_SourceData.Fertiliser_Products_Data1(), FertiliserProducts[[#Headers],[Company]],1)</f>
        <v/>
      </c>
      <c r="AF112" s="148" t="str" cm="1">
        <f t="array" ref="AF112">Common_InputFunctions.Utility_DisplayArrayInTable(Fertiliser_SourceData.Fertiliser_Products_Data1(), FertiliserProducts[[#Headers],[Company]],1)</f>
        <v/>
      </c>
      <c r="AG112" s="148" t="str" cm="1">
        <f t="array" ref="AG112">Common_InputFunctions.Utility_DisplayArrayInTable(Fertiliser_SourceData.Fertiliser_Products_Data1(), FertiliserProducts[[#Headers],[Company]],1)</f>
        <v/>
      </c>
      <c r="AH112" s="148" t="str" cm="1">
        <f t="array" ref="AH112">Common_InputFunctions.Utility_DisplayArrayInTable(Fertiliser_SourceData.Fertiliser_Products_Data1(), FertiliserProducts[[#Headers],[Company]],1)</f>
        <v/>
      </c>
      <c r="AK112" s="1"/>
      <c r="AL112" s="1"/>
      <c r="AM112" s="1"/>
    </row>
    <row r="113" spans="1:39" ht="20.100000000000001" customHeight="1" x14ac:dyDescent="0.2">
      <c r="D113" s="148" t="str" cm="1">
        <f t="array" ref="D113">Common_InputFunctions.Utility_DisplayArrayInTable(Fertiliser_SourceData.Fertiliser_Products_Data1(), FertiliserProducts[[#Headers],[Company]],1)</f>
        <v>Incitec Pivot Fertilisers</v>
      </c>
      <c r="E113" s="148" t="str" cm="1">
        <f t="array" ref="E113">Common_InputFunctions.Utility_DisplayArrayInTable(Fertiliser_SourceData.Fertiliser_Products_Data1(), FertiliserProducts[[#Headers],[Company]],1)</f>
        <v>Easy N</v>
      </c>
      <c r="F113" s="148" t="str" cm="1">
        <f t="array" ref="F113">Common_InputFunctions.Utility_DisplayArrayInTable(Fertiliser_SourceData.Fertiliser_Products_Data1(), FertiliserProducts[[#Headers],[Company]],1)</f>
        <v>L</v>
      </c>
      <c r="G113" s="148" cm="1">
        <f t="array" ref="G113">Common_InputFunctions.Utility_DisplayArrayInTable(Fertiliser_SourceData.Fertiliser_Products_Data1(), FertiliserProducts[[#Headers],[Company]],1)</f>
        <v>1.32</v>
      </c>
      <c r="H113" s="148" t="str" cm="1">
        <f t="array" ref="H113">Common_InputFunctions.Utility_DisplayArrayInTable(Fertiliser_SourceData.Fertiliser_Products_Data1(), FertiliserProducts[[#Headers],[Company]],1)</f>
        <v/>
      </c>
      <c r="I113" s="148" t="str" cm="1">
        <f t="array" ref="I113">Common_InputFunctions.Utility_DisplayArrayInTable(Fertiliser_SourceData.Fertiliser_Products_Data1(), FertiliserProducts[[#Headers],[Company]],1)</f>
        <v/>
      </c>
      <c r="J113" s="148" t="str" cm="1">
        <f t="array" ref="J113">Common_InputFunctions.Utility_DisplayArrayInTable(Fertiliser_SourceData.Fertiliser_Products_Data1(), FertiliserProducts[[#Headers],[Company]],1)</f>
        <v/>
      </c>
      <c r="K113" s="148" cm="1">
        <f t="array" ref="K113">Common_InputFunctions.Utility_DisplayArrayInTable(Fertiliser_SourceData.Fertiliser_Products_Data1(), FertiliserProducts[[#Headers],[Company]],1)</f>
        <v>42.5</v>
      </c>
      <c r="L113" s="148" t="str" cm="1">
        <f t="array" ref="L113">Common_InputFunctions.Utility_DisplayArrayInTable(Fertiliser_SourceData.Fertiliser_Products_Data1(), FertiliserProducts[[#Headers],[Company]],1)</f>
        <v/>
      </c>
      <c r="M113" s="148" t="str" cm="1">
        <f t="array" ref="M113">Common_InputFunctions.Utility_DisplayArrayInTable(Fertiliser_SourceData.Fertiliser_Products_Data1(), FertiliserProducts[[#Headers],[Company]],1)</f>
        <v/>
      </c>
      <c r="N113" s="148" t="str" cm="1">
        <f t="array" ref="N113">Common_InputFunctions.Utility_DisplayArrayInTable(Fertiliser_SourceData.Fertiliser_Products_Data1(), FertiliserProducts[[#Headers],[Company]],1)</f>
        <v/>
      </c>
      <c r="O113" s="148" t="str" cm="1">
        <f t="array" ref="O113">Common_InputFunctions.Utility_DisplayArrayInTable(Fertiliser_SourceData.Fertiliser_Products_Data1(), FertiliserProducts[[#Headers],[Company]],1)</f>
        <v>Urea</v>
      </c>
      <c r="P113" s="148" cm="1">
        <f t="array" ref="P113">Common_InputFunctions.Utility_DisplayArrayInTable(Fertiliser_SourceData.Fertiliser_Products_Data1(), FertiliserProducts[[#Headers],[Company]],1)</f>
        <v>0.467391</v>
      </c>
      <c r="Q113" s="148" t="str" cm="1">
        <f t="array" ref="Q113">Common_InputFunctions.Utility_DisplayArrayInTable(Fertiliser_SourceData.Fertiliser_Products_Data1(), FertiliserProducts[[#Headers],[Company]],1)</f>
        <v>Nitrogen - Nitrate</v>
      </c>
      <c r="R113" s="148" cm="1">
        <f t="array" ref="R113">Common_InputFunctions.Utility_DisplayArrayInTable(Fertiliser_SourceData.Fertiliser_Products_Data1(), FertiliserProducts[[#Headers],[Company]],1)</f>
        <v>0.105</v>
      </c>
      <c r="S113" s="148" t="str" cm="1">
        <f t="array" ref="S113">Common_InputFunctions.Utility_DisplayArrayInTable(Fertiliser_SourceData.Fertiliser_Products_Data1(), FertiliserProducts[[#Headers],[Company]],1)</f>
        <v>Nitrogen - Ammoniacal</v>
      </c>
      <c r="T113" s="148" cm="1">
        <f t="array" ref="T113">Common_InputFunctions.Utility_DisplayArrayInTable(Fertiliser_SourceData.Fertiliser_Products_Data1(), FertiliserProducts[[#Headers],[Company]],1)</f>
        <v>0.105</v>
      </c>
      <c r="U113" s="148" t="str" cm="1">
        <f t="array" ref="U113">Common_InputFunctions.Utility_DisplayArrayInTable(Fertiliser_SourceData.Fertiliser_Products_Data1(), FertiliserProducts[[#Headers],[Company]],1)</f>
        <v>Biuret</v>
      </c>
      <c r="V113" s="148" cm="1">
        <f t="array" ref="V113">Common_InputFunctions.Utility_DisplayArrayInTable(Fertiliser_SourceData.Fertiliser_Products_Data1(), FertiliserProducts[[#Headers],[Company]],1)</f>
        <v>6.0000000000000001E-3</v>
      </c>
      <c r="W113" s="148" t="str" cm="1">
        <f t="array" ref="W113">Common_InputFunctions.Utility_DisplayArrayInTable(Fertiliser_SourceData.Fertiliser_Products_Data1(), FertiliserProducts[[#Headers],[Company]],1)</f>
        <v/>
      </c>
      <c r="X113" s="148" t="str" cm="1">
        <f t="array" ref="X113">Common_InputFunctions.Utility_DisplayArrayInTable(Fertiliser_SourceData.Fertiliser_Products_Data1(), FertiliserProducts[[#Headers],[Company]],1)</f>
        <v/>
      </c>
      <c r="Y113" s="148" t="str" cm="1">
        <f t="array" ref="Y113">Common_InputFunctions.Utility_DisplayArrayInTable(Fertiliser_SourceData.Fertiliser_Products_Data1(), FertiliserProducts[[#Headers],[Company]],1)</f>
        <v/>
      </c>
      <c r="Z113" s="148" t="str" cm="1">
        <f t="array" ref="Z113">Common_InputFunctions.Utility_DisplayArrayInTable(Fertiliser_SourceData.Fertiliser_Products_Data1(), FertiliserProducts[[#Headers],[Company]],1)</f>
        <v/>
      </c>
      <c r="AA113" s="148" t="str" cm="1">
        <f t="array" ref="AA113">Common_InputFunctions.Utility_DisplayArrayInTable(Fertiliser_SourceData.Fertiliser_Products_Data1(), FertiliserProducts[[#Headers],[Company]],1)</f>
        <v/>
      </c>
      <c r="AB113" s="148" t="str" cm="1">
        <f t="array" ref="AB113">Common_InputFunctions.Utility_DisplayArrayInTable(Fertiliser_SourceData.Fertiliser_Products_Data1(), FertiliserProducts[[#Headers],[Company]],1)</f>
        <v/>
      </c>
      <c r="AC113" s="148" t="str" cm="1">
        <f t="array" ref="AC113">Common_InputFunctions.Utility_DisplayArrayInTable(Fertiliser_SourceData.Fertiliser_Products_Data1(), FertiliserProducts[[#Headers],[Company]],1)</f>
        <v/>
      </c>
      <c r="AD113" s="148" t="str" cm="1">
        <f t="array" ref="AD113">Common_InputFunctions.Utility_DisplayArrayInTable(Fertiliser_SourceData.Fertiliser_Products_Data1(), FertiliserProducts[[#Headers],[Company]],1)</f>
        <v/>
      </c>
      <c r="AE113" s="148" t="str" cm="1">
        <f t="array" ref="AE113">Common_InputFunctions.Utility_DisplayArrayInTable(Fertiliser_SourceData.Fertiliser_Products_Data1(), FertiliserProducts[[#Headers],[Company]],1)</f>
        <v/>
      </c>
      <c r="AF113" s="148" t="str" cm="1">
        <f t="array" ref="AF113">Common_InputFunctions.Utility_DisplayArrayInTable(Fertiliser_SourceData.Fertiliser_Products_Data1(), FertiliserProducts[[#Headers],[Company]],1)</f>
        <v/>
      </c>
      <c r="AG113" s="148" t="str" cm="1">
        <f t="array" ref="AG113">Common_InputFunctions.Utility_DisplayArrayInTable(Fertiliser_SourceData.Fertiliser_Products_Data1(), FertiliserProducts[[#Headers],[Company]],1)</f>
        <v/>
      </c>
      <c r="AH113" s="148" t="str" cm="1">
        <f t="array" ref="AH113">Common_InputFunctions.Utility_DisplayArrayInTable(Fertiliser_SourceData.Fertiliser_Products_Data1(), FertiliserProducts[[#Headers],[Company]],1)</f>
        <v/>
      </c>
      <c r="AK113" s="1"/>
      <c r="AL113" s="1"/>
      <c r="AM113" s="1"/>
    </row>
    <row r="114" spans="1:39" ht="20.100000000000001" customHeight="1" x14ac:dyDescent="0.2">
      <c r="D114" s="148" t="str" cm="1">
        <f t="array" ref="D114">Common_InputFunctions.Utility_DisplayArrayInTable(Fertiliser_SourceData.Fertiliser_Products_Data1(), FertiliserProducts[[#Headers],[Company]],1)</f>
        <v>Risso-Chemical</v>
      </c>
      <c r="E114" s="148" t="str" cm="1">
        <f t="array" ref="E114">Common_InputFunctions.Utility_DisplayArrayInTable(Fertiliser_SourceData.Fertiliser_Products_Data1(), FertiliserProducts[[#Headers],[Company]],1)</f>
        <v>Calcium Ammonium nitrate</v>
      </c>
      <c r="F114" s="148" t="str" cm="1">
        <f t="array" ref="F114">Common_InputFunctions.Utility_DisplayArrayInTable(Fertiliser_SourceData.Fertiliser_Products_Data1(), FertiliserProducts[[#Headers],[Company]],1)</f>
        <v>kg</v>
      </c>
      <c r="G114" s="148" cm="1">
        <f t="array" ref="G114">Common_InputFunctions.Utility_DisplayArrayInTable(Fertiliser_SourceData.Fertiliser_Products_Data1(), FertiliserProducts[[#Headers],[Company]],1)</f>
        <v>1</v>
      </c>
      <c r="H114" s="148" t="str" cm="1">
        <f t="array" ref="H114">Common_InputFunctions.Utility_DisplayArrayInTable(Fertiliser_SourceData.Fertiliser_Products_Data1(), FertiliserProducts[[#Headers],[Company]],1)</f>
        <v/>
      </c>
      <c r="I114" s="148" t="str" cm="1">
        <f t="array" ref="I114">Common_InputFunctions.Utility_DisplayArrayInTable(Fertiliser_SourceData.Fertiliser_Products_Data1(), FertiliserProducts[[#Headers],[Company]],1)</f>
        <v/>
      </c>
      <c r="J114" s="148" t="str" cm="1">
        <f t="array" ref="J114">Common_InputFunctions.Utility_DisplayArrayInTable(Fertiliser_SourceData.Fertiliser_Products_Data1(), FertiliserProducts[[#Headers],[Company]],1)</f>
        <v>China</v>
      </c>
      <c r="K114" s="148" cm="1">
        <f t="array" ref="K114">Common_InputFunctions.Utility_DisplayArrayInTable(Fertiliser_SourceData.Fertiliser_Products_Data1(), FertiliserProducts[[#Headers],[Company]],1)</f>
        <v>40.5</v>
      </c>
      <c r="L114" s="148" t="str" cm="1">
        <f t="array" ref="L114">Common_InputFunctions.Utility_DisplayArrayInTable(Fertiliser_SourceData.Fertiliser_Products_Data1(), FertiliserProducts[[#Headers],[Company]],1)</f>
        <v/>
      </c>
      <c r="M114" s="148" t="str" cm="1">
        <f t="array" ref="M114">Common_InputFunctions.Utility_DisplayArrayInTable(Fertiliser_SourceData.Fertiliser_Products_Data1(), FertiliserProducts[[#Headers],[Company]],1)</f>
        <v/>
      </c>
      <c r="N114" s="148" t="str" cm="1">
        <f t="array" ref="N114">Common_InputFunctions.Utility_DisplayArrayInTable(Fertiliser_SourceData.Fertiliser_Products_Data1(), FertiliserProducts[[#Headers],[Company]],1)</f>
        <v/>
      </c>
      <c r="O114" s="148" t="str" cm="1">
        <f t="array" ref="O114">Common_InputFunctions.Utility_DisplayArrayInTable(Fertiliser_SourceData.Fertiliser_Products_Data1(), FertiliserProducts[[#Headers],[Company]],1)</f>
        <v>Nitrogen - Ammoniacal</v>
      </c>
      <c r="P114" s="148" cm="1">
        <f t="array" ref="P114">Common_InputFunctions.Utility_DisplayArrayInTable(Fertiliser_SourceData.Fertiliser_Products_Data1(), FertiliserProducts[[#Headers],[Company]],1)</f>
        <v>0.27</v>
      </c>
      <c r="Q114" s="148" t="str" cm="1">
        <f t="array" ref="Q114">Common_InputFunctions.Utility_DisplayArrayInTable(Fertiliser_SourceData.Fertiliser_Products_Data1(), FertiliserProducts[[#Headers],[Company]],1)</f>
        <v>Nitrogen - Nitrate</v>
      </c>
      <c r="R114" s="148" cm="1">
        <f t="array" ref="R114">Common_InputFunctions.Utility_DisplayArrayInTable(Fertiliser_SourceData.Fertiliser_Products_Data1(), FertiliserProducts[[#Headers],[Company]],1)</f>
        <v>0.13500000000000001</v>
      </c>
      <c r="S114" s="148" t="str" cm="1">
        <f t="array" ref="S114">Common_InputFunctions.Utility_DisplayArrayInTable(Fertiliser_SourceData.Fertiliser_Products_Data1(), FertiliserProducts[[#Headers],[Company]],1)</f>
        <v>Calcium</v>
      </c>
      <c r="T114" s="148" cm="1">
        <f t="array" ref="T114">Common_InputFunctions.Utility_DisplayArrayInTable(Fertiliser_SourceData.Fertiliser_Products_Data1(), FertiliserProducts[[#Headers],[Company]],1)</f>
        <v>0.12</v>
      </c>
      <c r="U114" s="148" t="str" cm="1">
        <f t="array" ref="U114">Common_InputFunctions.Utility_DisplayArrayInTable(Fertiliser_SourceData.Fertiliser_Products_Data1(), FertiliserProducts[[#Headers],[Company]],1)</f>
        <v/>
      </c>
      <c r="V114" s="148" t="str" cm="1">
        <f t="array" ref="V114">Common_InputFunctions.Utility_DisplayArrayInTable(Fertiliser_SourceData.Fertiliser_Products_Data1(), FertiliserProducts[[#Headers],[Company]],1)</f>
        <v/>
      </c>
      <c r="W114" s="148" t="str" cm="1">
        <f t="array" ref="W114">Common_InputFunctions.Utility_DisplayArrayInTable(Fertiliser_SourceData.Fertiliser_Products_Data1(), FertiliserProducts[[#Headers],[Company]],1)</f>
        <v/>
      </c>
      <c r="X114" s="148" t="str" cm="1">
        <f t="array" ref="X114">Common_InputFunctions.Utility_DisplayArrayInTable(Fertiliser_SourceData.Fertiliser_Products_Data1(), FertiliserProducts[[#Headers],[Company]],1)</f>
        <v/>
      </c>
      <c r="Y114" s="148" t="str" cm="1">
        <f t="array" ref="Y114">Common_InputFunctions.Utility_DisplayArrayInTable(Fertiliser_SourceData.Fertiliser_Products_Data1(), FertiliserProducts[[#Headers],[Company]],1)</f>
        <v/>
      </c>
      <c r="Z114" s="148" t="str" cm="1">
        <f t="array" ref="Z114">Common_InputFunctions.Utility_DisplayArrayInTable(Fertiliser_SourceData.Fertiliser_Products_Data1(), FertiliserProducts[[#Headers],[Company]],1)</f>
        <v/>
      </c>
      <c r="AA114" s="148" t="str" cm="1">
        <f t="array" ref="AA114">Common_InputFunctions.Utility_DisplayArrayInTable(Fertiliser_SourceData.Fertiliser_Products_Data1(), FertiliserProducts[[#Headers],[Company]],1)</f>
        <v/>
      </c>
      <c r="AB114" s="148" t="str" cm="1">
        <f t="array" ref="AB114">Common_InputFunctions.Utility_DisplayArrayInTable(Fertiliser_SourceData.Fertiliser_Products_Data1(), FertiliserProducts[[#Headers],[Company]],1)</f>
        <v/>
      </c>
      <c r="AC114" s="148" t="str" cm="1">
        <f t="array" ref="AC114">Common_InputFunctions.Utility_DisplayArrayInTable(Fertiliser_SourceData.Fertiliser_Products_Data1(), FertiliserProducts[[#Headers],[Company]],1)</f>
        <v/>
      </c>
      <c r="AD114" s="148" t="str" cm="1">
        <f t="array" ref="AD114">Common_InputFunctions.Utility_DisplayArrayInTable(Fertiliser_SourceData.Fertiliser_Products_Data1(), FertiliserProducts[[#Headers],[Company]],1)</f>
        <v/>
      </c>
      <c r="AE114" s="148" t="str" cm="1">
        <f t="array" ref="AE114">Common_InputFunctions.Utility_DisplayArrayInTable(Fertiliser_SourceData.Fertiliser_Products_Data1(), FertiliserProducts[[#Headers],[Company]],1)</f>
        <v/>
      </c>
      <c r="AF114" s="148" t="str" cm="1">
        <f t="array" ref="AF114">Common_InputFunctions.Utility_DisplayArrayInTable(Fertiliser_SourceData.Fertiliser_Products_Data1(), FertiliserProducts[[#Headers],[Company]],1)</f>
        <v/>
      </c>
      <c r="AG114" s="148" t="str" cm="1">
        <f t="array" ref="AG114">Common_InputFunctions.Utility_DisplayArrayInTable(Fertiliser_SourceData.Fertiliser_Products_Data1(), FertiliserProducts[[#Headers],[Company]],1)</f>
        <v/>
      </c>
      <c r="AH114" s="148" t="str" cm="1">
        <f t="array" ref="AH114">Common_InputFunctions.Utility_DisplayArrayInTable(Fertiliser_SourceData.Fertiliser_Products_Data1(), FertiliserProducts[[#Headers],[Company]],1)</f>
        <v/>
      </c>
      <c r="AK114" s="1"/>
      <c r="AL114" s="1"/>
      <c r="AM114" s="1"/>
    </row>
    <row r="115" spans="1:39" ht="20.100000000000001" customHeight="1" x14ac:dyDescent="0.2">
      <c r="D115" s="148" t="str" cm="1">
        <f t="array" ref="D115">Common_InputFunctions.Utility_DisplayArrayInTable(Fertiliser_SourceData.Fertiliser_Products_Data1(), FertiliserProducts[[#Headers],[Company]],1)</f>
        <v>SL Tec</v>
      </c>
      <c r="E115" s="148" t="str" cm="1">
        <f t="array" ref="E115">Common_InputFunctions.Utility_DisplayArrayInTable(Fertiliser_SourceData.Fertiliser_Products_Data1(), FertiliserProducts[[#Headers],[Company]],1)</f>
        <v>CellCAL Plus</v>
      </c>
      <c r="F115" s="148" t="str" cm="1">
        <f t="array" ref="F115">Common_InputFunctions.Utility_DisplayArrayInTable(Fertiliser_SourceData.Fertiliser_Products_Data1(), FertiliserProducts[[#Headers],[Company]],1)</f>
        <v>L</v>
      </c>
      <c r="G115" s="148" cm="1">
        <f t="array" ref="G115">Common_InputFunctions.Utility_DisplayArrayInTable(Fertiliser_SourceData.Fertiliser_Products_Data1(), FertiliserProducts[[#Headers],[Company]],1)</f>
        <v>1.1379999999999999</v>
      </c>
      <c r="H115" s="148" t="str" cm="1">
        <f t="array" ref="H115">Common_InputFunctions.Utility_DisplayArrayInTable(Fertiliser_SourceData.Fertiliser_Products_Data1(), FertiliserProducts[[#Headers],[Company]],1)</f>
        <v/>
      </c>
      <c r="I115" s="148" t="str" cm="1">
        <f t="array" ref="I115">Common_InputFunctions.Utility_DisplayArrayInTable(Fertiliser_SourceData.Fertiliser_Products_Data1(), FertiliserProducts[[#Headers],[Company]],1)</f>
        <v/>
      </c>
      <c r="J115" s="148" t="str" cm="1">
        <f t="array" ref="J115">Common_InputFunctions.Utility_DisplayArrayInTable(Fertiliser_SourceData.Fertiliser_Products_Data1(), FertiliserProducts[[#Headers],[Company]],1)</f>
        <v/>
      </c>
      <c r="K115" s="148" t="str" cm="1">
        <f t="array" ref="K115">Common_InputFunctions.Utility_DisplayArrayInTable(Fertiliser_SourceData.Fertiliser_Products_Data1(), FertiliserProducts[[#Headers],[Company]],1)</f>
        <v/>
      </c>
      <c r="L115" s="148" t="str" cm="1">
        <f t="array" ref="L115">Common_InputFunctions.Utility_DisplayArrayInTable(Fertiliser_SourceData.Fertiliser_Products_Data1(), FertiliserProducts[[#Headers],[Company]],1)</f>
        <v/>
      </c>
      <c r="M115" s="148" t="str" cm="1">
        <f t="array" ref="M115">Common_InputFunctions.Utility_DisplayArrayInTable(Fertiliser_SourceData.Fertiliser_Products_Data1(), FertiliserProducts[[#Headers],[Company]],1)</f>
        <v/>
      </c>
      <c r="N115" s="148" t="str" cm="1">
        <f t="array" ref="N115">Common_InputFunctions.Utility_DisplayArrayInTable(Fertiliser_SourceData.Fertiliser_Products_Data1(), FertiliserProducts[[#Headers],[Company]],1)</f>
        <v/>
      </c>
      <c r="O115" s="148" t="str" cm="1">
        <f t="array" ref="O115">Common_InputFunctions.Utility_DisplayArrayInTable(Fertiliser_SourceData.Fertiliser_Products_Data1(), FertiliserProducts[[#Headers],[Company]],1)</f>
        <v>Calcium</v>
      </c>
      <c r="P115" s="148" cm="1">
        <f t="array" ref="P115">Common_InputFunctions.Utility_DisplayArrayInTable(Fertiliser_SourceData.Fertiliser_Products_Data1(), FertiliserProducts[[#Headers],[Company]],1)</f>
        <v>5.8999999999999997E-2</v>
      </c>
      <c r="Q115" s="148" t="str" cm="1">
        <f t="array" ref="Q115">Common_InputFunctions.Utility_DisplayArrayInTable(Fertiliser_SourceData.Fertiliser_Products_Data1(), FertiliserProducts[[#Headers],[Company]],1)</f>
        <v>Copper</v>
      </c>
      <c r="R115" s="148" cm="1">
        <f t="array" ref="R115">Common_InputFunctions.Utility_DisplayArrayInTable(Fertiliser_SourceData.Fertiliser_Products_Data1(), FertiliserProducts[[#Headers],[Company]],1)</f>
        <v>3.0000000000000001E-3</v>
      </c>
      <c r="S115" s="148" t="str" cm="1">
        <f t="array" ref="S115">Common_InputFunctions.Utility_DisplayArrayInTable(Fertiliser_SourceData.Fertiliser_Products_Data1(), FertiliserProducts[[#Headers],[Company]],1)</f>
        <v>Boron</v>
      </c>
      <c r="T115" s="148" cm="1">
        <f t="array" ref="T115">Common_InputFunctions.Utility_DisplayArrayInTable(Fertiliser_SourceData.Fertiliser_Products_Data1(), FertiliserProducts[[#Headers],[Company]],1)</f>
        <v>1E-3</v>
      </c>
      <c r="U115" s="148" t="str" cm="1">
        <f t="array" ref="U115">Common_InputFunctions.Utility_DisplayArrayInTable(Fertiliser_SourceData.Fertiliser_Products_Data1(), FertiliserProducts[[#Headers],[Company]],1)</f>
        <v/>
      </c>
      <c r="V115" s="148" t="str" cm="1">
        <f t="array" ref="V115">Common_InputFunctions.Utility_DisplayArrayInTable(Fertiliser_SourceData.Fertiliser_Products_Data1(), FertiliserProducts[[#Headers],[Company]],1)</f>
        <v/>
      </c>
      <c r="W115" s="148" t="str" cm="1">
        <f t="array" ref="W115">Common_InputFunctions.Utility_DisplayArrayInTable(Fertiliser_SourceData.Fertiliser_Products_Data1(), FertiliserProducts[[#Headers],[Company]],1)</f>
        <v/>
      </c>
      <c r="X115" s="148" t="str" cm="1">
        <f t="array" ref="X115">Common_InputFunctions.Utility_DisplayArrayInTable(Fertiliser_SourceData.Fertiliser_Products_Data1(), FertiliserProducts[[#Headers],[Company]],1)</f>
        <v/>
      </c>
      <c r="Y115" s="148" t="str" cm="1">
        <f t="array" ref="Y115">Common_InputFunctions.Utility_DisplayArrayInTable(Fertiliser_SourceData.Fertiliser_Products_Data1(), FertiliserProducts[[#Headers],[Company]],1)</f>
        <v/>
      </c>
      <c r="Z115" s="148" t="str" cm="1">
        <f t="array" ref="Z115">Common_InputFunctions.Utility_DisplayArrayInTable(Fertiliser_SourceData.Fertiliser_Products_Data1(), FertiliserProducts[[#Headers],[Company]],1)</f>
        <v/>
      </c>
      <c r="AA115" s="148" t="str" cm="1">
        <f t="array" ref="AA115">Common_InputFunctions.Utility_DisplayArrayInTable(Fertiliser_SourceData.Fertiliser_Products_Data1(), FertiliserProducts[[#Headers],[Company]],1)</f>
        <v/>
      </c>
      <c r="AB115" s="148" t="str" cm="1">
        <f t="array" ref="AB115">Common_InputFunctions.Utility_DisplayArrayInTable(Fertiliser_SourceData.Fertiliser_Products_Data1(), FertiliserProducts[[#Headers],[Company]],1)</f>
        <v/>
      </c>
      <c r="AC115" s="148" t="str" cm="1">
        <f t="array" ref="AC115">Common_InputFunctions.Utility_DisplayArrayInTable(Fertiliser_SourceData.Fertiliser_Products_Data1(), FertiliserProducts[[#Headers],[Company]],1)</f>
        <v/>
      </c>
      <c r="AD115" s="148" t="str" cm="1">
        <f t="array" ref="AD115">Common_InputFunctions.Utility_DisplayArrayInTable(Fertiliser_SourceData.Fertiliser_Products_Data1(), FertiliserProducts[[#Headers],[Company]],1)</f>
        <v/>
      </c>
      <c r="AE115" s="148" t="str" cm="1">
        <f t="array" ref="AE115">Common_InputFunctions.Utility_DisplayArrayInTable(Fertiliser_SourceData.Fertiliser_Products_Data1(), FertiliserProducts[[#Headers],[Company]],1)</f>
        <v/>
      </c>
      <c r="AF115" s="148" t="str" cm="1">
        <f t="array" ref="AF115">Common_InputFunctions.Utility_DisplayArrayInTable(Fertiliser_SourceData.Fertiliser_Products_Data1(), FertiliserProducts[[#Headers],[Company]],1)</f>
        <v/>
      </c>
      <c r="AG115" s="148" t="str" cm="1">
        <f t="array" ref="AG115">Common_InputFunctions.Utility_DisplayArrayInTable(Fertiliser_SourceData.Fertiliser_Products_Data1(), FertiliserProducts[[#Headers],[Company]],1)</f>
        <v/>
      </c>
      <c r="AH115" s="148" t="str" cm="1">
        <f t="array" ref="AH115">Common_InputFunctions.Utility_DisplayArrayInTable(Fertiliser_SourceData.Fertiliser_Products_Data1(), FertiliserProducts[[#Headers],[Company]],1)</f>
        <v/>
      </c>
      <c r="AK115" s="1"/>
      <c r="AL115" s="1"/>
      <c r="AM115" s="1"/>
    </row>
    <row r="116" spans="1:39" ht="20.100000000000001" customHeight="1" x14ac:dyDescent="0.2">
      <c r="D116" s="148" t="str" cm="1">
        <f t="array" ref="D116">Common_InputFunctions.Utility_DisplayArrayInTable(Fertiliser_SourceData.Fertiliser_Products_Data1(), FertiliserProducts[[#Headers],[Company]],1)</f>
        <v>Incitec Pivot Fertilisers</v>
      </c>
      <c r="E116" s="148" t="str" cm="1">
        <f t="array" ref="E116">Common_InputFunctions.Utility_DisplayArrayInTable(Fertiliser_SourceData.Fertiliser_Products_Data1(), FertiliserProducts[[#Headers],[Company]],1)</f>
        <v>CK55</v>
      </c>
      <c r="F116" s="148" t="str" cm="1">
        <f t="array" ref="F116">Common_InputFunctions.Utility_DisplayArrayInTable(Fertiliser_SourceData.Fertiliser_Products_Data1(), FertiliserProducts[[#Headers],[Company]],1)</f>
        <v>kg</v>
      </c>
      <c r="G116" s="148" cm="1">
        <f t="array" ref="G116">Common_InputFunctions.Utility_DisplayArrayInTable(Fertiliser_SourceData.Fertiliser_Products_Data1(), FertiliserProducts[[#Headers],[Company]],1)</f>
        <v>1</v>
      </c>
      <c r="H116" s="148" t="str" cm="1">
        <f t="array" ref="H116">Common_InputFunctions.Utility_DisplayArrayInTable(Fertiliser_SourceData.Fertiliser_Products_Data1(), FertiliserProducts[[#Headers],[Company]],1)</f>
        <v/>
      </c>
      <c r="I116" s="148" t="str" cm="1">
        <f t="array" ref="I116">Common_InputFunctions.Utility_DisplayArrayInTable(Fertiliser_SourceData.Fertiliser_Products_Data1(), FertiliserProducts[[#Headers],[Company]],1)</f>
        <v/>
      </c>
      <c r="J116" s="148" t="str" cm="1">
        <f t="array" ref="J116">Common_InputFunctions.Utility_DisplayArrayInTable(Fertiliser_SourceData.Fertiliser_Products_Data1(), FertiliserProducts[[#Headers],[Company]],1)</f>
        <v/>
      </c>
      <c r="K116" s="148" cm="1">
        <f t="array" ref="K116">Common_InputFunctions.Utility_DisplayArrayInTable(Fertiliser_SourceData.Fertiliser_Products_Data1(), FertiliserProducts[[#Headers],[Company]],1)</f>
        <v>13.5</v>
      </c>
      <c r="L116" s="148" cm="1">
        <f t="array" ref="L116">Common_InputFunctions.Utility_DisplayArrayInTable(Fertiliser_SourceData.Fertiliser_Products_Data1(), FertiliserProducts[[#Headers],[Company]],1)</f>
        <v>15</v>
      </c>
      <c r="M116" s="148" cm="1">
        <f t="array" ref="M116">Common_InputFunctions.Utility_DisplayArrayInTable(Fertiliser_SourceData.Fertiliser_Products_Data1(), FertiliserProducts[[#Headers],[Company]],1)</f>
        <v>6.25</v>
      </c>
      <c r="N116" s="148" cm="1">
        <f t="array" ref="N116">Common_InputFunctions.Utility_DisplayArrayInTable(Fertiliser_SourceData.Fertiliser_Products_Data1(), FertiliserProducts[[#Headers],[Company]],1)</f>
        <v>1.2</v>
      </c>
      <c r="O116" s="148" t="str" cm="1">
        <f t="array" ref="O116">Common_InputFunctions.Utility_DisplayArrayInTable(Fertiliser_SourceData.Fertiliser_Products_Data1(), FertiliserProducts[[#Headers],[Company]],1)</f>
        <v>Phosphorus - Generic</v>
      </c>
      <c r="P116" s="148" cm="1">
        <f t="array" ref="P116">Common_InputFunctions.Utility_DisplayArrayInTable(Fertiliser_SourceData.Fertiliser_Products_Data1(), FertiliserProducts[[#Headers],[Company]],1)</f>
        <v>0.15</v>
      </c>
      <c r="Q116" s="148" t="str" cm="1">
        <f t="array" ref="Q116">Common_InputFunctions.Utility_DisplayArrayInTable(Fertiliser_SourceData.Fertiliser_Products_Data1(), FertiliserProducts[[#Headers],[Company]],1)</f>
        <v>Nitrogen - Ammoniacal</v>
      </c>
      <c r="R116" s="148" cm="1">
        <f t="array" ref="R116">Common_InputFunctions.Utility_DisplayArrayInTable(Fertiliser_SourceData.Fertiliser_Products_Data1(), FertiliserProducts[[#Headers],[Company]],1)</f>
        <v>0.13500000000000001</v>
      </c>
      <c r="S116" s="148" t="str" cm="1">
        <f t="array" ref="S116">Common_InputFunctions.Utility_DisplayArrayInTable(Fertiliser_SourceData.Fertiliser_Products_Data1(), FertiliserProducts[[#Headers],[Company]],1)</f>
        <v>Muriate of potash (MOP)</v>
      </c>
      <c r="T116" s="148" cm="1">
        <f t="array" ref="T116">Common_InputFunctions.Utility_DisplayArrayInTable(Fertiliser_SourceData.Fertiliser_Products_Data1(), FertiliserProducts[[#Headers],[Company]],1)</f>
        <v>0.125</v>
      </c>
      <c r="U116" s="148" t="str" cm="1">
        <f t="array" ref="U116">Common_InputFunctions.Utility_DisplayArrayInTable(Fertiliser_SourceData.Fertiliser_Products_Data1(), FertiliserProducts[[#Headers],[Company]],1)</f>
        <v>Fluoride</v>
      </c>
      <c r="V116" s="148" cm="1">
        <f t="array" ref="V116">Common_InputFunctions.Utility_DisplayArrayInTable(Fertiliser_SourceData.Fertiliser_Products_Data1(), FertiliserProducts[[#Headers],[Company]],1)</f>
        <v>2.3E-2</v>
      </c>
      <c r="W116" s="148" t="str" cm="1">
        <f t="array" ref="W116">Common_InputFunctions.Utility_DisplayArrayInTable(Fertiliser_SourceData.Fertiliser_Products_Data1(), FertiliserProducts[[#Headers],[Company]],1)</f>
        <v>Sulfur - Generic</v>
      </c>
      <c r="X116" s="148" cm="1">
        <f t="array" ref="X116">Common_InputFunctions.Utility_DisplayArrayInTable(Fertiliser_SourceData.Fertiliser_Products_Data1(), FertiliserProducts[[#Headers],[Company]],1)</f>
        <v>1.2E-2</v>
      </c>
      <c r="Y116" s="148" t="str" cm="1">
        <f t="array" ref="Y116">Common_InputFunctions.Utility_DisplayArrayInTable(Fertiliser_SourceData.Fertiliser_Products_Data1(), FertiliserProducts[[#Headers],[Company]],1)</f>
        <v/>
      </c>
      <c r="Z116" s="148" t="str" cm="1">
        <f t="array" ref="Z116">Common_InputFunctions.Utility_DisplayArrayInTable(Fertiliser_SourceData.Fertiliser_Products_Data1(), FertiliserProducts[[#Headers],[Company]],1)</f>
        <v/>
      </c>
      <c r="AA116" s="148" t="str" cm="1">
        <f t="array" ref="AA116">Common_InputFunctions.Utility_DisplayArrayInTable(Fertiliser_SourceData.Fertiliser_Products_Data1(), FertiliserProducts[[#Headers],[Company]],1)</f>
        <v/>
      </c>
      <c r="AB116" s="148" t="str" cm="1">
        <f t="array" ref="AB116">Common_InputFunctions.Utility_DisplayArrayInTable(Fertiliser_SourceData.Fertiliser_Products_Data1(), FertiliserProducts[[#Headers],[Company]],1)</f>
        <v/>
      </c>
      <c r="AC116" s="148" t="str" cm="1">
        <f t="array" ref="AC116">Common_InputFunctions.Utility_DisplayArrayInTable(Fertiliser_SourceData.Fertiliser_Products_Data1(), FertiliserProducts[[#Headers],[Company]],1)</f>
        <v/>
      </c>
      <c r="AD116" s="148" t="str" cm="1">
        <f t="array" ref="AD116">Common_InputFunctions.Utility_DisplayArrayInTable(Fertiliser_SourceData.Fertiliser_Products_Data1(), FertiliserProducts[[#Headers],[Company]],1)</f>
        <v/>
      </c>
      <c r="AE116" s="148" t="str" cm="1">
        <f t="array" ref="AE116">Common_InputFunctions.Utility_DisplayArrayInTable(Fertiliser_SourceData.Fertiliser_Products_Data1(), FertiliserProducts[[#Headers],[Company]],1)</f>
        <v/>
      </c>
      <c r="AF116" s="148" t="str" cm="1">
        <f t="array" ref="AF116">Common_InputFunctions.Utility_DisplayArrayInTable(Fertiliser_SourceData.Fertiliser_Products_Data1(), FertiliserProducts[[#Headers],[Company]],1)</f>
        <v/>
      </c>
      <c r="AG116" s="148" t="str" cm="1">
        <f t="array" ref="AG116">Common_InputFunctions.Utility_DisplayArrayInTable(Fertiliser_SourceData.Fertiliser_Products_Data1(), FertiliserProducts[[#Headers],[Company]],1)</f>
        <v/>
      </c>
      <c r="AH116" s="148" t="str" cm="1">
        <f t="array" ref="AH116">Common_InputFunctions.Utility_DisplayArrayInTable(Fertiliser_SourceData.Fertiliser_Products_Data1(), FertiliserProducts[[#Headers],[Company]],1)</f>
        <v/>
      </c>
      <c r="AK116" s="1"/>
      <c r="AL116" s="1"/>
      <c r="AM116" s="1"/>
    </row>
    <row r="117" spans="1:39" ht="20.100000000000001" customHeight="1" x14ac:dyDescent="0.2">
      <c r="D117" s="148" t="str" cm="1">
        <f t="array" ref="D117">Common_InputFunctions.Utility_DisplayArrayInTable(Fertiliser_SourceData.Fertiliser_Products_Data1(), FertiliserProducts[[#Headers],[Company]],1)</f>
        <v>Switch Ag</v>
      </c>
      <c r="E117" s="148" t="str" cm="1">
        <f t="array" ref="E117">Common_InputFunctions.Utility_DisplayArrayInTable(Fertiliser_SourceData.Fertiliser_Products_Data1(), FertiliserProducts[[#Headers],[Company]],1)</f>
        <v>Crop K</v>
      </c>
      <c r="F117" s="148" t="str" cm="1">
        <f t="array" ref="F117">Common_InputFunctions.Utility_DisplayArrayInTable(Fertiliser_SourceData.Fertiliser_Products_Data1(), FertiliserProducts[[#Headers],[Company]],1)</f>
        <v>L</v>
      </c>
      <c r="G117" s="148" cm="1">
        <f t="array" ref="G117">Common_InputFunctions.Utility_DisplayArrayInTable(Fertiliser_SourceData.Fertiliser_Products_Data1(), FertiliserProducts[[#Headers],[Company]],1)</f>
        <v>1.25</v>
      </c>
      <c r="H117" s="148" t="str" cm="1">
        <f t="array" ref="H117">Common_InputFunctions.Utility_DisplayArrayInTable(Fertiliser_SourceData.Fertiliser_Products_Data1(), FertiliserProducts[[#Headers],[Company]],1)</f>
        <v/>
      </c>
      <c r="I117" s="148" t="str" cm="1">
        <f t="array" ref="I117">Common_InputFunctions.Utility_DisplayArrayInTable(Fertiliser_SourceData.Fertiliser_Products_Data1(), FertiliserProducts[[#Headers],[Company]],1)</f>
        <v/>
      </c>
      <c r="J117" s="148" t="str" cm="1">
        <f t="array" ref="J117">Common_InputFunctions.Utility_DisplayArrayInTable(Fertiliser_SourceData.Fertiliser_Products_Data1(), FertiliserProducts[[#Headers],[Company]],1)</f>
        <v/>
      </c>
      <c r="K117" s="148" cm="1">
        <f t="array" ref="K117">Common_InputFunctions.Utility_DisplayArrayInTable(Fertiliser_SourceData.Fertiliser_Products_Data1(), FertiliserProducts[[#Headers],[Company]],1)</f>
        <v>3</v>
      </c>
      <c r="L117" s="148" t="str" cm="1">
        <f t="array" ref="L117">Common_InputFunctions.Utility_DisplayArrayInTable(Fertiliser_SourceData.Fertiliser_Products_Data1(), FertiliserProducts[[#Headers],[Company]],1)</f>
        <v/>
      </c>
      <c r="M117" s="148" cm="1">
        <f t="array" ref="M117">Common_InputFunctions.Utility_DisplayArrayInTable(Fertiliser_SourceData.Fertiliser_Products_Data1(), FertiliserProducts[[#Headers],[Company]],1)</f>
        <v>21</v>
      </c>
      <c r="N117" s="148" t="str" cm="1">
        <f t="array" ref="N117">Common_InputFunctions.Utility_DisplayArrayInTable(Fertiliser_SourceData.Fertiliser_Products_Data1(), FertiliserProducts[[#Headers],[Company]],1)</f>
        <v/>
      </c>
      <c r="O117" s="148" t="str" cm="1">
        <f t="array" ref="O117">Common_InputFunctions.Utility_DisplayArrayInTable(Fertiliser_SourceData.Fertiliser_Products_Data1(), FertiliserProducts[[#Headers],[Company]],1)</f>
        <v>Potassium - Generic</v>
      </c>
      <c r="P117" s="148" cm="1">
        <f t="array" ref="P117">Common_InputFunctions.Utility_DisplayArrayInTable(Fertiliser_SourceData.Fertiliser_Products_Data1(), FertiliserProducts[[#Headers],[Company]],1)</f>
        <v>0.21</v>
      </c>
      <c r="Q117" s="148" t="str" cm="1">
        <f t="array" ref="Q117">Common_InputFunctions.Utility_DisplayArrayInTable(Fertiliser_SourceData.Fertiliser_Products_Data1(), FertiliserProducts[[#Headers],[Company]],1)</f>
        <v>Nitrogen - Generic</v>
      </c>
      <c r="R117" s="148" cm="1">
        <f t="array" ref="R117">Common_InputFunctions.Utility_DisplayArrayInTable(Fertiliser_SourceData.Fertiliser_Products_Data1(), FertiliserProducts[[#Headers],[Company]],1)</f>
        <v>0.03</v>
      </c>
      <c r="S117" s="148" t="str" cm="1">
        <f t="array" ref="S117">Common_InputFunctions.Utility_DisplayArrayInTable(Fertiliser_SourceData.Fertiliser_Products_Data1(), FertiliserProducts[[#Headers],[Company]],1)</f>
        <v/>
      </c>
      <c r="T117" s="148" t="str" cm="1">
        <f t="array" ref="T117">Common_InputFunctions.Utility_DisplayArrayInTable(Fertiliser_SourceData.Fertiliser_Products_Data1(), FertiliserProducts[[#Headers],[Company]],1)</f>
        <v/>
      </c>
      <c r="U117" s="148" t="str" cm="1">
        <f t="array" ref="U117">Common_InputFunctions.Utility_DisplayArrayInTable(Fertiliser_SourceData.Fertiliser_Products_Data1(), FertiliserProducts[[#Headers],[Company]],1)</f>
        <v/>
      </c>
      <c r="V117" s="148" t="str" cm="1">
        <f t="array" ref="V117">Common_InputFunctions.Utility_DisplayArrayInTable(Fertiliser_SourceData.Fertiliser_Products_Data1(), FertiliserProducts[[#Headers],[Company]],1)</f>
        <v/>
      </c>
      <c r="W117" s="148" t="str" cm="1">
        <f t="array" ref="W117">Common_InputFunctions.Utility_DisplayArrayInTable(Fertiliser_SourceData.Fertiliser_Products_Data1(), FertiliserProducts[[#Headers],[Company]],1)</f>
        <v/>
      </c>
      <c r="X117" s="148" t="str" cm="1">
        <f t="array" ref="X117">Common_InputFunctions.Utility_DisplayArrayInTable(Fertiliser_SourceData.Fertiliser_Products_Data1(), FertiliserProducts[[#Headers],[Company]],1)</f>
        <v/>
      </c>
      <c r="Y117" s="148" t="str" cm="1">
        <f t="array" ref="Y117">Common_InputFunctions.Utility_DisplayArrayInTable(Fertiliser_SourceData.Fertiliser_Products_Data1(), FertiliserProducts[[#Headers],[Company]],1)</f>
        <v/>
      </c>
      <c r="Z117" s="148" t="str" cm="1">
        <f t="array" ref="Z117">Common_InputFunctions.Utility_DisplayArrayInTable(Fertiliser_SourceData.Fertiliser_Products_Data1(), FertiliserProducts[[#Headers],[Company]],1)</f>
        <v/>
      </c>
      <c r="AA117" s="148" t="str" cm="1">
        <f t="array" ref="AA117">Common_InputFunctions.Utility_DisplayArrayInTable(Fertiliser_SourceData.Fertiliser_Products_Data1(), FertiliserProducts[[#Headers],[Company]],1)</f>
        <v/>
      </c>
      <c r="AB117" s="148" t="str" cm="1">
        <f t="array" ref="AB117">Common_InputFunctions.Utility_DisplayArrayInTable(Fertiliser_SourceData.Fertiliser_Products_Data1(), FertiliserProducts[[#Headers],[Company]],1)</f>
        <v/>
      </c>
      <c r="AC117" s="148" t="str" cm="1">
        <f t="array" ref="AC117">Common_InputFunctions.Utility_DisplayArrayInTable(Fertiliser_SourceData.Fertiliser_Products_Data1(), FertiliserProducts[[#Headers],[Company]],1)</f>
        <v/>
      </c>
      <c r="AD117" s="148" t="str" cm="1">
        <f t="array" ref="AD117">Common_InputFunctions.Utility_DisplayArrayInTable(Fertiliser_SourceData.Fertiliser_Products_Data1(), FertiliserProducts[[#Headers],[Company]],1)</f>
        <v/>
      </c>
      <c r="AE117" s="148" t="str" cm="1">
        <f t="array" ref="AE117">Common_InputFunctions.Utility_DisplayArrayInTable(Fertiliser_SourceData.Fertiliser_Products_Data1(), FertiliserProducts[[#Headers],[Company]],1)</f>
        <v/>
      </c>
      <c r="AF117" s="148" t="str" cm="1">
        <f t="array" ref="AF117">Common_InputFunctions.Utility_DisplayArrayInTable(Fertiliser_SourceData.Fertiliser_Products_Data1(), FertiliserProducts[[#Headers],[Company]],1)</f>
        <v/>
      </c>
      <c r="AG117" s="148" t="str" cm="1">
        <f t="array" ref="AG117">Common_InputFunctions.Utility_DisplayArrayInTable(Fertiliser_SourceData.Fertiliser_Products_Data1(), FertiliserProducts[[#Headers],[Company]],1)</f>
        <v/>
      </c>
      <c r="AH117" s="148" t="str" cm="1">
        <f t="array" ref="AH117">Common_InputFunctions.Utility_DisplayArrayInTable(Fertiliser_SourceData.Fertiliser_Products_Data1(), FertiliserProducts[[#Headers],[Company]],1)</f>
        <v/>
      </c>
      <c r="AK117" s="1"/>
      <c r="AL117" s="1"/>
      <c r="AM117" s="1"/>
    </row>
    <row r="118" spans="1:39" ht="20.100000000000001" customHeight="1" x14ac:dyDescent="0.2">
      <c r="D118" s="148" t="str" cm="1">
        <f t="array" ref="D118">Common_InputFunctions.Utility_DisplayArrayInTable(Fertiliser_SourceData.Fertiliser_Products_Data1(), FertiliserProducts[[#Headers],[Company]],1)</f>
        <v>Switch Ag</v>
      </c>
      <c r="E118" s="148" t="str" cm="1">
        <f t="array" ref="E118">Common_InputFunctions.Utility_DisplayArrayInTable(Fertiliser_SourceData.Fertiliser_Products_Data1(), FertiliserProducts[[#Headers],[Company]],1)</f>
        <v>Crop Starter</v>
      </c>
      <c r="F118" s="148" t="str" cm="1">
        <f t="array" ref="F118">Common_InputFunctions.Utility_DisplayArrayInTable(Fertiliser_SourceData.Fertiliser_Products_Data1(), FertiliserProducts[[#Headers],[Company]],1)</f>
        <v>L</v>
      </c>
      <c r="G118" s="148" cm="1">
        <f t="array" ref="G118">Common_InputFunctions.Utility_DisplayArrayInTable(Fertiliser_SourceData.Fertiliser_Products_Data1(), FertiliserProducts[[#Headers],[Company]],1)</f>
        <v>1.2</v>
      </c>
      <c r="H118" s="148" t="str" cm="1">
        <f t="array" ref="H118">Common_InputFunctions.Utility_DisplayArrayInTable(Fertiliser_SourceData.Fertiliser_Products_Data1(), FertiliserProducts[[#Headers],[Company]],1)</f>
        <v/>
      </c>
      <c r="I118" s="148" t="str" cm="1">
        <f t="array" ref="I118">Common_InputFunctions.Utility_DisplayArrayInTable(Fertiliser_SourceData.Fertiliser_Products_Data1(), FertiliserProducts[[#Headers],[Company]],1)</f>
        <v/>
      </c>
      <c r="J118" s="148" t="str" cm="1">
        <f t="array" ref="J118">Common_InputFunctions.Utility_DisplayArrayInTable(Fertiliser_SourceData.Fertiliser_Products_Data1(), FertiliserProducts[[#Headers],[Company]],1)</f>
        <v/>
      </c>
      <c r="K118" s="148" cm="1">
        <f t="array" ref="K118">Common_InputFunctions.Utility_DisplayArrayInTable(Fertiliser_SourceData.Fertiliser_Products_Data1(), FertiliserProducts[[#Headers],[Company]],1)</f>
        <v>5</v>
      </c>
      <c r="L118" s="148" cm="1">
        <f t="array" ref="L118">Common_InputFunctions.Utility_DisplayArrayInTable(Fertiliser_SourceData.Fertiliser_Products_Data1(), FertiliserProducts[[#Headers],[Company]],1)</f>
        <v>3</v>
      </c>
      <c r="M118" s="148" cm="1">
        <f t="array" ref="M118">Common_InputFunctions.Utility_DisplayArrayInTable(Fertiliser_SourceData.Fertiliser_Products_Data1(), FertiliserProducts[[#Headers],[Company]],1)</f>
        <v>8</v>
      </c>
      <c r="N118" s="148" t="str" cm="1">
        <f t="array" ref="N118">Common_InputFunctions.Utility_DisplayArrayInTable(Fertiliser_SourceData.Fertiliser_Products_Data1(), FertiliserProducts[[#Headers],[Company]],1)</f>
        <v/>
      </c>
      <c r="O118" s="148" t="str" cm="1">
        <f t="array" ref="O118">Common_InputFunctions.Utility_DisplayArrayInTable(Fertiliser_SourceData.Fertiliser_Products_Data1(), FertiliserProducts[[#Headers],[Company]],1)</f>
        <v>Potassium - Generic</v>
      </c>
      <c r="P118" s="148" cm="1">
        <f t="array" ref="P118">Common_InputFunctions.Utility_DisplayArrayInTable(Fertiliser_SourceData.Fertiliser_Products_Data1(), FertiliserProducts[[#Headers],[Company]],1)</f>
        <v>0.08</v>
      </c>
      <c r="Q118" s="148" t="str" cm="1">
        <f t="array" ref="Q118">Common_InputFunctions.Utility_DisplayArrayInTable(Fertiliser_SourceData.Fertiliser_Products_Data1(), FertiliserProducts[[#Headers],[Company]],1)</f>
        <v>Nitrogen - Generic</v>
      </c>
      <c r="R118" s="148" cm="1">
        <f t="array" ref="R118">Common_InputFunctions.Utility_DisplayArrayInTable(Fertiliser_SourceData.Fertiliser_Products_Data1(), FertiliserProducts[[#Headers],[Company]],1)</f>
        <v>0.05</v>
      </c>
      <c r="S118" s="148" t="str" cm="1">
        <f t="array" ref="S118">Common_InputFunctions.Utility_DisplayArrayInTable(Fertiliser_SourceData.Fertiliser_Products_Data1(), FertiliserProducts[[#Headers],[Company]],1)</f>
        <v>Phosphorus - Generic</v>
      </c>
      <c r="T118" s="148" cm="1">
        <f t="array" ref="T118">Common_InputFunctions.Utility_DisplayArrayInTable(Fertiliser_SourceData.Fertiliser_Products_Data1(), FertiliserProducts[[#Headers],[Company]],1)</f>
        <v>0.03</v>
      </c>
      <c r="U118" s="148" t="str" cm="1">
        <f t="array" ref="U118">Common_InputFunctions.Utility_DisplayArrayInTable(Fertiliser_SourceData.Fertiliser_Products_Data1(), FertiliserProducts[[#Headers],[Company]],1)</f>
        <v/>
      </c>
      <c r="V118" s="148" t="str" cm="1">
        <f t="array" ref="V118">Common_InputFunctions.Utility_DisplayArrayInTable(Fertiliser_SourceData.Fertiliser_Products_Data1(), FertiliserProducts[[#Headers],[Company]],1)</f>
        <v/>
      </c>
      <c r="W118" s="148" t="str" cm="1">
        <f t="array" ref="W118">Common_InputFunctions.Utility_DisplayArrayInTable(Fertiliser_SourceData.Fertiliser_Products_Data1(), FertiliserProducts[[#Headers],[Company]],1)</f>
        <v/>
      </c>
      <c r="X118" s="148" t="str" cm="1">
        <f t="array" ref="X118">Common_InputFunctions.Utility_DisplayArrayInTable(Fertiliser_SourceData.Fertiliser_Products_Data1(), FertiliserProducts[[#Headers],[Company]],1)</f>
        <v/>
      </c>
      <c r="Y118" s="148" t="str" cm="1">
        <f t="array" ref="Y118">Common_InputFunctions.Utility_DisplayArrayInTable(Fertiliser_SourceData.Fertiliser_Products_Data1(), FertiliserProducts[[#Headers],[Company]],1)</f>
        <v/>
      </c>
      <c r="Z118" s="148" t="str" cm="1">
        <f t="array" ref="Z118">Common_InputFunctions.Utility_DisplayArrayInTable(Fertiliser_SourceData.Fertiliser_Products_Data1(), FertiliserProducts[[#Headers],[Company]],1)</f>
        <v/>
      </c>
      <c r="AA118" s="148" t="str" cm="1">
        <f t="array" ref="AA118">Common_InputFunctions.Utility_DisplayArrayInTable(Fertiliser_SourceData.Fertiliser_Products_Data1(), FertiliserProducts[[#Headers],[Company]],1)</f>
        <v/>
      </c>
      <c r="AB118" s="148" t="str" cm="1">
        <f t="array" ref="AB118">Common_InputFunctions.Utility_DisplayArrayInTable(Fertiliser_SourceData.Fertiliser_Products_Data1(), FertiliserProducts[[#Headers],[Company]],1)</f>
        <v/>
      </c>
      <c r="AC118" s="148" t="str" cm="1">
        <f t="array" ref="AC118">Common_InputFunctions.Utility_DisplayArrayInTable(Fertiliser_SourceData.Fertiliser_Products_Data1(), FertiliserProducts[[#Headers],[Company]],1)</f>
        <v/>
      </c>
      <c r="AD118" s="148" t="str" cm="1">
        <f t="array" ref="AD118">Common_InputFunctions.Utility_DisplayArrayInTable(Fertiliser_SourceData.Fertiliser_Products_Data1(), FertiliserProducts[[#Headers],[Company]],1)</f>
        <v/>
      </c>
      <c r="AE118" s="148" t="str" cm="1">
        <f t="array" ref="AE118">Common_InputFunctions.Utility_DisplayArrayInTable(Fertiliser_SourceData.Fertiliser_Products_Data1(), FertiliserProducts[[#Headers],[Company]],1)</f>
        <v/>
      </c>
      <c r="AF118" s="148" t="str" cm="1">
        <f t="array" ref="AF118">Common_InputFunctions.Utility_DisplayArrayInTable(Fertiliser_SourceData.Fertiliser_Products_Data1(), FertiliserProducts[[#Headers],[Company]],1)</f>
        <v/>
      </c>
      <c r="AG118" s="148" t="str" cm="1">
        <f t="array" ref="AG118">Common_InputFunctions.Utility_DisplayArrayInTable(Fertiliser_SourceData.Fertiliser_Products_Data1(), FertiliserProducts[[#Headers],[Company]],1)</f>
        <v/>
      </c>
      <c r="AH118" s="148" t="str" cm="1">
        <f t="array" ref="AH118">Common_InputFunctions.Utility_DisplayArrayInTable(Fertiliser_SourceData.Fertiliser_Products_Data1(), FertiliserProducts[[#Headers],[Company]],1)</f>
        <v/>
      </c>
      <c r="AK118" s="1"/>
      <c r="AL118" s="1"/>
      <c r="AM118" s="1"/>
    </row>
    <row r="119" spans="1:39" ht="20.100000000000001" customHeight="1" x14ac:dyDescent="0.2">
      <c r="D119" s="148" t="str" cm="1">
        <f t="array" ref="D119">Common_InputFunctions.Utility_DisplayArrayInTable(Fertiliser_SourceData.Fertiliser_Products_Data1(), FertiliserProducts[[#Headers],[Company]],1)</f>
        <v>Incitec Pivot Fertilisers</v>
      </c>
      <c r="E119" s="148" t="str" cm="1">
        <f t="array" ref="E119">Common_InputFunctions.Utility_DisplayArrayInTable(Fertiliser_SourceData.Fertiliser_Products_Data1(), FertiliserProducts[[#Headers],[Company]],1)</f>
        <v>Gran-Am</v>
      </c>
      <c r="F119" s="148" t="str" cm="1">
        <f t="array" ref="F119">Common_InputFunctions.Utility_DisplayArrayInTable(Fertiliser_SourceData.Fertiliser_Products_Data1(), FertiliserProducts[[#Headers],[Company]],1)</f>
        <v>kg</v>
      </c>
      <c r="G119" s="148" cm="1">
        <f t="array" ref="G119">Common_InputFunctions.Utility_DisplayArrayInTable(Fertiliser_SourceData.Fertiliser_Products_Data1(), FertiliserProducts[[#Headers],[Company]],1)</f>
        <v>1</v>
      </c>
      <c r="H119" s="148" t="str" cm="1">
        <f t="array" ref="H119">Common_InputFunctions.Utility_DisplayArrayInTable(Fertiliser_SourceData.Fertiliser_Products_Data1(), FertiliserProducts[[#Headers],[Company]],1)</f>
        <v/>
      </c>
      <c r="I119" s="148" t="str" cm="1">
        <f t="array" ref="I119">Common_InputFunctions.Utility_DisplayArrayInTable(Fertiliser_SourceData.Fertiliser_Products_Data1(), FertiliserProducts[[#Headers],[Company]],1)</f>
        <v/>
      </c>
      <c r="J119" s="148" t="str" cm="1">
        <f t="array" ref="J119">Common_InputFunctions.Utility_DisplayArrayInTable(Fertiliser_SourceData.Fertiliser_Products_Data1(), FertiliserProducts[[#Headers],[Company]],1)</f>
        <v/>
      </c>
      <c r="K119" s="148" cm="1">
        <f t="array" ref="K119">Common_InputFunctions.Utility_DisplayArrayInTable(Fertiliser_SourceData.Fertiliser_Products_Data1(), FertiliserProducts[[#Headers],[Company]],1)</f>
        <v>21</v>
      </c>
      <c r="L119" s="148" t="str" cm="1">
        <f t="array" ref="L119">Common_InputFunctions.Utility_DisplayArrayInTable(Fertiliser_SourceData.Fertiliser_Products_Data1(), FertiliserProducts[[#Headers],[Company]],1)</f>
        <v/>
      </c>
      <c r="M119" s="148" t="str" cm="1">
        <f t="array" ref="M119">Common_InputFunctions.Utility_DisplayArrayInTable(Fertiliser_SourceData.Fertiliser_Products_Data1(), FertiliserProducts[[#Headers],[Company]],1)</f>
        <v/>
      </c>
      <c r="N119" s="148" cm="1">
        <f t="array" ref="N119">Common_InputFunctions.Utility_DisplayArrayInTable(Fertiliser_SourceData.Fertiliser_Products_Data1(), FertiliserProducts[[#Headers],[Company]],1)</f>
        <v>24</v>
      </c>
      <c r="O119" s="148" t="str" cm="1">
        <f t="array" ref="O119">Common_InputFunctions.Utility_DisplayArrayInTable(Fertiliser_SourceData.Fertiliser_Products_Data1(), FertiliserProducts[[#Headers],[Company]],1)</f>
        <v>Sulphate of ammonia (SOA)</v>
      </c>
      <c r="P119" s="148" cm="1">
        <f t="array" ref="P119">Common_InputFunctions.Utility_DisplayArrayInTable(Fertiliser_SourceData.Fertiliser_Products_Data1(), FertiliserProducts[[#Headers],[Company]],1)</f>
        <v>1</v>
      </c>
      <c r="Q119" s="148" t="str" cm="1">
        <f t="array" ref="Q119">Common_InputFunctions.Utility_DisplayArrayInTable(Fertiliser_SourceData.Fertiliser_Products_Data1(), FertiliserProducts[[#Headers],[Company]],1)</f>
        <v/>
      </c>
      <c r="R119" s="148" t="str" cm="1">
        <f t="array" ref="R119">Common_InputFunctions.Utility_DisplayArrayInTable(Fertiliser_SourceData.Fertiliser_Products_Data1(), FertiliserProducts[[#Headers],[Company]],1)</f>
        <v/>
      </c>
      <c r="S119" s="148" t="str" cm="1">
        <f t="array" ref="S119">Common_InputFunctions.Utility_DisplayArrayInTable(Fertiliser_SourceData.Fertiliser_Products_Data1(), FertiliserProducts[[#Headers],[Company]],1)</f>
        <v/>
      </c>
      <c r="T119" s="148" t="str" cm="1">
        <f t="array" ref="T119">Common_InputFunctions.Utility_DisplayArrayInTable(Fertiliser_SourceData.Fertiliser_Products_Data1(), FertiliserProducts[[#Headers],[Company]],1)</f>
        <v/>
      </c>
      <c r="U119" s="148" t="str" cm="1">
        <f t="array" ref="U119">Common_InputFunctions.Utility_DisplayArrayInTable(Fertiliser_SourceData.Fertiliser_Products_Data1(), FertiliserProducts[[#Headers],[Company]],1)</f>
        <v/>
      </c>
      <c r="V119" s="148" t="str" cm="1">
        <f t="array" ref="V119">Common_InputFunctions.Utility_DisplayArrayInTable(Fertiliser_SourceData.Fertiliser_Products_Data1(), FertiliserProducts[[#Headers],[Company]],1)</f>
        <v/>
      </c>
      <c r="W119" s="148" t="str" cm="1">
        <f t="array" ref="W119">Common_InputFunctions.Utility_DisplayArrayInTable(Fertiliser_SourceData.Fertiliser_Products_Data1(), FertiliserProducts[[#Headers],[Company]],1)</f>
        <v/>
      </c>
      <c r="X119" s="148" t="str" cm="1">
        <f t="array" ref="X119">Common_InputFunctions.Utility_DisplayArrayInTable(Fertiliser_SourceData.Fertiliser_Products_Data1(), FertiliserProducts[[#Headers],[Company]],1)</f>
        <v/>
      </c>
      <c r="Y119" s="148" t="str" cm="1">
        <f t="array" ref="Y119">Common_InputFunctions.Utility_DisplayArrayInTable(Fertiliser_SourceData.Fertiliser_Products_Data1(), FertiliserProducts[[#Headers],[Company]],1)</f>
        <v/>
      </c>
      <c r="Z119" s="148" t="str" cm="1">
        <f t="array" ref="Z119">Common_InputFunctions.Utility_DisplayArrayInTable(Fertiliser_SourceData.Fertiliser_Products_Data1(), FertiliserProducts[[#Headers],[Company]],1)</f>
        <v/>
      </c>
      <c r="AA119" s="148" t="str" cm="1">
        <f t="array" ref="AA119">Common_InputFunctions.Utility_DisplayArrayInTable(Fertiliser_SourceData.Fertiliser_Products_Data1(), FertiliserProducts[[#Headers],[Company]],1)</f>
        <v/>
      </c>
      <c r="AB119" s="148" t="str" cm="1">
        <f t="array" ref="AB119">Common_InputFunctions.Utility_DisplayArrayInTable(Fertiliser_SourceData.Fertiliser_Products_Data1(), FertiliserProducts[[#Headers],[Company]],1)</f>
        <v/>
      </c>
      <c r="AC119" s="148" t="str" cm="1">
        <f t="array" ref="AC119">Common_InputFunctions.Utility_DisplayArrayInTable(Fertiliser_SourceData.Fertiliser_Products_Data1(), FertiliserProducts[[#Headers],[Company]],1)</f>
        <v/>
      </c>
      <c r="AD119" s="148" t="str" cm="1">
        <f t="array" ref="AD119">Common_InputFunctions.Utility_DisplayArrayInTable(Fertiliser_SourceData.Fertiliser_Products_Data1(), FertiliserProducts[[#Headers],[Company]],1)</f>
        <v/>
      </c>
      <c r="AE119" s="148" t="str" cm="1">
        <f t="array" ref="AE119">Common_InputFunctions.Utility_DisplayArrayInTable(Fertiliser_SourceData.Fertiliser_Products_Data1(), FertiliserProducts[[#Headers],[Company]],1)</f>
        <v/>
      </c>
      <c r="AF119" s="148" t="str" cm="1">
        <f t="array" ref="AF119">Common_InputFunctions.Utility_DisplayArrayInTable(Fertiliser_SourceData.Fertiliser_Products_Data1(), FertiliserProducts[[#Headers],[Company]],1)</f>
        <v/>
      </c>
      <c r="AG119" s="148" t="str" cm="1">
        <f t="array" ref="AG119">Common_InputFunctions.Utility_DisplayArrayInTable(Fertiliser_SourceData.Fertiliser_Products_Data1(), FertiliserProducts[[#Headers],[Company]],1)</f>
        <v/>
      </c>
      <c r="AH119" s="148" t="str" cm="1">
        <f t="array" ref="AH119">Common_InputFunctions.Utility_DisplayArrayInTable(Fertiliser_SourceData.Fertiliser_Products_Data1(), FertiliserProducts[[#Headers],[Company]],1)</f>
        <v/>
      </c>
      <c r="AK119" s="1"/>
      <c r="AL119" s="1"/>
      <c r="AM119" s="1"/>
    </row>
    <row r="120" spans="1:39" ht="20.100000000000001" customHeight="1" x14ac:dyDescent="0.2">
      <c r="D120" s="148" t="str" cm="1">
        <f t="array" ref="D120">Common_InputFunctions.Utility_DisplayArrayInTable(Fertiliser_SourceData.Fertiliser_Products_Data2(), FertiliserProducts[[#Headers],[Company]],31)</f>
        <v>Campbells fertilisers Australia</v>
      </c>
      <c r="E120" s="148" t="str" cm="1">
        <f t="array" ref="E120">Common_InputFunctions.Utility_DisplayArrayInTable(Fertiliser_SourceData.Fertiliser_Products_Data2(), FertiliserProducts[[#Headers],[Company]],31)</f>
        <v>Encal</v>
      </c>
      <c r="F120" s="148" t="str" cm="1">
        <f t="array" ref="F120">Common_InputFunctions.Utility_DisplayArrayInTable(Fertiliser_SourceData.Fertiliser_Products_Data2(), FertiliserProducts[[#Headers],[Company]],31)</f>
        <v>L</v>
      </c>
      <c r="G120" s="148" cm="1">
        <f t="array" ref="G120">Common_InputFunctions.Utility_DisplayArrayInTable(Fertiliser_SourceData.Fertiliser_Products_Data2(), FertiliserProducts[[#Headers],[Company]],31)</f>
        <v>1.5</v>
      </c>
      <c r="H120" s="148" t="str" cm="1">
        <f t="array" ref="H120">Common_InputFunctions.Utility_DisplayArrayInTable(Fertiliser_SourceData.Fertiliser_Products_Data2(), FertiliserProducts[[#Headers],[Company]],31)</f>
        <v/>
      </c>
      <c r="I120" s="148" t="str" cm="1">
        <f t="array" ref="I120">Common_InputFunctions.Utility_DisplayArrayInTable(Fertiliser_SourceData.Fertiliser_Products_Data2(), FertiliserProducts[[#Headers],[Company]],31)</f>
        <v/>
      </c>
      <c r="J120" s="148" t="str" cm="1">
        <f t="array" ref="J120">Common_InputFunctions.Utility_DisplayArrayInTable(Fertiliser_SourceData.Fertiliser_Products_Data2(), FertiliserProducts[[#Headers],[Company]],31)</f>
        <v/>
      </c>
      <c r="K120" s="148" cm="1">
        <f t="array" ref="K120">Common_InputFunctions.Utility_DisplayArrayInTable(Fertiliser_SourceData.Fertiliser_Products_Data2(), FertiliserProducts[[#Headers],[Company]],31)</f>
        <v>9</v>
      </c>
      <c r="L120" s="148" t="str" cm="1">
        <f t="array" ref="L120">Common_InputFunctions.Utility_DisplayArrayInTable(Fertiliser_SourceData.Fertiliser_Products_Data2(), FertiliserProducts[[#Headers],[Company]],31)</f>
        <v/>
      </c>
      <c r="M120" s="148" t="str" cm="1">
        <f t="array" ref="M120">Common_InputFunctions.Utility_DisplayArrayInTable(Fertiliser_SourceData.Fertiliser_Products_Data2(), FertiliserProducts[[#Headers],[Company]],31)</f>
        <v/>
      </c>
      <c r="N120" s="148" cm="1">
        <f t="array" ref="N120">Common_InputFunctions.Utility_DisplayArrayInTable(Fertiliser_SourceData.Fertiliser_Products_Data2(), FertiliserProducts[[#Headers],[Company]],31)</f>
        <v>13.94</v>
      </c>
      <c r="O120" s="148" t="str" cm="1">
        <f t="array" ref="O120">Common_InputFunctions.Utility_DisplayArrayInTable(Fertiliser_SourceData.Fertiliser_Products_Data2(), FertiliserProducts[[#Headers],[Company]],31)</f>
        <v>Sulphate of ammonia (SOA)</v>
      </c>
      <c r="P120" s="148" cm="1">
        <f t="array" ref="P120">Common_InputFunctions.Utility_DisplayArrayInTable(Fertiliser_SourceData.Fertiliser_Products_Data2(), FertiliserProducts[[#Headers],[Company]],31)</f>
        <v>0.58064499999999997</v>
      </c>
      <c r="Q120" s="148" t="str" cm="1">
        <f t="array" ref="Q120">Common_InputFunctions.Utility_DisplayArrayInTable(Fertiliser_SourceData.Fertiliser_Products_Data2(), FertiliserProducts[[#Headers],[Company]],31)</f>
        <v>Magnesium</v>
      </c>
      <c r="R120" s="148" cm="1">
        <f t="array" ref="R120">Common_InputFunctions.Utility_DisplayArrayInTable(Fertiliser_SourceData.Fertiliser_Products_Data2(), FertiliserProducts[[#Headers],[Company]],31)</f>
        <v>1.2E-2</v>
      </c>
      <c r="S120" s="148" t="str" cm="1">
        <f t="array" ref="S120">Common_InputFunctions.Utility_DisplayArrayInTable(Fertiliser_SourceData.Fertiliser_Products_Data2(), FertiliserProducts[[#Headers],[Company]],31)</f>
        <v/>
      </c>
      <c r="T120" s="148" t="str" cm="1">
        <f t="array" ref="T120">Common_InputFunctions.Utility_DisplayArrayInTable(Fertiliser_SourceData.Fertiliser_Products_Data2(), FertiliserProducts[[#Headers],[Company]],31)</f>
        <v/>
      </c>
      <c r="U120" s="148" t="str" cm="1">
        <f t="array" ref="U120">Common_InputFunctions.Utility_DisplayArrayInTable(Fertiliser_SourceData.Fertiliser_Products_Data2(), FertiliserProducts[[#Headers],[Company]],31)</f>
        <v/>
      </c>
      <c r="V120" s="148" t="str" cm="1">
        <f t="array" ref="V120">Common_InputFunctions.Utility_DisplayArrayInTable(Fertiliser_SourceData.Fertiliser_Products_Data2(), FertiliserProducts[[#Headers],[Company]],31)</f>
        <v/>
      </c>
      <c r="W120" s="148" t="str" cm="1">
        <f t="array" ref="W120">Common_InputFunctions.Utility_DisplayArrayInTable(Fertiliser_SourceData.Fertiliser_Products_Data2(), FertiliserProducts[[#Headers],[Company]],31)</f>
        <v/>
      </c>
      <c r="X120" s="148" t="str" cm="1">
        <f t="array" ref="X120">Common_InputFunctions.Utility_DisplayArrayInTable(Fertiliser_SourceData.Fertiliser_Products_Data2(), FertiliserProducts[[#Headers],[Company]],31)</f>
        <v/>
      </c>
      <c r="Y120" s="148" t="str" cm="1">
        <f t="array" ref="Y120">Common_InputFunctions.Utility_DisplayArrayInTable(Fertiliser_SourceData.Fertiliser_Products_Data2(), FertiliserProducts[[#Headers],[Company]],31)</f>
        <v/>
      </c>
      <c r="Z120" s="148" t="str" cm="1">
        <f t="array" ref="Z120">Common_InputFunctions.Utility_DisplayArrayInTable(Fertiliser_SourceData.Fertiliser_Products_Data2(), FertiliserProducts[[#Headers],[Company]],31)</f>
        <v/>
      </c>
      <c r="AA120" s="148" t="str" cm="1">
        <f t="array" ref="AA120">Common_InputFunctions.Utility_DisplayArrayInTable(Fertiliser_SourceData.Fertiliser_Products_Data2(), FertiliserProducts[[#Headers],[Company]],31)</f>
        <v/>
      </c>
      <c r="AB120" s="148" t="str" cm="1">
        <f t="array" ref="AB120">Common_InputFunctions.Utility_DisplayArrayInTable(Fertiliser_SourceData.Fertiliser_Products_Data2(), FertiliserProducts[[#Headers],[Company]],31)</f>
        <v/>
      </c>
      <c r="AC120" s="148" t="str" cm="1">
        <f t="array" ref="AC120">Common_InputFunctions.Utility_DisplayArrayInTable(Fertiliser_SourceData.Fertiliser_Products_Data2(), FertiliserProducts[[#Headers],[Company]],31)</f>
        <v/>
      </c>
      <c r="AD120" s="148" t="str" cm="1">
        <f t="array" ref="AD120">Common_InputFunctions.Utility_DisplayArrayInTable(Fertiliser_SourceData.Fertiliser_Products_Data2(), FertiliserProducts[[#Headers],[Company]],31)</f>
        <v/>
      </c>
      <c r="AE120" s="148" t="str" cm="1">
        <f t="array" ref="AE120">Common_InputFunctions.Utility_DisplayArrayInTable(Fertiliser_SourceData.Fertiliser_Products_Data2(), FertiliserProducts[[#Headers],[Company]],31)</f>
        <v/>
      </c>
      <c r="AF120" s="148" t="str" cm="1">
        <f t="array" ref="AF120">Common_InputFunctions.Utility_DisplayArrayInTable(Fertiliser_SourceData.Fertiliser_Products_Data2(), FertiliserProducts[[#Headers],[Company]],31)</f>
        <v/>
      </c>
      <c r="AG120" s="148" t="str" cm="1">
        <f t="array" ref="AG120">Common_InputFunctions.Utility_DisplayArrayInTable(Fertiliser_SourceData.Fertiliser_Products_Data2(), FertiliserProducts[[#Headers],[Company]],31)</f>
        <v/>
      </c>
      <c r="AH120" s="148" t="str" cm="1">
        <f t="array" ref="AH120">Common_InputFunctions.Utility_DisplayArrayInTable(Fertiliser_SourceData.Fertiliser_Products_Data2(), FertiliserProducts[[#Headers],[Company]],31)</f>
        <v/>
      </c>
      <c r="AK120" s="1"/>
      <c r="AL120" s="1"/>
      <c r="AM120" s="1"/>
    </row>
    <row r="121" spans="1:39" ht="20.100000000000001" customHeight="1" x14ac:dyDescent="0.2">
      <c r="D121" s="148" t="str" cm="1">
        <f t="array" ref="D121">Common_InputFunctions.Utility_DisplayArrayInTable(Fertiliser_SourceData.Fertiliser_Products_Data2(), FertiliserProducts[[#Headers],[Company]],31)</f>
        <v>Incitec Pivot Fertilisers</v>
      </c>
      <c r="E121" s="148" t="str" cm="1">
        <f t="array" ref="E121">Common_InputFunctions.Utility_DisplayArrayInTable(Fertiliser_SourceData.Fertiliser_Products_Data2(), FertiliserProducts[[#Headers],[Company]],31)</f>
        <v>Granulock SS</v>
      </c>
      <c r="F121" s="148" t="str" cm="1">
        <f t="array" ref="F121">Common_InputFunctions.Utility_DisplayArrayInTable(Fertiliser_SourceData.Fertiliser_Products_Data2(), FertiliserProducts[[#Headers],[Company]],31)</f>
        <v>kg</v>
      </c>
      <c r="G121" s="148" cm="1">
        <f t="array" ref="G121">Common_InputFunctions.Utility_DisplayArrayInTable(Fertiliser_SourceData.Fertiliser_Products_Data2(), FertiliserProducts[[#Headers],[Company]],31)</f>
        <v>1</v>
      </c>
      <c r="H121" s="148" t="str" cm="1">
        <f t="array" ref="H121">Common_InputFunctions.Utility_DisplayArrayInTable(Fertiliser_SourceData.Fertiliser_Products_Data2(), FertiliserProducts[[#Headers],[Company]],31)</f>
        <v/>
      </c>
      <c r="I121" s="148" t="str" cm="1">
        <f t="array" ref="I121">Common_InputFunctions.Utility_DisplayArrayInTable(Fertiliser_SourceData.Fertiliser_Products_Data2(), FertiliserProducts[[#Headers],[Company]],31)</f>
        <v/>
      </c>
      <c r="J121" s="148" t="str" cm="1">
        <f t="array" ref="J121">Common_InputFunctions.Utility_DisplayArrayInTable(Fertiliser_SourceData.Fertiliser_Products_Data2(), FertiliserProducts[[#Headers],[Company]],31)</f>
        <v/>
      </c>
      <c r="K121" s="148" cm="1">
        <f t="array" ref="K121">Common_InputFunctions.Utility_DisplayArrayInTable(Fertiliser_SourceData.Fertiliser_Products_Data2(), FertiliserProducts[[#Headers],[Company]],31)</f>
        <v>10</v>
      </c>
      <c r="L121" s="148" cm="1">
        <f t="array" ref="L121">Common_InputFunctions.Utility_DisplayArrayInTable(Fertiliser_SourceData.Fertiliser_Products_Data2(), FertiliserProducts[[#Headers],[Company]],31)</f>
        <v>17.5</v>
      </c>
      <c r="M121" s="148" t="str" cm="1">
        <f t="array" ref="M121">Common_InputFunctions.Utility_DisplayArrayInTable(Fertiliser_SourceData.Fertiliser_Products_Data2(), FertiliserProducts[[#Headers],[Company]],31)</f>
        <v/>
      </c>
      <c r="N121" s="148" cm="1">
        <f t="array" ref="N121">Common_InputFunctions.Utility_DisplayArrayInTable(Fertiliser_SourceData.Fertiliser_Products_Data2(), FertiliserProducts[[#Headers],[Company]],31)</f>
        <v>12</v>
      </c>
      <c r="O121" s="148" t="str" cm="1">
        <f t="array" ref="O121">Common_InputFunctions.Utility_DisplayArrayInTable(Fertiliser_SourceData.Fertiliser_Products_Data2(), FertiliserProducts[[#Headers],[Company]],31)</f>
        <v>Phosphorus - Generic</v>
      </c>
      <c r="P121" s="148" cm="1">
        <f t="array" ref="P121">Common_InputFunctions.Utility_DisplayArrayInTable(Fertiliser_SourceData.Fertiliser_Products_Data2(), FertiliserProducts[[#Headers],[Company]],31)</f>
        <v>0.17499999999999999</v>
      </c>
      <c r="Q121" s="148" t="str" cm="1">
        <f t="array" ref="Q121">Common_InputFunctions.Utility_DisplayArrayInTable(Fertiliser_SourceData.Fertiliser_Products_Data2(), FertiliserProducts[[#Headers],[Company]],31)</f>
        <v>Sulfur - Generic</v>
      </c>
      <c r="R121" s="148" cm="1">
        <f t="array" ref="R121">Common_InputFunctions.Utility_DisplayArrayInTable(Fertiliser_SourceData.Fertiliser_Products_Data2(), FertiliserProducts[[#Headers],[Company]],31)</f>
        <v>0.12</v>
      </c>
      <c r="S121" s="148" t="str" cm="1">
        <f t="array" ref="S121">Common_InputFunctions.Utility_DisplayArrayInTable(Fertiliser_SourceData.Fertiliser_Products_Data2(), FertiliserProducts[[#Headers],[Company]],31)</f>
        <v>Nitrogen - Ammoniacal</v>
      </c>
      <c r="T121" s="148" cm="1">
        <f t="array" ref="T121">Common_InputFunctions.Utility_DisplayArrayInTable(Fertiliser_SourceData.Fertiliser_Products_Data2(), FertiliserProducts[[#Headers],[Company]],31)</f>
        <v>0.1</v>
      </c>
      <c r="U121" s="148" t="str" cm="1">
        <f t="array" ref="U121">Common_InputFunctions.Utility_DisplayArrayInTable(Fertiliser_SourceData.Fertiliser_Products_Data2(), FertiliserProducts[[#Headers],[Company]],31)</f>
        <v>Fluoride</v>
      </c>
      <c r="V121" s="148" cm="1">
        <f t="array" ref="V121">Common_InputFunctions.Utility_DisplayArrayInTable(Fertiliser_SourceData.Fertiliser_Products_Data2(), FertiliserProducts[[#Headers],[Company]],31)</f>
        <v>0.03</v>
      </c>
      <c r="W121" s="148" t="str" cm="1">
        <f t="array" ref="W121">Common_InputFunctions.Utility_DisplayArrayInTable(Fertiliser_SourceData.Fertiliser_Products_Data2(), FertiliserProducts[[#Headers],[Company]],31)</f>
        <v/>
      </c>
      <c r="X121" s="148" t="str" cm="1">
        <f t="array" ref="X121">Common_InputFunctions.Utility_DisplayArrayInTable(Fertiliser_SourceData.Fertiliser_Products_Data2(), FertiliserProducts[[#Headers],[Company]],31)</f>
        <v/>
      </c>
      <c r="Y121" s="148" t="str" cm="1">
        <f t="array" ref="Y121">Common_InputFunctions.Utility_DisplayArrayInTable(Fertiliser_SourceData.Fertiliser_Products_Data2(), FertiliserProducts[[#Headers],[Company]],31)</f>
        <v/>
      </c>
      <c r="Z121" s="148" t="str" cm="1">
        <f t="array" ref="Z121">Common_InputFunctions.Utility_DisplayArrayInTable(Fertiliser_SourceData.Fertiliser_Products_Data2(), FertiliserProducts[[#Headers],[Company]],31)</f>
        <v/>
      </c>
      <c r="AA121" s="148" t="str" cm="1">
        <f t="array" ref="AA121">Common_InputFunctions.Utility_DisplayArrayInTable(Fertiliser_SourceData.Fertiliser_Products_Data2(), FertiliserProducts[[#Headers],[Company]],31)</f>
        <v/>
      </c>
      <c r="AB121" s="148" t="str" cm="1">
        <f t="array" ref="AB121">Common_InputFunctions.Utility_DisplayArrayInTable(Fertiliser_SourceData.Fertiliser_Products_Data2(), FertiliserProducts[[#Headers],[Company]],31)</f>
        <v/>
      </c>
      <c r="AC121" s="148" t="str" cm="1">
        <f t="array" ref="AC121">Common_InputFunctions.Utility_DisplayArrayInTable(Fertiliser_SourceData.Fertiliser_Products_Data2(), FertiliserProducts[[#Headers],[Company]],31)</f>
        <v/>
      </c>
      <c r="AD121" s="148" t="str" cm="1">
        <f t="array" ref="AD121">Common_InputFunctions.Utility_DisplayArrayInTable(Fertiliser_SourceData.Fertiliser_Products_Data2(), FertiliserProducts[[#Headers],[Company]],31)</f>
        <v/>
      </c>
      <c r="AE121" s="148" t="str" cm="1">
        <f t="array" ref="AE121">Common_InputFunctions.Utility_DisplayArrayInTable(Fertiliser_SourceData.Fertiliser_Products_Data2(), FertiliserProducts[[#Headers],[Company]],31)</f>
        <v/>
      </c>
      <c r="AF121" s="148" t="str" cm="1">
        <f t="array" ref="AF121">Common_InputFunctions.Utility_DisplayArrayInTable(Fertiliser_SourceData.Fertiliser_Products_Data2(), FertiliserProducts[[#Headers],[Company]],31)</f>
        <v/>
      </c>
      <c r="AG121" s="148" t="str" cm="1">
        <f t="array" ref="AG121">Common_InputFunctions.Utility_DisplayArrayInTable(Fertiliser_SourceData.Fertiliser_Products_Data2(), FertiliserProducts[[#Headers],[Company]],31)</f>
        <v/>
      </c>
      <c r="AH121" s="148" t="str" cm="1">
        <f t="array" ref="AH121">Common_InputFunctions.Utility_DisplayArrayInTable(Fertiliser_SourceData.Fertiliser_Products_Data2(), FertiliserProducts[[#Headers],[Company]],31)</f>
        <v/>
      </c>
      <c r="AK121" s="1"/>
      <c r="AL121" s="1"/>
      <c r="AM121" s="1"/>
    </row>
    <row r="122" spans="1:39" ht="20.100000000000001" customHeight="1" x14ac:dyDescent="0.2">
      <c r="D122" s="148" t="str" cm="1">
        <f t="array" ref="D122">Common_InputFunctions.Utility_DisplayArrayInTable(Fertiliser_SourceData.Fertiliser_Products_Data2(), FertiliserProducts[[#Headers],[Company]],31)</f>
        <v>Incitec Pivot Fertilisers</v>
      </c>
      <c r="E122" s="148" t="str" cm="1">
        <f t="array" ref="E122">Common_InputFunctions.Utility_DisplayArrayInTable(Fertiliser_SourceData.Fertiliser_Products_Data2(), FertiliserProducts[[#Headers],[Company]],31)</f>
        <v>Granulock Z</v>
      </c>
      <c r="F122" s="148" t="str" cm="1">
        <f t="array" ref="F122">Common_InputFunctions.Utility_DisplayArrayInTable(Fertiliser_SourceData.Fertiliser_Products_Data2(), FertiliserProducts[[#Headers],[Company]],31)</f>
        <v>kg</v>
      </c>
      <c r="G122" s="148" cm="1">
        <f t="array" ref="G122">Common_InputFunctions.Utility_DisplayArrayInTable(Fertiliser_SourceData.Fertiliser_Products_Data2(), FertiliserProducts[[#Headers],[Company]],31)</f>
        <v>1</v>
      </c>
      <c r="H122" s="148" t="str" cm="1">
        <f t="array" ref="H122">Common_InputFunctions.Utility_DisplayArrayInTable(Fertiliser_SourceData.Fertiliser_Products_Data2(), FertiliserProducts[[#Headers],[Company]],31)</f>
        <v/>
      </c>
      <c r="I122" s="148" t="str" cm="1">
        <f t="array" ref="I122">Common_InputFunctions.Utility_DisplayArrayInTable(Fertiliser_SourceData.Fertiliser_Products_Data2(), FertiliserProducts[[#Headers],[Company]],31)</f>
        <v/>
      </c>
      <c r="J122" s="148" t="str" cm="1">
        <f t="array" ref="J122">Common_InputFunctions.Utility_DisplayArrayInTable(Fertiliser_SourceData.Fertiliser_Products_Data2(), FertiliserProducts[[#Headers],[Company]],31)</f>
        <v/>
      </c>
      <c r="K122" s="148" cm="1">
        <f t="array" ref="K122">Common_InputFunctions.Utility_DisplayArrayInTable(Fertiliser_SourceData.Fertiliser_Products_Data2(), FertiliserProducts[[#Headers],[Company]],31)</f>
        <v>11</v>
      </c>
      <c r="L122" s="148" cm="1">
        <f t="array" ref="L122">Common_InputFunctions.Utility_DisplayArrayInTable(Fertiliser_SourceData.Fertiliser_Products_Data2(), FertiliserProducts[[#Headers],[Company]],31)</f>
        <v>21.8</v>
      </c>
      <c r="M122" s="148" t="str" cm="1">
        <f t="array" ref="M122">Common_InputFunctions.Utility_DisplayArrayInTable(Fertiliser_SourceData.Fertiliser_Products_Data2(), FertiliserProducts[[#Headers],[Company]],31)</f>
        <v/>
      </c>
      <c r="N122" s="148" cm="1">
        <f t="array" ref="N122">Common_InputFunctions.Utility_DisplayArrayInTable(Fertiliser_SourceData.Fertiliser_Products_Data2(), FertiliserProducts[[#Headers],[Company]],31)</f>
        <v>4</v>
      </c>
      <c r="O122" s="148" t="str" cm="1">
        <f t="array" ref="O122">Common_InputFunctions.Utility_DisplayArrayInTable(Fertiliser_SourceData.Fertiliser_Products_Data2(), FertiliserProducts[[#Headers],[Company]],31)</f>
        <v>Phosphorus - Generic</v>
      </c>
      <c r="P122" s="148" cm="1">
        <f t="array" ref="P122">Common_InputFunctions.Utility_DisplayArrayInTable(Fertiliser_SourceData.Fertiliser_Products_Data2(), FertiliserProducts[[#Headers],[Company]],31)</f>
        <v>0.218</v>
      </c>
      <c r="Q122" s="148" t="str" cm="1">
        <f t="array" ref="Q122">Common_InputFunctions.Utility_DisplayArrayInTable(Fertiliser_SourceData.Fertiliser_Products_Data2(), FertiliserProducts[[#Headers],[Company]],31)</f>
        <v>Nitrogen - Generic</v>
      </c>
      <c r="R122" s="148" cm="1">
        <f t="array" ref="R122">Common_InputFunctions.Utility_DisplayArrayInTable(Fertiliser_SourceData.Fertiliser_Products_Data2(), FertiliserProducts[[#Headers],[Company]],31)</f>
        <v>0.11</v>
      </c>
      <c r="S122" s="148" t="str" cm="1">
        <f t="array" ref="S122">Common_InputFunctions.Utility_DisplayArrayInTable(Fertiliser_SourceData.Fertiliser_Products_Data2(), FertiliserProducts[[#Headers],[Company]],31)</f>
        <v>Sulfur - Generic</v>
      </c>
      <c r="T122" s="148" cm="1">
        <f t="array" ref="T122">Common_InputFunctions.Utility_DisplayArrayInTable(Fertiliser_SourceData.Fertiliser_Products_Data2(), FertiliserProducts[[#Headers],[Company]],31)</f>
        <v>0.04</v>
      </c>
      <c r="U122" s="148" t="str" cm="1">
        <f t="array" ref="U122">Common_InputFunctions.Utility_DisplayArrayInTable(Fertiliser_SourceData.Fertiliser_Products_Data2(), FertiliserProducts[[#Headers],[Company]],31)</f>
        <v>Fluoride</v>
      </c>
      <c r="V122" s="148" cm="1">
        <f t="array" ref="V122">Common_InputFunctions.Utility_DisplayArrayInTable(Fertiliser_SourceData.Fertiliser_Products_Data2(), FertiliserProducts[[#Headers],[Company]],31)</f>
        <v>0.03</v>
      </c>
      <c r="W122" s="148" t="str" cm="1">
        <f t="array" ref="W122">Common_InputFunctions.Utility_DisplayArrayInTable(Fertiliser_SourceData.Fertiliser_Products_Data2(), FertiliserProducts[[#Headers],[Company]],31)</f>
        <v>Zinc</v>
      </c>
      <c r="X122" s="148" cm="1">
        <f t="array" ref="X122">Common_InputFunctions.Utility_DisplayArrayInTable(Fertiliser_SourceData.Fertiliser_Products_Data2(), FertiliserProducts[[#Headers],[Company]],31)</f>
        <v>0.01</v>
      </c>
      <c r="Y122" s="148" t="str" cm="1">
        <f t="array" ref="Y122">Common_InputFunctions.Utility_DisplayArrayInTable(Fertiliser_SourceData.Fertiliser_Products_Data2(), FertiliserProducts[[#Headers],[Company]],31)</f>
        <v/>
      </c>
      <c r="Z122" s="148" t="str" cm="1">
        <f t="array" ref="Z122">Common_InputFunctions.Utility_DisplayArrayInTable(Fertiliser_SourceData.Fertiliser_Products_Data2(), FertiliserProducts[[#Headers],[Company]],31)</f>
        <v/>
      </c>
      <c r="AA122" s="148" t="str" cm="1">
        <f t="array" ref="AA122">Common_InputFunctions.Utility_DisplayArrayInTable(Fertiliser_SourceData.Fertiliser_Products_Data2(), FertiliserProducts[[#Headers],[Company]],31)</f>
        <v/>
      </c>
      <c r="AB122" s="148" t="str" cm="1">
        <f t="array" ref="AB122">Common_InputFunctions.Utility_DisplayArrayInTable(Fertiliser_SourceData.Fertiliser_Products_Data2(), FertiliserProducts[[#Headers],[Company]],31)</f>
        <v/>
      </c>
      <c r="AC122" s="148" t="str" cm="1">
        <f t="array" ref="AC122">Common_InputFunctions.Utility_DisplayArrayInTable(Fertiliser_SourceData.Fertiliser_Products_Data2(), FertiliserProducts[[#Headers],[Company]],31)</f>
        <v/>
      </c>
      <c r="AD122" s="148" t="str" cm="1">
        <f t="array" ref="AD122">Common_InputFunctions.Utility_DisplayArrayInTable(Fertiliser_SourceData.Fertiliser_Products_Data2(), FertiliserProducts[[#Headers],[Company]],31)</f>
        <v/>
      </c>
      <c r="AE122" s="148" t="str" cm="1">
        <f t="array" ref="AE122">Common_InputFunctions.Utility_DisplayArrayInTable(Fertiliser_SourceData.Fertiliser_Products_Data2(), FertiliserProducts[[#Headers],[Company]],31)</f>
        <v/>
      </c>
      <c r="AF122" s="148" t="str" cm="1">
        <f t="array" ref="AF122">Common_InputFunctions.Utility_DisplayArrayInTable(Fertiliser_SourceData.Fertiliser_Products_Data2(), FertiliserProducts[[#Headers],[Company]],31)</f>
        <v/>
      </c>
      <c r="AG122" s="148" t="str" cm="1">
        <f t="array" ref="AG122">Common_InputFunctions.Utility_DisplayArrayInTable(Fertiliser_SourceData.Fertiliser_Products_Data2(), FertiliserProducts[[#Headers],[Company]],31)</f>
        <v/>
      </c>
      <c r="AH122" s="148" t="str" cm="1">
        <f t="array" ref="AH122">Common_InputFunctions.Utility_DisplayArrayInTable(Fertiliser_SourceData.Fertiliser_Products_Data2(), FertiliserProducts[[#Headers],[Company]],31)</f>
        <v/>
      </c>
      <c r="AK122" s="1"/>
      <c r="AL122" s="1"/>
      <c r="AM122" s="1"/>
    </row>
    <row r="123" spans="1:39" ht="20.100000000000001" customHeight="1" x14ac:dyDescent="0.2">
      <c r="D123" s="148" t="str" cm="1">
        <f t="array" ref="D123">Common_InputFunctions.Utility_DisplayArrayInTable(Fertiliser_SourceData.Fertiliser_Products_Data2(), FertiliserProducts[[#Headers],[Company]],31)</f>
        <v>Incitec Pivot Fertilisers</v>
      </c>
      <c r="E123" s="148" t="str" cm="1">
        <f t="array" ref="E123">Common_InputFunctions.Utility_DisplayArrayInTable(Fertiliser_SourceData.Fertiliser_Products_Data2(), FertiliserProducts[[#Headers],[Company]],31)</f>
        <v>Farm Ag Leichhardt</v>
      </c>
      <c r="F123" s="148" t="str" cm="1">
        <f t="array" ref="F123">Common_InputFunctions.Utility_DisplayArrayInTable(Fertiliser_SourceData.Fertiliser_Products_Data2(), FertiliserProducts[[#Headers],[Company]],31)</f>
        <v>kg</v>
      </c>
      <c r="G123" s="148" cm="1">
        <f t="array" ref="G123">Common_InputFunctions.Utility_DisplayArrayInTable(Fertiliser_SourceData.Fertiliser_Products_Data2(), FertiliserProducts[[#Headers],[Company]],31)</f>
        <v>1</v>
      </c>
      <c r="H123" s="148" t="str" cm="1">
        <f t="array" ref="H123">Common_InputFunctions.Utility_DisplayArrayInTable(Fertiliser_SourceData.Fertiliser_Products_Data2(), FertiliserProducts[[#Headers],[Company]],31)</f>
        <v/>
      </c>
      <c r="I123" s="148" t="str" cm="1">
        <f t="array" ref="I123">Common_InputFunctions.Utility_DisplayArrayInTable(Fertiliser_SourceData.Fertiliser_Products_Data2(), FertiliserProducts[[#Headers],[Company]],31)</f>
        <v/>
      </c>
      <c r="J123" s="148" t="str" cm="1">
        <f t="array" ref="J123">Common_InputFunctions.Utility_DisplayArrayInTable(Fertiliser_SourceData.Fertiliser_Products_Data2(), FertiliserProducts[[#Headers],[Company]],31)</f>
        <v/>
      </c>
      <c r="K123" s="148" cm="1">
        <f t="array" ref="K123">Common_InputFunctions.Utility_DisplayArrayInTable(Fertiliser_SourceData.Fertiliser_Products_Data2(), FertiliserProducts[[#Headers],[Company]],31)</f>
        <v>32.5</v>
      </c>
      <c r="L123" s="148" cm="1">
        <f t="array" ref="L123">Common_InputFunctions.Utility_DisplayArrayInTable(Fertiliser_SourceData.Fertiliser_Products_Data2(), FertiliserProducts[[#Headers],[Company]],31)</f>
        <v>5.4</v>
      </c>
      <c r="M123" s="148" cm="1">
        <f t="array" ref="M123">Common_InputFunctions.Utility_DisplayArrayInTable(Fertiliser_SourceData.Fertiliser_Products_Data2(), FertiliserProducts[[#Headers],[Company]],31)</f>
        <v>6.25</v>
      </c>
      <c r="N123" s="148" t="str" cm="1">
        <f t="array" ref="N123">Common_InputFunctions.Utility_DisplayArrayInTable(Fertiliser_SourceData.Fertiliser_Products_Data2(), FertiliserProducts[[#Headers],[Company]],31)</f>
        <v/>
      </c>
      <c r="O123" s="148" t="str" cm="1">
        <f t="array" ref="O123">Common_InputFunctions.Utility_DisplayArrayInTable(Fertiliser_SourceData.Fertiliser_Products_Data2(), FertiliserProducts[[#Headers],[Company]],31)</f>
        <v>Urea</v>
      </c>
      <c r="P123" s="148" cm="1">
        <f t="array" ref="P123">Common_InputFunctions.Utility_DisplayArrayInTable(Fertiliser_SourceData.Fertiliser_Products_Data2(), FertiliserProducts[[#Headers],[Company]],31)</f>
        <v>0.6</v>
      </c>
      <c r="Q123" s="148" t="str" cm="1">
        <f t="array" ref="Q123">Common_InputFunctions.Utility_DisplayArrayInTable(Fertiliser_SourceData.Fertiliser_Products_Data2(), FertiliserProducts[[#Headers],[Company]],31)</f>
        <v>Nitrogen - Ammoniacal</v>
      </c>
      <c r="R123" s="148" cm="1">
        <f t="array" ref="R123">Common_InputFunctions.Utility_DisplayArrayInTable(Fertiliser_SourceData.Fertiliser_Products_Data2(), FertiliserProducts[[#Headers],[Company]],31)</f>
        <v>4.9000000000000002E-2</v>
      </c>
      <c r="S123" s="148" t="str" cm="1">
        <f t="array" ref="S123">Common_InputFunctions.Utility_DisplayArrayInTable(Fertiliser_SourceData.Fertiliser_Products_Data2(), FertiliserProducts[[#Headers],[Company]],31)</f>
        <v>Phosphorus - Generic</v>
      </c>
      <c r="T123" s="148" cm="1">
        <f t="array" ref="T123">Common_InputFunctions.Utility_DisplayArrayInTable(Fertiliser_SourceData.Fertiliser_Products_Data2(), FertiliserProducts[[#Headers],[Company]],31)</f>
        <v>5.3999999999999999E-2</v>
      </c>
      <c r="U123" s="148" t="str" cm="1">
        <f t="array" ref="U123">Common_InputFunctions.Utility_DisplayArrayInTable(Fertiliser_SourceData.Fertiliser_Products_Data2(), FertiliserProducts[[#Headers],[Company]],31)</f>
        <v>Muriate of potash (MOP)</v>
      </c>
      <c r="V123" s="148" cm="1">
        <f t="array" ref="V123">Common_InputFunctions.Utility_DisplayArrayInTable(Fertiliser_SourceData.Fertiliser_Products_Data2(), FertiliserProducts[[#Headers],[Company]],31)</f>
        <v>0.125</v>
      </c>
      <c r="W123" s="148" t="str" cm="1">
        <f t="array" ref="W123">Common_InputFunctions.Utility_DisplayArrayInTable(Fertiliser_SourceData.Fertiliser_Products_Data2(), FertiliserProducts[[#Headers],[Company]],31)</f>
        <v/>
      </c>
      <c r="X123" s="148" t="str" cm="1">
        <f t="array" ref="X123">Common_InputFunctions.Utility_DisplayArrayInTable(Fertiliser_SourceData.Fertiliser_Products_Data2(), FertiliserProducts[[#Headers],[Company]],31)</f>
        <v/>
      </c>
      <c r="Y123" s="148" t="str" cm="1">
        <f t="array" ref="Y123">Common_InputFunctions.Utility_DisplayArrayInTable(Fertiliser_SourceData.Fertiliser_Products_Data2(), FertiliserProducts[[#Headers],[Company]],31)</f>
        <v/>
      </c>
      <c r="Z123" s="148" t="str" cm="1">
        <f t="array" ref="Z123">Common_InputFunctions.Utility_DisplayArrayInTable(Fertiliser_SourceData.Fertiliser_Products_Data2(), FertiliserProducts[[#Headers],[Company]],31)</f>
        <v/>
      </c>
      <c r="AA123" s="148" t="str" cm="1">
        <f t="array" ref="AA123">Common_InputFunctions.Utility_DisplayArrayInTable(Fertiliser_SourceData.Fertiliser_Products_Data2(), FertiliserProducts[[#Headers],[Company]],31)</f>
        <v/>
      </c>
      <c r="AB123" s="148" t="str" cm="1">
        <f t="array" ref="AB123">Common_InputFunctions.Utility_DisplayArrayInTable(Fertiliser_SourceData.Fertiliser_Products_Data2(), FertiliserProducts[[#Headers],[Company]],31)</f>
        <v/>
      </c>
      <c r="AC123" s="148" t="str" cm="1">
        <f t="array" ref="AC123">Common_InputFunctions.Utility_DisplayArrayInTable(Fertiliser_SourceData.Fertiliser_Products_Data2(), FertiliserProducts[[#Headers],[Company]],31)</f>
        <v/>
      </c>
      <c r="AD123" s="148" t="str" cm="1">
        <f t="array" ref="AD123">Common_InputFunctions.Utility_DisplayArrayInTable(Fertiliser_SourceData.Fertiliser_Products_Data2(), FertiliserProducts[[#Headers],[Company]],31)</f>
        <v/>
      </c>
      <c r="AE123" s="148" t="str" cm="1">
        <f t="array" ref="AE123">Common_InputFunctions.Utility_DisplayArrayInTable(Fertiliser_SourceData.Fertiliser_Products_Data2(), FertiliserProducts[[#Headers],[Company]],31)</f>
        <v/>
      </c>
      <c r="AF123" s="148" t="str" cm="1">
        <f t="array" ref="AF123">Common_InputFunctions.Utility_DisplayArrayInTable(Fertiliser_SourceData.Fertiliser_Products_Data2(), FertiliserProducts[[#Headers],[Company]],31)</f>
        <v/>
      </c>
      <c r="AG123" s="148" t="str" cm="1">
        <f t="array" ref="AG123">Common_InputFunctions.Utility_DisplayArrayInTable(Fertiliser_SourceData.Fertiliser_Products_Data2(), FertiliserProducts[[#Headers],[Company]],31)</f>
        <v/>
      </c>
      <c r="AH123" s="148" t="str" cm="1">
        <f t="array" ref="AH123">Common_InputFunctions.Utility_DisplayArrayInTable(Fertiliser_SourceData.Fertiliser_Products_Data2(), FertiliserProducts[[#Headers],[Company]],31)</f>
        <v/>
      </c>
      <c r="AK123" s="1"/>
      <c r="AL123" s="1"/>
      <c r="AM123" s="1"/>
    </row>
    <row r="124" spans="1:39" ht="20.100000000000001" customHeight="1" x14ac:dyDescent="0.2">
      <c r="D124" s="148" t="str" cm="1">
        <f t="array" ref="D124">Common_InputFunctions.Utility_DisplayArrayInTable(Fertiliser_SourceData.Fertiliser_Products_Data2(), FertiliserProducts[[#Headers],[Company]],31)</f>
        <v>Ravensdown</v>
      </c>
      <c r="E124" s="148" t="str" cm="1">
        <f t="array" ref="E124">Common_InputFunctions.Utility_DisplayArrayInTable(Fertiliser_SourceData.Fertiliser_Products_Data2(), FertiliserProducts[[#Headers],[Company]],31)</f>
        <v>Flexi-N NBPT</v>
      </c>
      <c r="F124" s="148" t="str" cm="1">
        <f t="array" ref="F124">Common_InputFunctions.Utility_DisplayArrayInTable(Fertiliser_SourceData.Fertiliser_Products_Data2(), FertiliserProducts[[#Headers],[Company]],31)</f>
        <v>kg</v>
      </c>
      <c r="G124" s="148" cm="1">
        <f t="array" ref="G124">Common_InputFunctions.Utility_DisplayArrayInTable(Fertiliser_SourceData.Fertiliser_Products_Data2(), FertiliserProducts[[#Headers],[Company]],31)</f>
        <v>1</v>
      </c>
      <c r="H124" s="148" t="str" cm="1">
        <f t="array" ref="H124">Common_InputFunctions.Utility_DisplayArrayInTable(Fertiliser_SourceData.Fertiliser_Products_Data2(), FertiliserProducts[[#Headers],[Company]],31)</f>
        <v>Yes</v>
      </c>
      <c r="I124" s="148" t="str" cm="1">
        <f t="array" ref="I124">Common_InputFunctions.Utility_DisplayArrayInTable(Fertiliser_SourceData.Fertiliser_Products_Data2(), FertiliserProducts[[#Headers],[Company]],31)</f>
        <v/>
      </c>
      <c r="J124" s="148" t="str" cm="1">
        <f t="array" ref="J124">Common_InputFunctions.Utility_DisplayArrayInTable(Fertiliser_SourceData.Fertiliser_Products_Data2(), FertiliserProducts[[#Headers],[Company]],31)</f>
        <v/>
      </c>
      <c r="K124" s="148" cm="1">
        <f t="array" ref="K124">Common_InputFunctions.Utility_DisplayArrayInTable(Fertiliser_SourceData.Fertiliser_Products_Data2(), FertiliserProducts[[#Headers],[Company]],31)</f>
        <v>45.54</v>
      </c>
      <c r="L124" s="148" t="str" cm="1">
        <f t="array" ref="L124">Common_InputFunctions.Utility_DisplayArrayInTable(Fertiliser_SourceData.Fertiliser_Products_Data2(), FertiliserProducts[[#Headers],[Company]],31)</f>
        <v/>
      </c>
      <c r="M124" s="148" t="str" cm="1">
        <f t="array" ref="M124">Common_InputFunctions.Utility_DisplayArrayInTable(Fertiliser_SourceData.Fertiliser_Products_Data2(), FertiliserProducts[[#Headers],[Company]],31)</f>
        <v/>
      </c>
      <c r="N124" s="148" t="str" cm="1">
        <f t="array" ref="N124">Common_InputFunctions.Utility_DisplayArrayInTable(Fertiliser_SourceData.Fertiliser_Products_Data2(), FertiliserProducts[[#Headers],[Company]],31)</f>
        <v/>
      </c>
      <c r="O124" s="148" t="str" cm="1">
        <f t="array" ref="O124">Common_InputFunctions.Utility_DisplayArrayInTable(Fertiliser_SourceData.Fertiliser_Products_Data2(), FertiliserProducts[[#Headers],[Company]],31)</f>
        <v>Urea</v>
      </c>
      <c r="P124" s="148" cm="1">
        <f t="array" ref="P124">Common_InputFunctions.Utility_DisplayArrayInTable(Fertiliser_SourceData.Fertiliser_Products_Data2(), FertiliserProducts[[#Headers],[Company]],31)</f>
        <v>0.99</v>
      </c>
      <c r="Q124" s="148" t="str" cm="1">
        <f t="array" ref="Q124">Common_InputFunctions.Utility_DisplayArrayInTable(Fertiliser_SourceData.Fertiliser_Products_Data2(), FertiliserProducts[[#Headers],[Company]],31)</f>
        <v/>
      </c>
      <c r="R124" s="148" t="str" cm="1">
        <f t="array" ref="R124">Common_InputFunctions.Utility_DisplayArrayInTable(Fertiliser_SourceData.Fertiliser_Products_Data2(), FertiliserProducts[[#Headers],[Company]],31)</f>
        <v/>
      </c>
      <c r="S124" s="148" t="str" cm="1">
        <f t="array" ref="S124">Common_InputFunctions.Utility_DisplayArrayInTable(Fertiliser_SourceData.Fertiliser_Products_Data2(), FertiliserProducts[[#Headers],[Company]],31)</f>
        <v/>
      </c>
      <c r="T124" s="148" t="str" cm="1">
        <f t="array" ref="T124">Common_InputFunctions.Utility_DisplayArrayInTable(Fertiliser_SourceData.Fertiliser_Products_Data2(), FertiliserProducts[[#Headers],[Company]],31)</f>
        <v/>
      </c>
      <c r="U124" s="148" t="str" cm="1">
        <f t="array" ref="U124">Common_InputFunctions.Utility_DisplayArrayInTable(Fertiliser_SourceData.Fertiliser_Products_Data2(), FertiliserProducts[[#Headers],[Company]],31)</f>
        <v/>
      </c>
      <c r="V124" s="148" t="str" cm="1">
        <f t="array" ref="V124">Common_InputFunctions.Utility_DisplayArrayInTable(Fertiliser_SourceData.Fertiliser_Products_Data2(), FertiliserProducts[[#Headers],[Company]],31)</f>
        <v/>
      </c>
      <c r="W124" s="148" t="str" cm="1">
        <f t="array" ref="W124">Common_InputFunctions.Utility_DisplayArrayInTable(Fertiliser_SourceData.Fertiliser_Products_Data2(), FertiliserProducts[[#Headers],[Company]],31)</f>
        <v/>
      </c>
      <c r="X124" s="148" t="str" cm="1">
        <f t="array" ref="X124">Common_InputFunctions.Utility_DisplayArrayInTable(Fertiliser_SourceData.Fertiliser_Products_Data2(), FertiliserProducts[[#Headers],[Company]],31)</f>
        <v/>
      </c>
      <c r="Y124" s="148" t="str" cm="1">
        <f t="array" ref="Y124">Common_InputFunctions.Utility_DisplayArrayInTable(Fertiliser_SourceData.Fertiliser_Products_Data2(), FertiliserProducts[[#Headers],[Company]],31)</f>
        <v/>
      </c>
      <c r="Z124" s="148" t="str" cm="1">
        <f t="array" ref="Z124">Common_InputFunctions.Utility_DisplayArrayInTable(Fertiliser_SourceData.Fertiliser_Products_Data2(), FertiliserProducts[[#Headers],[Company]],31)</f>
        <v/>
      </c>
      <c r="AA124" s="148" t="str" cm="1">
        <f t="array" ref="AA124">Common_InputFunctions.Utility_DisplayArrayInTable(Fertiliser_SourceData.Fertiliser_Products_Data2(), FertiliserProducts[[#Headers],[Company]],31)</f>
        <v/>
      </c>
      <c r="AB124" s="148" t="str" cm="1">
        <f t="array" ref="AB124">Common_InputFunctions.Utility_DisplayArrayInTable(Fertiliser_SourceData.Fertiliser_Products_Data2(), FertiliserProducts[[#Headers],[Company]],31)</f>
        <v/>
      </c>
      <c r="AC124" s="148" t="str" cm="1">
        <f t="array" ref="AC124">Common_InputFunctions.Utility_DisplayArrayInTable(Fertiliser_SourceData.Fertiliser_Products_Data2(), FertiliserProducts[[#Headers],[Company]],31)</f>
        <v/>
      </c>
      <c r="AD124" s="148" t="str" cm="1">
        <f t="array" ref="AD124">Common_InputFunctions.Utility_DisplayArrayInTable(Fertiliser_SourceData.Fertiliser_Products_Data2(), FertiliserProducts[[#Headers],[Company]],31)</f>
        <v/>
      </c>
      <c r="AE124" s="148" t="str" cm="1">
        <f t="array" ref="AE124">Common_InputFunctions.Utility_DisplayArrayInTable(Fertiliser_SourceData.Fertiliser_Products_Data2(), FertiliserProducts[[#Headers],[Company]],31)</f>
        <v/>
      </c>
      <c r="AF124" s="148" t="str" cm="1">
        <f t="array" ref="AF124">Common_InputFunctions.Utility_DisplayArrayInTable(Fertiliser_SourceData.Fertiliser_Products_Data2(), FertiliserProducts[[#Headers],[Company]],31)</f>
        <v/>
      </c>
      <c r="AG124" s="148" t="str" cm="1">
        <f t="array" ref="AG124">Common_InputFunctions.Utility_DisplayArrayInTable(Fertiliser_SourceData.Fertiliser_Products_Data2(), FertiliserProducts[[#Headers],[Company]],31)</f>
        <v/>
      </c>
      <c r="AH124" s="148" t="str" cm="1">
        <f t="array" ref="AH124">Common_InputFunctions.Utility_DisplayArrayInTable(Fertiliser_SourceData.Fertiliser_Products_Data2(), FertiliserProducts[[#Headers],[Company]],31)</f>
        <v/>
      </c>
      <c r="AK124" s="1"/>
      <c r="AL124" s="1"/>
      <c r="AM124" s="1"/>
    </row>
    <row r="125" spans="1:39" ht="20.100000000000001" customHeight="1" x14ac:dyDescent="0.2">
      <c r="D125" s="148" t="str" cm="1">
        <f t="array" ref="D125">Common_InputFunctions.Utility_DisplayArrayInTable(Fertiliser_SourceData.Fertiliser_Products_Data2(), FertiliserProducts[[#Headers],[Company]],31)</f>
        <v>Campbells fertilisers Australia</v>
      </c>
      <c r="E125" s="148" t="str" cm="1">
        <f t="array" ref="E125">Common_InputFunctions.Utility_DisplayArrayInTable(Fertiliser_SourceData.Fertiliser_Products_Data2(), FertiliserProducts[[#Headers],[Company]],31)</f>
        <v>Gold Premium</v>
      </c>
      <c r="F125" s="148" t="str" cm="1">
        <f t="array" ref="F125">Common_InputFunctions.Utility_DisplayArrayInTable(Fertiliser_SourceData.Fertiliser_Products_Data2(), FertiliserProducts[[#Headers],[Company]],31)</f>
        <v>kg</v>
      </c>
      <c r="G125" s="148" cm="1">
        <f t="array" ref="G125">Common_InputFunctions.Utility_DisplayArrayInTable(Fertiliser_SourceData.Fertiliser_Products_Data2(), FertiliserProducts[[#Headers],[Company]],31)</f>
        <v>1</v>
      </c>
      <c r="H125" s="148" t="str" cm="1">
        <f t="array" ref="H125">Common_InputFunctions.Utility_DisplayArrayInTable(Fertiliser_SourceData.Fertiliser_Products_Data2(), FertiliserProducts[[#Headers],[Company]],31)</f>
        <v/>
      </c>
      <c r="I125" s="148" t="str" cm="1">
        <f t="array" ref="I125">Common_InputFunctions.Utility_DisplayArrayInTable(Fertiliser_SourceData.Fertiliser_Products_Data2(), FertiliserProducts[[#Headers],[Company]],31)</f>
        <v/>
      </c>
      <c r="J125" s="148" t="str" cm="1">
        <f t="array" ref="J125">Common_InputFunctions.Utility_DisplayArrayInTable(Fertiliser_SourceData.Fertiliser_Products_Data2(), FertiliserProducts[[#Headers],[Company]],31)</f>
        <v/>
      </c>
      <c r="K125" s="148" cm="1">
        <f t="array" ref="K125">Common_InputFunctions.Utility_DisplayArrayInTable(Fertiliser_SourceData.Fertiliser_Products_Data2(), FertiliserProducts[[#Headers],[Company]],31)</f>
        <v>14.87</v>
      </c>
      <c r="L125" s="148" cm="1">
        <f t="array" ref="L125">Common_InputFunctions.Utility_DisplayArrayInTable(Fertiliser_SourceData.Fertiliser_Products_Data2(), FertiliserProducts[[#Headers],[Company]],31)</f>
        <v>2.2000000000000002</v>
      </c>
      <c r="M125" s="148" cm="1">
        <f t="array" ref="M125">Common_InputFunctions.Utility_DisplayArrayInTable(Fertiliser_SourceData.Fertiliser_Products_Data2(), FertiliserProducts[[#Headers],[Company]],31)</f>
        <v>16.600000000000001</v>
      </c>
      <c r="N125" s="148" cm="1">
        <f t="array" ref="N125">Common_InputFunctions.Utility_DisplayArrayInTable(Fertiliser_SourceData.Fertiliser_Products_Data2(), FertiliserProducts[[#Headers],[Company]],31)</f>
        <v>8</v>
      </c>
      <c r="O125" s="148" t="str" cm="1">
        <f t="array" ref="O125">Common_InputFunctions.Utility_DisplayArrayInTable(Fertiliser_SourceData.Fertiliser_Products_Data2(), FertiliserProducts[[#Headers],[Company]],31)</f>
        <v>Ammonium nitrate (AN)</v>
      </c>
      <c r="P125" s="148" cm="1">
        <f t="array" ref="P125">Common_InputFunctions.Utility_DisplayArrayInTable(Fertiliser_SourceData.Fertiliser_Products_Data2(), FertiliserProducts[[#Headers],[Company]],31)</f>
        <v>0.44117600000000001</v>
      </c>
      <c r="Q125" s="148" t="str" cm="1">
        <f t="array" ref="Q125">Common_InputFunctions.Utility_DisplayArrayInTable(Fertiliser_SourceData.Fertiliser_Products_Data2(), FertiliserProducts[[#Headers],[Company]],31)</f>
        <v>Potassium - Generic</v>
      </c>
      <c r="R125" s="148" cm="1">
        <f t="array" ref="R125">Common_InputFunctions.Utility_DisplayArrayInTable(Fertiliser_SourceData.Fertiliser_Products_Data2(), FertiliserProducts[[#Headers],[Company]],31)</f>
        <v>0.16600000000000001</v>
      </c>
      <c r="S125" s="148" t="str" cm="1">
        <f t="array" ref="S125">Common_InputFunctions.Utility_DisplayArrayInTable(Fertiliser_SourceData.Fertiliser_Products_Data2(), FertiliserProducts[[#Headers],[Company]],31)</f>
        <v>Sulfur - Generic</v>
      </c>
      <c r="T125" s="148" cm="1">
        <f t="array" ref="T125">Common_InputFunctions.Utility_DisplayArrayInTable(Fertiliser_SourceData.Fertiliser_Products_Data2(), FertiliserProducts[[#Headers],[Company]],31)</f>
        <v>0.08</v>
      </c>
      <c r="U125" s="148" t="str" cm="1">
        <f t="array" ref="U125">Common_InputFunctions.Utility_DisplayArrayInTable(Fertiliser_SourceData.Fertiliser_Products_Data2(), FertiliserProducts[[#Headers],[Company]],31)</f>
        <v>Phosphorus - Generic</v>
      </c>
      <c r="V125" s="148" cm="1">
        <f t="array" ref="V125">Common_InputFunctions.Utility_DisplayArrayInTable(Fertiliser_SourceData.Fertiliser_Products_Data2(), FertiliserProducts[[#Headers],[Company]],31)</f>
        <v>2.1999999999999999E-2</v>
      </c>
      <c r="W125" s="148" t="str" cm="1">
        <f t="array" ref="W125">Common_InputFunctions.Utility_DisplayArrayInTable(Fertiliser_SourceData.Fertiliser_Products_Data2(), FertiliserProducts[[#Headers],[Company]],31)</f>
        <v>Magnesium</v>
      </c>
      <c r="X125" s="148" cm="1">
        <f t="array" ref="X125">Common_InputFunctions.Utility_DisplayArrayInTable(Fertiliser_SourceData.Fertiliser_Products_Data2(), FertiliserProducts[[#Headers],[Company]],31)</f>
        <v>1.2E-2</v>
      </c>
      <c r="Y125" s="148" t="str" cm="1">
        <f t="array" ref="Y125">Common_InputFunctions.Utility_DisplayArrayInTable(Fertiliser_SourceData.Fertiliser_Products_Data2(), FertiliserProducts[[#Headers],[Company]],31)</f>
        <v>Boron</v>
      </c>
      <c r="Z125" s="148" cm="1">
        <f t="array" ref="Z125">Common_InputFunctions.Utility_DisplayArrayInTable(Fertiliser_SourceData.Fertiliser_Products_Data2(), FertiliserProducts[[#Headers],[Company]],31)</f>
        <v>2.0000000000000001E-4</v>
      </c>
      <c r="AA125" s="148" t="str" cm="1">
        <f t="array" ref="AA125">Common_InputFunctions.Utility_DisplayArrayInTable(Fertiliser_SourceData.Fertiliser_Products_Data2(), FertiliserProducts[[#Headers],[Company]],31)</f>
        <v>Zinc</v>
      </c>
      <c r="AB125" s="148" cm="1">
        <f t="array" ref="AB125">Common_InputFunctions.Utility_DisplayArrayInTable(Fertiliser_SourceData.Fertiliser_Products_Data2(), FertiliserProducts[[#Headers],[Company]],31)</f>
        <v>1E-4</v>
      </c>
      <c r="AC125" s="148" t="str" cm="1">
        <f t="array" ref="AC125">Common_InputFunctions.Utility_DisplayArrayInTable(Fertiliser_SourceData.Fertiliser_Products_Data2(), FertiliserProducts[[#Headers],[Company]],31)</f>
        <v/>
      </c>
      <c r="AD125" s="148" t="str" cm="1">
        <f t="array" ref="AD125">Common_InputFunctions.Utility_DisplayArrayInTable(Fertiliser_SourceData.Fertiliser_Products_Data2(), FertiliserProducts[[#Headers],[Company]],31)</f>
        <v/>
      </c>
      <c r="AE125" s="148" t="str" cm="1">
        <f t="array" ref="AE125">Common_InputFunctions.Utility_DisplayArrayInTable(Fertiliser_SourceData.Fertiliser_Products_Data2(), FertiliserProducts[[#Headers],[Company]],31)</f>
        <v/>
      </c>
      <c r="AF125" s="148" t="str" cm="1">
        <f t="array" ref="AF125">Common_InputFunctions.Utility_DisplayArrayInTable(Fertiliser_SourceData.Fertiliser_Products_Data2(), FertiliserProducts[[#Headers],[Company]],31)</f>
        <v/>
      </c>
      <c r="AG125" s="148" t="str" cm="1">
        <f t="array" ref="AG125">Common_InputFunctions.Utility_DisplayArrayInTable(Fertiliser_SourceData.Fertiliser_Products_Data2(), FertiliserProducts[[#Headers],[Company]],31)</f>
        <v/>
      </c>
      <c r="AH125" s="148" t="str" cm="1">
        <f t="array" ref="AH125">Common_InputFunctions.Utility_DisplayArrayInTable(Fertiliser_SourceData.Fertiliser_Products_Data2(), FertiliserProducts[[#Headers],[Company]],31)</f>
        <v/>
      </c>
      <c r="AK125" s="1"/>
      <c r="AL125" s="1"/>
      <c r="AM125" s="1"/>
    </row>
    <row r="126" spans="1:39" ht="20.100000000000001" customHeight="1" x14ac:dyDescent="0.2">
      <c r="D126" s="148" t="str" cm="1">
        <f t="array" ref="D126">Common_InputFunctions.Utility_DisplayArrayInTable(Fertiliser_SourceData.Fertiliser_Products_Data2(), FertiliserProducts[[#Headers],[Company]],31)</f>
        <v>SL Tec</v>
      </c>
      <c r="E126" s="148" t="str" cm="1">
        <f t="array" ref="E126">Common_InputFunctions.Utility_DisplayArrayInTable(Fertiliser_SourceData.Fertiliser_Products_Data2(), FertiliserProducts[[#Headers],[Company]],31)</f>
        <v>High NS</v>
      </c>
      <c r="F126" s="148" t="str" cm="1">
        <f t="array" ref="F126">Common_InputFunctions.Utility_DisplayArrayInTable(Fertiliser_SourceData.Fertiliser_Products_Data2(), FertiliserProducts[[#Headers],[Company]],31)</f>
        <v>L</v>
      </c>
      <c r="G126" s="148" cm="1">
        <f t="array" ref="G126">Common_InputFunctions.Utility_DisplayArrayInTable(Fertiliser_SourceData.Fertiliser_Products_Data2(), FertiliserProducts[[#Headers],[Company]],31)</f>
        <v>1.2989999999999999</v>
      </c>
      <c r="H126" s="148" t="str" cm="1">
        <f t="array" ref="H126">Common_InputFunctions.Utility_DisplayArrayInTable(Fertiliser_SourceData.Fertiliser_Products_Data2(), FertiliserProducts[[#Headers],[Company]],31)</f>
        <v/>
      </c>
      <c r="I126" s="148" t="str" cm="1">
        <f t="array" ref="I126">Common_InputFunctions.Utility_DisplayArrayInTable(Fertiliser_SourceData.Fertiliser_Products_Data2(), FertiliserProducts[[#Headers],[Company]],31)</f>
        <v/>
      </c>
      <c r="J126" s="148" t="str" cm="1">
        <f t="array" ref="J126">Common_InputFunctions.Utility_DisplayArrayInTable(Fertiliser_SourceData.Fertiliser_Products_Data2(), FertiliserProducts[[#Headers],[Company]],31)</f>
        <v/>
      </c>
      <c r="K126" s="148" cm="1">
        <f t="array" ref="K126">Common_InputFunctions.Utility_DisplayArrayInTable(Fertiliser_SourceData.Fertiliser_Products_Data2(), FertiliserProducts[[#Headers],[Company]],31)</f>
        <v>38</v>
      </c>
      <c r="L126" s="148" t="str" cm="1">
        <f t="array" ref="L126">Common_InputFunctions.Utility_DisplayArrayInTable(Fertiliser_SourceData.Fertiliser_Products_Data2(), FertiliserProducts[[#Headers],[Company]],31)</f>
        <v/>
      </c>
      <c r="M126" s="148" t="str" cm="1">
        <f t="array" ref="M126">Common_InputFunctions.Utility_DisplayArrayInTable(Fertiliser_SourceData.Fertiliser_Products_Data2(), FertiliserProducts[[#Headers],[Company]],31)</f>
        <v/>
      </c>
      <c r="N126" s="148" cm="1">
        <f t="array" ref="N126">Common_InputFunctions.Utility_DisplayArrayInTable(Fertiliser_SourceData.Fertiliser_Products_Data2(), FertiliserProducts[[#Headers],[Company]],31)</f>
        <v>2</v>
      </c>
      <c r="O126" s="148" t="str" cm="1">
        <f t="array" ref="O126">Common_InputFunctions.Utility_DisplayArrayInTable(Fertiliser_SourceData.Fertiliser_Products_Data2(), FertiliserProducts[[#Headers],[Company]],31)</f>
        <v>Urea</v>
      </c>
      <c r="P126" s="148" cm="1">
        <f t="array" ref="P126">Common_InputFunctions.Utility_DisplayArrayInTable(Fertiliser_SourceData.Fertiliser_Products_Data2(), FertiliserProducts[[#Headers],[Company]],31)</f>
        <v>0.46087</v>
      </c>
      <c r="Q126" s="148" t="str" cm="1">
        <f t="array" ref="Q126">Common_InputFunctions.Utility_DisplayArrayInTable(Fertiliser_SourceData.Fertiliser_Products_Data2(), FertiliserProducts[[#Headers],[Company]],31)</f>
        <v>Nitrogen - Ammoniacal</v>
      </c>
      <c r="R126" s="148" cm="1">
        <f t="array" ref="R126">Common_InputFunctions.Utility_DisplayArrayInTable(Fertiliser_SourceData.Fertiliser_Products_Data2(), FertiliserProducts[[#Headers],[Company]],31)</f>
        <v>9.1999999999999998E-2</v>
      </c>
      <c r="S126" s="148" t="str" cm="1">
        <f t="array" ref="S126">Common_InputFunctions.Utility_DisplayArrayInTable(Fertiliser_SourceData.Fertiliser_Products_Data2(), FertiliserProducts[[#Headers],[Company]],31)</f>
        <v>Nitrogen - Nitrate</v>
      </c>
      <c r="T126" s="148" cm="1">
        <f t="array" ref="T126">Common_InputFunctions.Utility_DisplayArrayInTable(Fertiliser_SourceData.Fertiliser_Products_Data2(), FertiliserProducts[[#Headers],[Company]],31)</f>
        <v>7.5999999999999998E-2</v>
      </c>
      <c r="U126" s="148" t="str" cm="1">
        <f t="array" ref="U126">Common_InputFunctions.Utility_DisplayArrayInTable(Fertiliser_SourceData.Fertiliser_Products_Data2(), FertiliserProducts[[#Headers],[Company]],31)</f>
        <v>Sulfur - Generic</v>
      </c>
      <c r="V126" s="148" cm="1">
        <f t="array" ref="V126">Common_InputFunctions.Utility_DisplayArrayInTable(Fertiliser_SourceData.Fertiliser_Products_Data2(), FertiliserProducts[[#Headers],[Company]],31)</f>
        <v>0.02</v>
      </c>
      <c r="W126" s="148" t="str" cm="1">
        <f t="array" ref="W126">Common_InputFunctions.Utility_DisplayArrayInTable(Fertiliser_SourceData.Fertiliser_Products_Data2(), FertiliserProducts[[#Headers],[Company]],31)</f>
        <v/>
      </c>
      <c r="X126" s="148" t="str" cm="1">
        <f t="array" ref="X126">Common_InputFunctions.Utility_DisplayArrayInTable(Fertiliser_SourceData.Fertiliser_Products_Data2(), FertiliserProducts[[#Headers],[Company]],31)</f>
        <v/>
      </c>
      <c r="Y126" s="148" t="str" cm="1">
        <f t="array" ref="Y126">Common_InputFunctions.Utility_DisplayArrayInTable(Fertiliser_SourceData.Fertiliser_Products_Data2(), FertiliserProducts[[#Headers],[Company]],31)</f>
        <v/>
      </c>
      <c r="Z126" s="148" t="str" cm="1">
        <f t="array" ref="Z126">Common_InputFunctions.Utility_DisplayArrayInTable(Fertiliser_SourceData.Fertiliser_Products_Data2(), FertiliserProducts[[#Headers],[Company]],31)</f>
        <v/>
      </c>
      <c r="AA126" s="148" t="str" cm="1">
        <f t="array" ref="AA126">Common_InputFunctions.Utility_DisplayArrayInTable(Fertiliser_SourceData.Fertiliser_Products_Data2(), FertiliserProducts[[#Headers],[Company]],31)</f>
        <v/>
      </c>
      <c r="AB126" s="148" t="str" cm="1">
        <f t="array" ref="AB126">Common_InputFunctions.Utility_DisplayArrayInTable(Fertiliser_SourceData.Fertiliser_Products_Data2(), FertiliserProducts[[#Headers],[Company]],31)</f>
        <v/>
      </c>
      <c r="AC126" s="148" t="str" cm="1">
        <f t="array" ref="AC126">Common_InputFunctions.Utility_DisplayArrayInTable(Fertiliser_SourceData.Fertiliser_Products_Data2(), FertiliserProducts[[#Headers],[Company]],31)</f>
        <v/>
      </c>
      <c r="AD126" s="148" t="str" cm="1">
        <f t="array" ref="AD126">Common_InputFunctions.Utility_DisplayArrayInTable(Fertiliser_SourceData.Fertiliser_Products_Data2(), FertiliserProducts[[#Headers],[Company]],31)</f>
        <v/>
      </c>
      <c r="AE126" s="148" t="str" cm="1">
        <f t="array" ref="AE126">Common_InputFunctions.Utility_DisplayArrayInTable(Fertiliser_SourceData.Fertiliser_Products_Data2(), FertiliserProducts[[#Headers],[Company]],31)</f>
        <v/>
      </c>
      <c r="AF126" s="148" t="str" cm="1">
        <f t="array" ref="AF126">Common_InputFunctions.Utility_DisplayArrayInTable(Fertiliser_SourceData.Fertiliser_Products_Data2(), FertiliserProducts[[#Headers],[Company]],31)</f>
        <v/>
      </c>
      <c r="AG126" s="148" t="str" cm="1">
        <f t="array" ref="AG126">Common_InputFunctions.Utility_DisplayArrayInTable(Fertiliser_SourceData.Fertiliser_Products_Data2(), FertiliserProducts[[#Headers],[Company]],31)</f>
        <v/>
      </c>
      <c r="AH126" s="148" t="str" cm="1">
        <f t="array" ref="AH126">Common_InputFunctions.Utility_DisplayArrayInTable(Fertiliser_SourceData.Fertiliser_Products_Data2(), FertiliserProducts[[#Headers],[Company]],31)</f>
        <v/>
      </c>
      <c r="AK126" s="1"/>
      <c r="AL126" s="1"/>
      <c r="AM126" s="1"/>
    </row>
    <row r="127" spans="1:39" ht="20.100000000000001" customHeight="1" x14ac:dyDescent="0.2">
      <c r="D127" s="148" t="str" cm="1">
        <f t="array" ref="D127">Common_InputFunctions.Utility_DisplayArrayInTable(Fertiliser_SourceData.Fertiliser_Products_Data2(), FertiliserProducts[[#Headers],[Company]],31)</f>
        <v>Impact Fertilisers</v>
      </c>
      <c r="E127" s="148" t="str" cm="1">
        <f t="array" ref="E127">Common_InputFunctions.Utility_DisplayArrayInTable(Fertiliser_SourceData.Fertiliser_Products_Data2(), FertiliserProducts[[#Headers],[Company]],31)</f>
        <v>Impact SSP</v>
      </c>
      <c r="F127" s="148" t="str" cm="1">
        <f t="array" ref="F127">Common_InputFunctions.Utility_DisplayArrayInTable(Fertiliser_SourceData.Fertiliser_Products_Data2(), FertiliserProducts[[#Headers],[Company]],31)</f>
        <v>kg</v>
      </c>
      <c r="G127" s="148" cm="1">
        <f t="array" ref="G127">Common_InputFunctions.Utility_DisplayArrayInTable(Fertiliser_SourceData.Fertiliser_Products_Data2(), FertiliserProducts[[#Headers],[Company]],31)</f>
        <v>1</v>
      </c>
      <c r="H127" s="148" t="str" cm="1">
        <f t="array" ref="H127">Common_InputFunctions.Utility_DisplayArrayInTable(Fertiliser_SourceData.Fertiliser_Products_Data2(), FertiliserProducts[[#Headers],[Company]],31)</f>
        <v/>
      </c>
      <c r="I127" s="148" t="str" cm="1">
        <f t="array" ref="I127">Common_InputFunctions.Utility_DisplayArrayInTable(Fertiliser_SourceData.Fertiliser_Products_Data2(), FertiliserProducts[[#Headers],[Company]],31)</f>
        <v/>
      </c>
      <c r="J127" s="148" t="str" cm="1">
        <f t="array" ref="J127">Common_InputFunctions.Utility_DisplayArrayInTable(Fertiliser_SourceData.Fertiliser_Products_Data2(), FertiliserProducts[[#Headers],[Company]],31)</f>
        <v/>
      </c>
      <c r="K127" s="148" t="str" cm="1">
        <f t="array" ref="K127">Common_InputFunctions.Utility_DisplayArrayInTable(Fertiliser_SourceData.Fertiliser_Products_Data2(), FertiliserProducts[[#Headers],[Company]],31)</f>
        <v/>
      </c>
      <c r="L127" s="148" cm="1">
        <f t="array" ref="L127">Common_InputFunctions.Utility_DisplayArrayInTable(Fertiliser_SourceData.Fertiliser_Products_Data2(), FertiliserProducts[[#Headers],[Company]],31)</f>
        <v>8.8000000000000007</v>
      </c>
      <c r="M127" s="148" t="str" cm="1">
        <f t="array" ref="M127">Common_InputFunctions.Utility_DisplayArrayInTable(Fertiliser_SourceData.Fertiliser_Products_Data2(), FertiliserProducts[[#Headers],[Company]],31)</f>
        <v/>
      </c>
      <c r="N127" s="148" cm="1">
        <f t="array" ref="N127">Common_InputFunctions.Utility_DisplayArrayInTable(Fertiliser_SourceData.Fertiliser_Products_Data2(), FertiliserProducts[[#Headers],[Company]],31)</f>
        <v>11</v>
      </c>
      <c r="O127" s="148" t="str" cm="1">
        <f t="array" ref="O127">Common_InputFunctions.Utility_DisplayArrayInTable(Fertiliser_SourceData.Fertiliser_Products_Data2(), FertiliserProducts[[#Headers],[Company]],31)</f>
        <v>Single superphosphate (SSP)</v>
      </c>
      <c r="P127" s="148" cm="1">
        <f t="array" ref="P127">Common_InputFunctions.Utility_DisplayArrayInTable(Fertiliser_SourceData.Fertiliser_Products_Data2(), FertiliserProducts[[#Headers],[Company]],31)</f>
        <v>1</v>
      </c>
      <c r="Q127" s="148" t="str" cm="1">
        <f t="array" ref="Q127">Common_InputFunctions.Utility_DisplayArrayInTable(Fertiliser_SourceData.Fertiliser_Products_Data2(), FertiliserProducts[[#Headers],[Company]],31)</f>
        <v/>
      </c>
      <c r="R127" s="148" t="str" cm="1">
        <f t="array" ref="R127">Common_InputFunctions.Utility_DisplayArrayInTable(Fertiliser_SourceData.Fertiliser_Products_Data2(), FertiliserProducts[[#Headers],[Company]],31)</f>
        <v/>
      </c>
      <c r="S127" s="148" t="str" cm="1">
        <f t="array" ref="S127">Common_InputFunctions.Utility_DisplayArrayInTable(Fertiliser_SourceData.Fertiliser_Products_Data2(), FertiliserProducts[[#Headers],[Company]],31)</f>
        <v/>
      </c>
      <c r="T127" s="148" t="str" cm="1">
        <f t="array" ref="T127">Common_InputFunctions.Utility_DisplayArrayInTable(Fertiliser_SourceData.Fertiliser_Products_Data2(), FertiliserProducts[[#Headers],[Company]],31)</f>
        <v/>
      </c>
      <c r="U127" s="148" t="str" cm="1">
        <f t="array" ref="U127">Common_InputFunctions.Utility_DisplayArrayInTable(Fertiliser_SourceData.Fertiliser_Products_Data2(), FertiliserProducts[[#Headers],[Company]],31)</f>
        <v/>
      </c>
      <c r="V127" s="148" t="str" cm="1">
        <f t="array" ref="V127">Common_InputFunctions.Utility_DisplayArrayInTable(Fertiliser_SourceData.Fertiliser_Products_Data2(), FertiliserProducts[[#Headers],[Company]],31)</f>
        <v/>
      </c>
      <c r="W127" s="148" t="str" cm="1">
        <f t="array" ref="W127">Common_InputFunctions.Utility_DisplayArrayInTable(Fertiliser_SourceData.Fertiliser_Products_Data2(), FertiliserProducts[[#Headers],[Company]],31)</f>
        <v/>
      </c>
      <c r="X127" s="148" t="str" cm="1">
        <f t="array" ref="X127">Common_InputFunctions.Utility_DisplayArrayInTable(Fertiliser_SourceData.Fertiliser_Products_Data2(), FertiliserProducts[[#Headers],[Company]],31)</f>
        <v/>
      </c>
      <c r="Y127" s="148" t="str" cm="1">
        <f t="array" ref="Y127">Common_InputFunctions.Utility_DisplayArrayInTable(Fertiliser_SourceData.Fertiliser_Products_Data2(), FertiliserProducts[[#Headers],[Company]],31)</f>
        <v/>
      </c>
      <c r="Z127" s="148" t="str" cm="1">
        <f t="array" ref="Z127">Common_InputFunctions.Utility_DisplayArrayInTable(Fertiliser_SourceData.Fertiliser_Products_Data2(), FertiliserProducts[[#Headers],[Company]],31)</f>
        <v/>
      </c>
      <c r="AA127" s="148" t="str" cm="1">
        <f t="array" ref="AA127">Common_InputFunctions.Utility_DisplayArrayInTable(Fertiliser_SourceData.Fertiliser_Products_Data2(), FertiliserProducts[[#Headers],[Company]],31)</f>
        <v/>
      </c>
      <c r="AB127" s="148" t="str" cm="1">
        <f t="array" ref="AB127">Common_InputFunctions.Utility_DisplayArrayInTable(Fertiliser_SourceData.Fertiliser_Products_Data2(), FertiliserProducts[[#Headers],[Company]],31)</f>
        <v/>
      </c>
      <c r="AC127" s="148" t="str" cm="1">
        <f t="array" ref="AC127">Common_InputFunctions.Utility_DisplayArrayInTable(Fertiliser_SourceData.Fertiliser_Products_Data2(), FertiliserProducts[[#Headers],[Company]],31)</f>
        <v/>
      </c>
      <c r="AD127" s="148" t="str" cm="1">
        <f t="array" ref="AD127">Common_InputFunctions.Utility_DisplayArrayInTable(Fertiliser_SourceData.Fertiliser_Products_Data2(), FertiliserProducts[[#Headers],[Company]],31)</f>
        <v/>
      </c>
      <c r="AE127" s="148" t="str" cm="1">
        <f t="array" ref="AE127">Common_InputFunctions.Utility_DisplayArrayInTable(Fertiliser_SourceData.Fertiliser_Products_Data2(), FertiliserProducts[[#Headers],[Company]],31)</f>
        <v/>
      </c>
      <c r="AF127" s="148" t="str" cm="1">
        <f t="array" ref="AF127">Common_InputFunctions.Utility_DisplayArrayInTable(Fertiliser_SourceData.Fertiliser_Products_Data2(), FertiliserProducts[[#Headers],[Company]],31)</f>
        <v/>
      </c>
      <c r="AG127" s="148" t="str" cm="1">
        <f t="array" ref="AG127">Common_InputFunctions.Utility_DisplayArrayInTable(Fertiliser_SourceData.Fertiliser_Products_Data2(), FertiliserProducts[[#Headers],[Company]],31)</f>
        <v/>
      </c>
      <c r="AH127" s="148" t="str" cm="1">
        <f t="array" ref="AH127">Common_InputFunctions.Utility_DisplayArrayInTable(Fertiliser_SourceData.Fertiliser_Products_Data2(), FertiliserProducts[[#Headers],[Company]],31)</f>
        <v/>
      </c>
      <c r="AK127" s="1"/>
      <c r="AL127" s="1"/>
      <c r="AM127" s="1"/>
    </row>
    <row r="128" spans="1:39" ht="20.100000000000001" customHeight="1" x14ac:dyDescent="0.2">
      <c r="A128" s="79" t="str">
        <f>HYPERLINK("#A1", "▲ Back to top")</f>
        <v>▲ Back to top</v>
      </c>
      <c r="D128" s="148" t="str" cm="1">
        <f t="array" ref="D128">Common_InputFunctions.Utility_DisplayArrayInTable(Fertiliser_SourceData.Fertiliser_Products_Data2(), FertiliserProducts[[#Headers],[Company]],31)</f>
        <v>Switch Ag</v>
      </c>
      <c r="E128" s="148" t="str" cm="1">
        <f t="array" ref="E128">Common_InputFunctions.Utility_DisplayArrayInTable(Fertiliser_SourceData.Fertiliser_Products_Data2(), FertiliserProducts[[#Headers],[Company]],31)</f>
        <v>In Crop</v>
      </c>
      <c r="F128" s="148" t="str" cm="1">
        <f t="array" ref="F128">Common_InputFunctions.Utility_DisplayArrayInTable(Fertiliser_SourceData.Fertiliser_Products_Data2(), FertiliserProducts[[#Headers],[Company]],31)</f>
        <v>L</v>
      </c>
      <c r="G128" s="148" cm="1">
        <f t="array" ref="G128">Common_InputFunctions.Utility_DisplayArrayInTable(Fertiliser_SourceData.Fertiliser_Products_Data2(), FertiliserProducts[[#Headers],[Company]],31)</f>
        <v>1.2</v>
      </c>
      <c r="H128" s="148" t="str" cm="1">
        <f t="array" ref="H128">Common_InputFunctions.Utility_DisplayArrayInTable(Fertiliser_SourceData.Fertiliser_Products_Data2(), FertiliserProducts[[#Headers],[Company]],31)</f>
        <v/>
      </c>
      <c r="I128" s="148" t="str" cm="1">
        <f t="array" ref="I128">Common_InputFunctions.Utility_DisplayArrayInTable(Fertiliser_SourceData.Fertiliser_Products_Data2(), FertiliserProducts[[#Headers],[Company]],31)</f>
        <v/>
      </c>
      <c r="J128" s="148" t="str" cm="1">
        <f t="array" ref="J128">Common_InputFunctions.Utility_DisplayArrayInTable(Fertiliser_SourceData.Fertiliser_Products_Data2(), FertiliserProducts[[#Headers],[Company]],31)</f>
        <v/>
      </c>
      <c r="K128" s="148" cm="1">
        <f t="array" ref="K128">Common_InputFunctions.Utility_DisplayArrayInTable(Fertiliser_SourceData.Fertiliser_Products_Data2(), FertiliserProducts[[#Headers],[Company]],31)</f>
        <v>10</v>
      </c>
      <c r="L128" s="148" cm="1">
        <f t="array" ref="L128">Common_InputFunctions.Utility_DisplayArrayInTable(Fertiliser_SourceData.Fertiliser_Products_Data2(), FertiliserProducts[[#Headers],[Company]],31)</f>
        <v>1</v>
      </c>
      <c r="M128" s="148" cm="1">
        <f t="array" ref="M128">Common_InputFunctions.Utility_DisplayArrayInTable(Fertiliser_SourceData.Fertiliser_Products_Data2(), FertiliserProducts[[#Headers],[Company]],31)</f>
        <v>11</v>
      </c>
      <c r="N128" s="148" t="str" cm="1">
        <f t="array" ref="N128">Common_InputFunctions.Utility_DisplayArrayInTable(Fertiliser_SourceData.Fertiliser_Products_Data2(), FertiliserProducts[[#Headers],[Company]],31)</f>
        <v/>
      </c>
      <c r="O128" s="148" t="str" cm="1">
        <f t="array" ref="O128">Common_InputFunctions.Utility_DisplayArrayInTable(Fertiliser_SourceData.Fertiliser_Products_Data2(), FertiliserProducts[[#Headers],[Company]],31)</f>
        <v>Potassium - Generic</v>
      </c>
      <c r="P128" s="148" cm="1">
        <f t="array" ref="P128">Common_InputFunctions.Utility_DisplayArrayInTable(Fertiliser_SourceData.Fertiliser_Products_Data2(), FertiliserProducts[[#Headers],[Company]],31)</f>
        <v>0.11</v>
      </c>
      <c r="Q128" s="148" t="str" cm="1">
        <f t="array" ref="Q128">Common_InputFunctions.Utility_DisplayArrayInTable(Fertiliser_SourceData.Fertiliser_Products_Data2(), FertiliserProducts[[#Headers],[Company]],31)</f>
        <v>Nitrogen - Generic</v>
      </c>
      <c r="R128" s="148" cm="1">
        <f t="array" ref="R128">Common_InputFunctions.Utility_DisplayArrayInTable(Fertiliser_SourceData.Fertiliser_Products_Data2(), FertiliserProducts[[#Headers],[Company]],31)</f>
        <v>0.1</v>
      </c>
      <c r="S128" s="148" t="str" cm="1">
        <f t="array" ref="S128">Common_InputFunctions.Utility_DisplayArrayInTable(Fertiliser_SourceData.Fertiliser_Products_Data2(), FertiliserProducts[[#Headers],[Company]],31)</f>
        <v>Phosphorus - Generic</v>
      </c>
      <c r="T128" s="148" cm="1">
        <f t="array" ref="T128">Common_InputFunctions.Utility_DisplayArrayInTable(Fertiliser_SourceData.Fertiliser_Products_Data2(), FertiliserProducts[[#Headers],[Company]],31)</f>
        <v>0.01</v>
      </c>
      <c r="U128" s="148" t="str" cm="1">
        <f t="array" ref="U128">Common_InputFunctions.Utility_DisplayArrayInTable(Fertiliser_SourceData.Fertiliser_Products_Data2(), FertiliserProducts[[#Headers],[Company]],31)</f>
        <v/>
      </c>
      <c r="V128" s="148" t="str" cm="1">
        <f t="array" ref="V128">Common_InputFunctions.Utility_DisplayArrayInTable(Fertiliser_SourceData.Fertiliser_Products_Data2(), FertiliserProducts[[#Headers],[Company]],31)</f>
        <v/>
      </c>
      <c r="W128" s="148" t="str" cm="1">
        <f t="array" ref="W128">Common_InputFunctions.Utility_DisplayArrayInTable(Fertiliser_SourceData.Fertiliser_Products_Data2(), FertiliserProducts[[#Headers],[Company]],31)</f>
        <v/>
      </c>
      <c r="X128" s="148" t="str" cm="1">
        <f t="array" ref="X128">Common_InputFunctions.Utility_DisplayArrayInTable(Fertiliser_SourceData.Fertiliser_Products_Data2(), FertiliserProducts[[#Headers],[Company]],31)</f>
        <v/>
      </c>
      <c r="Y128" s="148" t="str" cm="1">
        <f t="array" ref="Y128">Common_InputFunctions.Utility_DisplayArrayInTable(Fertiliser_SourceData.Fertiliser_Products_Data2(), FertiliserProducts[[#Headers],[Company]],31)</f>
        <v/>
      </c>
      <c r="Z128" s="148" t="str" cm="1">
        <f t="array" ref="Z128">Common_InputFunctions.Utility_DisplayArrayInTable(Fertiliser_SourceData.Fertiliser_Products_Data2(), FertiliserProducts[[#Headers],[Company]],31)</f>
        <v/>
      </c>
      <c r="AA128" s="148" t="str" cm="1">
        <f t="array" ref="AA128">Common_InputFunctions.Utility_DisplayArrayInTable(Fertiliser_SourceData.Fertiliser_Products_Data2(), FertiliserProducts[[#Headers],[Company]],31)</f>
        <v/>
      </c>
      <c r="AB128" s="148" t="str" cm="1">
        <f t="array" ref="AB128">Common_InputFunctions.Utility_DisplayArrayInTable(Fertiliser_SourceData.Fertiliser_Products_Data2(), FertiliserProducts[[#Headers],[Company]],31)</f>
        <v/>
      </c>
      <c r="AC128" s="148" t="str" cm="1">
        <f t="array" ref="AC128">Common_InputFunctions.Utility_DisplayArrayInTable(Fertiliser_SourceData.Fertiliser_Products_Data2(), FertiliserProducts[[#Headers],[Company]],31)</f>
        <v/>
      </c>
      <c r="AD128" s="148" t="str" cm="1">
        <f t="array" ref="AD128">Common_InputFunctions.Utility_DisplayArrayInTable(Fertiliser_SourceData.Fertiliser_Products_Data2(), FertiliserProducts[[#Headers],[Company]],31)</f>
        <v/>
      </c>
      <c r="AE128" s="148" t="str" cm="1">
        <f t="array" ref="AE128">Common_InputFunctions.Utility_DisplayArrayInTable(Fertiliser_SourceData.Fertiliser_Products_Data2(), FertiliserProducts[[#Headers],[Company]],31)</f>
        <v/>
      </c>
      <c r="AF128" s="148" t="str" cm="1">
        <f t="array" ref="AF128">Common_InputFunctions.Utility_DisplayArrayInTable(Fertiliser_SourceData.Fertiliser_Products_Data2(), FertiliserProducts[[#Headers],[Company]],31)</f>
        <v/>
      </c>
      <c r="AG128" s="148" t="str" cm="1">
        <f t="array" ref="AG128">Common_InputFunctions.Utility_DisplayArrayInTable(Fertiliser_SourceData.Fertiliser_Products_Data2(), FertiliserProducts[[#Headers],[Company]],31)</f>
        <v/>
      </c>
      <c r="AH128" s="148" t="str" cm="1">
        <f t="array" ref="AH128">Common_InputFunctions.Utility_DisplayArrayInTable(Fertiliser_SourceData.Fertiliser_Products_Data2(), FertiliserProducts[[#Headers],[Company]],31)</f>
        <v/>
      </c>
      <c r="AK128" s="1"/>
      <c r="AL128" s="1"/>
      <c r="AM128" s="1"/>
    </row>
    <row r="129" spans="4:39" ht="20.100000000000001" customHeight="1" x14ac:dyDescent="0.2">
      <c r="D129" s="148" t="str" cm="1">
        <f t="array" ref="D129">Common_InputFunctions.Utility_DisplayArrayInTable(Fertiliser_SourceData.Fertiliser_Products_Data2(), FertiliserProducts[[#Headers],[Company]],31)</f>
        <v>Switch Ag</v>
      </c>
      <c r="E129" s="148" t="str" cm="1">
        <f t="array" ref="E129">Common_InputFunctions.Utility_DisplayArrayInTable(Fertiliser_SourceData.Fertiliser_Products_Data2(), FertiliserProducts[[#Headers],[Company]],31)</f>
        <v>K20</v>
      </c>
      <c r="F129" s="148" t="str" cm="1">
        <f t="array" ref="F129">Common_InputFunctions.Utility_DisplayArrayInTable(Fertiliser_SourceData.Fertiliser_Products_Data2(), FertiliserProducts[[#Headers],[Company]],31)</f>
        <v>L</v>
      </c>
      <c r="G129" s="148" cm="1">
        <f t="array" ref="G129">Common_InputFunctions.Utility_DisplayArrayInTable(Fertiliser_SourceData.Fertiliser_Products_Data2(), FertiliserProducts[[#Headers],[Company]],31)</f>
        <v>1.3</v>
      </c>
      <c r="H129" s="148" t="str" cm="1">
        <f t="array" ref="H129">Common_InputFunctions.Utility_DisplayArrayInTable(Fertiliser_SourceData.Fertiliser_Products_Data2(), FertiliserProducts[[#Headers],[Company]],31)</f>
        <v/>
      </c>
      <c r="I129" s="148" t="str" cm="1">
        <f t="array" ref="I129">Common_InputFunctions.Utility_DisplayArrayInTable(Fertiliser_SourceData.Fertiliser_Products_Data2(), FertiliserProducts[[#Headers],[Company]],31)</f>
        <v/>
      </c>
      <c r="J129" s="148" t="str" cm="1">
        <f t="array" ref="J129">Common_InputFunctions.Utility_DisplayArrayInTable(Fertiliser_SourceData.Fertiliser_Products_Data2(), FertiliserProducts[[#Headers],[Company]],31)</f>
        <v/>
      </c>
      <c r="K129" s="148" cm="1">
        <f t="array" ref="K129">Common_InputFunctions.Utility_DisplayArrayInTable(Fertiliser_SourceData.Fertiliser_Products_Data2(), FertiliserProducts[[#Headers],[Company]],31)</f>
        <v>3</v>
      </c>
      <c r="L129" s="148" t="str" cm="1">
        <f t="array" ref="L129">Common_InputFunctions.Utility_DisplayArrayInTable(Fertiliser_SourceData.Fertiliser_Products_Data2(), FertiliserProducts[[#Headers],[Company]],31)</f>
        <v/>
      </c>
      <c r="M129" s="148" cm="1">
        <f t="array" ref="M129">Common_InputFunctions.Utility_DisplayArrayInTable(Fertiliser_SourceData.Fertiliser_Products_Data2(), FertiliserProducts[[#Headers],[Company]],31)</f>
        <v>22</v>
      </c>
      <c r="N129" s="148" t="str" cm="1">
        <f t="array" ref="N129">Common_InputFunctions.Utility_DisplayArrayInTable(Fertiliser_SourceData.Fertiliser_Products_Data2(), FertiliserProducts[[#Headers],[Company]],31)</f>
        <v/>
      </c>
      <c r="O129" s="148" t="str" cm="1">
        <f t="array" ref="O129">Common_InputFunctions.Utility_DisplayArrayInTable(Fertiliser_SourceData.Fertiliser_Products_Data2(), FertiliserProducts[[#Headers],[Company]],31)</f>
        <v>Potassium - Generic</v>
      </c>
      <c r="P129" s="148" cm="1">
        <f t="array" ref="P129">Common_InputFunctions.Utility_DisplayArrayInTable(Fertiliser_SourceData.Fertiliser_Products_Data2(), FertiliserProducts[[#Headers],[Company]],31)</f>
        <v>0.22</v>
      </c>
      <c r="Q129" s="148" t="str" cm="1">
        <f t="array" ref="Q129">Common_InputFunctions.Utility_DisplayArrayInTable(Fertiliser_SourceData.Fertiliser_Products_Data2(), FertiliserProducts[[#Headers],[Company]],31)</f>
        <v>Nitrogen - Generic</v>
      </c>
      <c r="R129" s="148" cm="1">
        <f t="array" ref="R129">Common_InputFunctions.Utility_DisplayArrayInTable(Fertiliser_SourceData.Fertiliser_Products_Data2(), FertiliserProducts[[#Headers],[Company]],31)</f>
        <v>0.03</v>
      </c>
      <c r="S129" s="148" t="str" cm="1">
        <f t="array" ref="S129">Common_InputFunctions.Utility_DisplayArrayInTable(Fertiliser_SourceData.Fertiliser_Products_Data2(), FertiliserProducts[[#Headers],[Company]],31)</f>
        <v/>
      </c>
      <c r="T129" s="148" t="str" cm="1">
        <f t="array" ref="T129">Common_InputFunctions.Utility_DisplayArrayInTable(Fertiliser_SourceData.Fertiliser_Products_Data2(), FertiliserProducts[[#Headers],[Company]],31)</f>
        <v/>
      </c>
      <c r="U129" s="148" t="str" cm="1">
        <f t="array" ref="U129">Common_InputFunctions.Utility_DisplayArrayInTable(Fertiliser_SourceData.Fertiliser_Products_Data2(), FertiliserProducts[[#Headers],[Company]],31)</f>
        <v/>
      </c>
      <c r="V129" s="148" t="str" cm="1">
        <f t="array" ref="V129">Common_InputFunctions.Utility_DisplayArrayInTable(Fertiliser_SourceData.Fertiliser_Products_Data2(), FertiliserProducts[[#Headers],[Company]],31)</f>
        <v/>
      </c>
      <c r="W129" s="148" t="str" cm="1">
        <f t="array" ref="W129">Common_InputFunctions.Utility_DisplayArrayInTable(Fertiliser_SourceData.Fertiliser_Products_Data2(), FertiliserProducts[[#Headers],[Company]],31)</f>
        <v/>
      </c>
      <c r="X129" s="148" t="str" cm="1">
        <f t="array" ref="X129">Common_InputFunctions.Utility_DisplayArrayInTable(Fertiliser_SourceData.Fertiliser_Products_Data2(), FertiliserProducts[[#Headers],[Company]],31)</f>
        <v/>
      </c>
      <c r="Y129" s="148" t="str" cm="1">
        <f t="array" ref="Y129">Common_InputFunctions.Utility_DisplayArrayInTable(Fertiliser_SourceData.Fertiliser_Products_Data2(), FertiliserProducts[[#Headers],[Company]],31)</f>
        <v/>
      </c>
      <c r="Z129" s="148" t="str" cm="1">
        <f t="array" ref="Z129">Common_InputFunctions.Utility_DisplayArrayInTable(Fertiliser_SourceData.Fertiliser_Products_Data2(), FertiliserProducts[[#Headers],[Company]],31)</f>
        <v/>
      </c>
      <c r="AA129" s="148" t="str" cm="1">
        <f t="array" ref="AA129">Common_InputFunctions.Utility_DisplayArrayInTable(Fertiliser_SourceData.Fertiliser_Products_Data2(), FertiliserProducts[[#Headers],[Company]],31)</f>
        <v/>
      </c>
      <c r="AB129" s="148" t="str" cm="1">
        <f t="array" ref="AB129">Common_InputFunctions.Utility_DisplayArrayInTable(Fertiliser_SourceData.Fertiliser_Products_Data2(), FertiliserProducts[[#Headers],[Company]],31)</f>
        <v/>
      </c>
      <c r="AC129" s="148" t="str" cm="1">
        <f t="array" ref="AC129">Common_InputFunctions.Utility_DisplayArrayInTable(Fertiliser_SourceData.Fertiliser_Products_Data2(), FertiliserProducts[[#Headers],[Company]],31)</f>
        <v/>
      </c>
      <c r="AD129" s="148" t="str" cm="1">
        <f t="array" ref="AD129">Common_InputFunctions.Utility_DisplayArrayInTable(Fertiliser_SourceData.Fertiliser_Products_Data2(), FertiliserProducts[[#Headers],[Company]],31)</f>
        <v/>
      </c>
      <c r="AE129" s="148" t="str" cm="1">
        <f t="array" ref="AE129">Common_InputFunctions.Utility_DisplayArrayInTable(Fertiliser_SourceData.Fertiliser_Products_Data2(), FertiliserProducts[[#Headers],[Company]],31)</f>
        <v/>
      </c>
      <c r="AF129" s="148" t="str" cm="1">
        <f t="array" ref="AF129">Common_InputFunctions.Utility_DisplayArrayInTable(Fertiliser_SourceData.Fertiliser_Products_Data2(), FertiliserProducts[[#Headers],[Company]],31)</f>
        <v/>
      </c>
      <c r="AG129" s="148" t="str" cm="1">
        <f t="array" ref="AG129">Common_InputFunctions.Utility_DisplayArrayInTable(Fertiliser_SourceData.Fertiliser_Products_Data2(), FertiliserProducts[[#Headers],[Company]],31)</f>
        <v/>
      </c>
      <c r="AH129" s="148" t="str" cm="1">
        <f t="array" ref="AH129">Common_InputFunctions.Utility_DisplayArrayInTable(Fertiliser_SourceData.Fertiliser_Products_Data2(), FertiliserProducts[[#Headers],[Company]],31)</f>
        <v/>
      </c>
      <c r="AK129" s="1"/>
      <c r="AL129" s="1"/>
      <c r="AM129" s="1"/>
    </row>
    <row r="130" spans="4:39" ht="20.100000000000001" customHeight="1" x14ac:dyDescent="0.2">
      <c r="D130" s="148" t="str" cm="1">
        <f t="array" ref="D130">Common_InputFunctions.Utility_DisplayArrayInTable(Fertiliser_SourceData.Fertiliser_Products_Data2(), FertiliserProducts[[#Headers],[Company]],31)</f>
        <v>Loveland Agriproducts</v>
      </c>
      <c r="E130" s="148" t="str" cm="1">
        <f t="array" ref="E130">Common_InputFunctions.Utility_DisplayArrayInTable(Fertiliser_SourceData.Fertiliser_Products_Data2(), FertiliserProducts[[#Headers],[Company]],31)</f>
        <v>Maximum N-Pact</v>
      </c>
      <c r="F130" s="148" t="str" cm="1">
        <f t="array" ref="F130">Common_InputFunctions.Utility_DisplayArrayInTable(Fertiliser_SourceData.Fertiliser_Products_Data2(), FertiliserProducts[[#Headers],[Company]],31)</f>
        <v>L</v>
      </c>
      <c r="G130" s="148" cm="1">
        <f t="array" ref="G130">Common_InputFunctions.Utility_DisplayArrayInTable(Fertiliser_SourceData.Fertiliser_Products_Data2(), FertiliserProducts[[#Headers],[Company]],31)</f>
        <v>1.1850000000000001</v>
      </c>
      <c r="H130" s="148" t="str" cm="1">
        <f t="array" ref="H130">Common_InputFunctions.Utility_DisplayArrayInTable(Fertiliser_SourceData.Fertiliser_Products_Data2(), FertiliserProducts[[#Headers],[Company]],31)</f>
        <v/>
      </c>
      <c r="I130" s="148" t="str" cm="1">
        <f t="array" ref="I130">Common_InputFunctions.Utility_DisplayArrayInTable(Fertiliser_SourceData.Fertiliser_Products_Data2(), FertiliserProducts[[#Headers],[Company]],31)</f>
        <v/>
      </c>
      <c r="J130" s="148" t="str" cm="1">
        <f t="array" ref="J130">Common_InputFunctions.Utility_DisplayArrayInTable(Fertiliser_SourceData.Fertiliser_Products_Data2(), FertiliserProducts[[#Headers],[Company]],31)</f>
        <v/>
      </c>
      <c r="K130" s="148" cm="1">
        <f t="array" ref="K130">Common_InputFunctions.Utility_DisplayArrayInTable(Fertiliser_SourceData.Fertiliser_Products_Data2(), FertiliserProducts[[#Headers],[Company]],31)</f>
        <v>23.8</v>
      </c>
      <c r="L130" s="148" t="str" cm="1">
        <f t="array" ref="L130">Common_InputFunctions.Utility_DisplayArrayInTable(Fertiliser_SourceData.Fertiliser_Products_Data2(), FertiliserProducts[[#Headers],[Company]],31)</f>
        <v/>
      </c>
      <c r="M130" s="148" t="str" cm="1">
        <f t="array" ref="M130">Common_InputFunctions.Utility_DisplayArrayInTable(Fertiliser_SourceData.Fertiliser_Products_Data2(), FertiliserProducts[[#Headers],[Company]],31)</f>
        <v/>
      </c>
      <c r="N130" s="148" t="str" cm="1">
        <f t="array" ref="N130">Common_InputFunctions.Utility_DisplayArrayInTable(Fertiliser_SourceData.Fertiliser_Products_Data2(), FertiliserProducts[[#Headers],[Company]],31)</f>
        <v/>
      </c>
      <c r="O130" s="148" t="str" cm="1">
        <f t="array" ref="O130">Common_InputFunctions.Utility_DisplayArrayInTable(Fertiliser_SourceData.Fertiliser_Products_Data2(), FertiliserProducts[[#Headers],[Company]],31)</f>
        <v>Urea</v>
      </c>
      <c r="P130" s="148" cm="1">
        <f t="array" ref="P130">Common_InputFunctions.Utility_DisplayArrayInTable(Fertiliser_SourceData.Fertiliser_Products_Data2(), FertiliserProducts[[#Headers],[Company]],31)</f>
        <v>0.51739100000000005</v>
      </c>
      <c r="Q130" s="148" t="str" cm="1">
        <f t="array" ref="Q130">Common_InputFunctions.Utility_DisplayArrayInTable(Fertiliser_SourceData.Fertiliser_Products_Data2(), FertiliserProducts[[#Headers],[Company]],31)</f>
        <v/>
      </c>
      <c r="R130" s="148" t="str" cm="1">
        <f t="array" ref="R130">Common_InputFunctions.Utility_DisplayArrayInTable(Fertiliser_SourceData.Fertiliser_Products_Data2(), FertiliserProducts[[#Headers],[Company]],31)</f>
        <v/>
      </c>
      <c r="S130" s="148" t="str" cm="1">
        <f t="array" ref="S130">Common_InputFunctions.Utility_DisplayArrayInTable(Fertiliser_SourceData.Fertiliser_Products_Data2(), FertiliserProducts[[#Headers],[Company]],31)</f>
        <v/>
      </c>
      <c r="T130" s="148" t="str" cm="1">
        <f t="array" ref="T130">Common_InputFunctions.Utility_DisplayArrayInTable(Fertiliser_SourceData.Fertiliser_Products_Data2(), FertiliserProducts[[#Headers],[Company]],31)</f>
        <v/>
      </c>
      <c r="U130" s="148" t="str" cm="1">
        <f t="array" ref="U130">Common_InputFunctions.Utility_DisplayArrayInTable(Fertiliser_SourceData.Fertiliser_Products_Data2(), FertiliserProducts[[#Headers],[Company]],31)</f>
        <v/>
      </c>
      <c r="V130" s="148" t="str" cm="1">
        <f t="array" ref="V130">Common_InputFunctions.Utility_DisplayArrayInTable(Fertiliser_SourceData.Fertiliser_Products_Data2(), FertiliserProducts[[#Headers],[Company]],31)</f>
        <v/>
      </c>
      <c r="W130" s="148" t="str" cm="1">
        <f t="array" ref="W130">Common_InputFunctions.Utility_DisplayArrayInTable(Fertiliser_SourceData.Fertiliser_Products_Data2(), FertiliserProducts[[#Headers],[Company]],31)</f>
        <v/>
      </c>
      <c r="X130" s="148" t="str" cm="1">
        <f t="array" ref="X130">Common_InputFunctions.Utility_DisplayArrayInTable(Fertiliser_SourceData.Fertiliser_Products_Data2(), FertiliserProducts[[#Headers],[Company]],31)</f>
        <v/>
      </c>
      <c r="Y130" s="148" t="str" cm="1">
        <f t="array" ref="Y130">Common_InputFunctions.Utility_DisplayArrayInTable(Fertiliser_SourceData.Fertiliser_Products_Data2(), FertiliserProducts[[#Headers],[Company]],31)</f>
        <v/>
      </c>
      <c r="Z130" s="148" t="str" cm="1">
        <f t="array" ref="Z130">Common_InputFunctions.Utility_DisplayArrayInTable(Fertiliser_SourceData.Fertiliser_Products_Data2(), FertiliserProducts[[#Headers],[Company]],31)</f>
        <v/>
      </c>
      <c r="AA130" s="148" t="str" cm="1">
        <f t="array" ref="AA130">Common_InputFunctions.Utility_DisplayArrayInTable(Fertiliser_SourceData.Fertiliser_Products_Data2(), FertiliserProducts[[#Headers],[Company]],31)</f>
        <v/>
      </c>
      <c r="AB130" s="148" t="str" cm="1">
        <f t="array" ref="AB130">Common_InputFunctions.Utility_DisplayArrayInTable(Fertiliser_SourceData.Fertiliser_Products_Data2(), FertiliserProducts[[#Headers],[Company]],31)</f>
        <v/>
      </c>
      <c r="AC130" s="148" t="str" cm="1">
        <f t="array" ref="AC130">Common_InputFunctions.Utility_DisplayArrayInTable(Fertiliser_SourceData.Fertiliser_Products_Data2(), FertiliserProducts[[#Headers],[Company]],31)</f>
        <v/>
      </c>
      <c r="AD130" s="148" t="str" cm="1">
        <f t="array" ref="AD130">Common_InputFunctions.Utility_DisplayArrayInTable(Fertiliser_SourceData.Fertiliser_Products_Data2(), FertiliserProducts[[#Headers],[Company]],31)</f>
        <v/>
      </c>
      <c r="AE130" s="148" t="str" cm="1">
        <f t="array" ref="AE130">Common_InputFunctions.Utility_DisplayArrayInTable(Fertiliser_SourceData.Fertiliser_Products_Data2(), FertiliserProducts[[#Headers],[Company]],31)</f>
        <v/>
      </c>
      <c r="AF130" s="148" t="str" cm="1">
        <f t="array" ref="AF130">Common_InputFunctions.Utility_DisplayArrayInTable(Fertiliser_SourceData.Fertiliser_Products_Data2(), FertiliserProducts[[#Headers],[Company]],31)</f>
        <v/>
      </c>
      <c r="AG130" s="148" t="str" cm="1">
        <f t="array" ref="AG130">Common_InputFunctions.Utility_DisplayArrayInTable(Fertiliser_SourceData.Fertiliser_Products_Data2(), FertiliserProducts[[#Headers],[Company]],31)</f>
        <v/>
      </c>
      <c r="AH130" s="148" t="str" cm="1">
        <f t="array" ref="AH130">Common_InputFunctions.Utility_DisplayArrayInTable(Fertiliser_SourceData.Fertiliser_Products_Data2(), FertiliserProducts[[#Headers],[Company]],31)</f>
        <v/>
      </c>
      <c r="AK130" s="1"/>
      <c r="AL130" s="1"/>
      <c r="AM130" s="1"/>
    </row>
    <row r="131" spans="4:39" ht="20.100000000000001" customHeight="1" x14ac:dyDescent="0.2">
      <c r="D131" s="148" t="str" cm="1">
        <f t="array" ref="D131">Common_InputFunctions.Utility_DisplayArrayInTable(Fertiliser_SourceData.Fertiliser_Products_Data2(), FertiliserProducts[[#Headers],[Company]],31)</f>
        <v>SL Tec</v>
      </c>
      <c r="E131" s="148" t="str" cm="1">
        <f t="array" ref="E131">Common_InputFunctions.Utility_DisplayArrayInTable(Fertiliser_SourceData.Fertiliser_Products_Data2(), FertiliserProducts[[#Headers],[Company]],31)</f>
        <v>Nitro Combi TE</v>
      </c>
      <c r="F131" s="148" t="str" cm="1">
        <f t="array" ref="F131">Common_InputFunctions.Utility_DisplayArrayInTable(Fertiliser_SourceData.Fertiliser_Products_Data2(), FertiliserProducts[[#Headers],[Company]],31)</f>
        <v>L</v>
      </c>
      <c r="G131" s="148" cm="1">
        <f t="array" ref="G131">Common_InputFunctions.Utility_DisplayArrayInTable(Fertiliser_SourceData.Fertiliser_Products_Data2(), FertiliserProducts[[#Headers],[Company]],31)</f>
        <v>1.2549999999999999</v>
      </c>
      <c r="H131" s="148" t="str" cm="1">
        <f t="array" ref="H131">Common_InputFunctions.Utility_DisplayArrayInTable(Fertiliser_SourceData.Fertiliser_Products_Data2(), FertiliserProducts[[#Headers],[Company]],31)</f>
        <v/>
      </c>
      <c r="I131" s="148" t="str" cm="1">
        <f t="array" ref="I131">Common_InputFunctions.Utility_DisplayArrayInTable(Fertiliser_SourceData.Fertiliser_Products_Data2(), FertiliserProducts[[#Headers],[Company]],31)</f>
        <v/>
      </c>
      <c r="J131" s="148" t="str" cm="1">
        <f t="array" ref="J131">Common_InputFunctions.Utility_DisplayArrayInTable(Fertiliser_SourceData.Fertiliser_Products_Data2(), FertiliserProducts[[#Headers],[Company]],31)</f>
        <v/>
      </c>
      <c r="K131" s="148" t="str" cm="1">
        <f t="array" ref="K131">Common_InputFunctions.Utility_DisplayArrayInTable(Fertiliser_SourceData.Fertiliser_Products_Data2(), FertiliserProducts[[#Headers],[Company]],31)</f>
        <v/>
      </c>
      <c r="L131" s="148" t="str" cm="1">
        <f t="array" ref="L131">Common_InputFunctions.Utility_DisplayArrayInTable(Fertiliser_SourceData.Fertiliser_Products_Data2(), FertiliserProducts[[#Headers],[Company]],31)</f>
        <v/>
      </c>
      <c r="M131" s="148" cm="1">
        <f t="array" ref="M131">Common_InputFunctions.Utility_DisplayArrayInTable(Fertiliser_SourceData.Fertiliser_Products_Data2(), FertiliserProducts[[#Headers],[Company]],31)</f>
        <v>0.1</v>
      </c>
      <c r="N131" s="148" cm="1">
        <f t="array" ref="N131">Common_InputFunctions.Utility_DisplayArrayInTable(Fertiliser_SourceData.Fertiliser_Products_Data2(), FertiliserProducts[[#Headers],[Company]],31)</f>
        <v>4.4000000000000004</v>
      </c>
      <c r="O131" s="148" t="str" cm="1">
        <f t="array" ref="O131">Common_InputFunctions.Utility_DisplayArrayInTable(Fertiliser_SourceData.Fertiliser_Products_Data2(), FertiliserProducts[[#Headers],[Company]],31)</f>
        <v>Sulfur - Generic</v>
      </c>
      <c r="P131" s="148" cm="1">
        <f t="array" ref="P131">Common_InputFunctions.Utility_DisplayArrayInTable(Fertiliser_SourceData.Fertiliser_Products_Data2(), FertiliserProducts[[#Headers],[Company]],31)</f>
        <v>4.3999999999999997E-2</v>
      </c>
      <c r="Q131" s="148" t="str" cm="1">
        <f t="array" ref="Q131">Common_InputFunctions.Utility_DisplayArrayInTable(Fertiliser_SourceData.Fertiliser_Products_Data2(), FertiliserProducts[[#Headers],[Company]],31)</f>
        <v>Zinc</v>
      </c>
      <c r="R131" s="148" cm="1">
        <f t="array" ref="R131">Common_InputFunctions.Utility_DisplayArrayInTable(Fertiliser_SourceData.Fertiliser_Products_Data2(), FertiliserProducts[[#Headers],[Company]],31)</f>
        <v>2.1999999999999999E-2</v>
      </c>
      <c r="S131" s="148" t="str" cm="1">
        <f t="array" ref="S131">Common_InputFunctions.Utility_DisplayArrayInTable(Fertiliser_SourceData.Fertiliser_Products_Data2(), FertiliserProducts[[#Headers],[Company]],31)</f>
        <v>Iron</v>
      </c>
      <c r="T131" s="148" cm="1">
        <f t="array" ref="T131">Common_InputFunctions.Utility_DisplayArrayInTable(Fertiliser_SourceData.Fertiliser_Products_Data2(), FertiliserProducts[[#Headers],[Company]],31)</f>
        <v>2.1999999999999999E-2</v>
      </c>
      <c r="U131" s="148" t="str" cm="1">
        <f t="array" ref="U131">Common_InputFunctions.Utility_DisplayArrayInTable(Fertiliser_SourceData.Fertiliser_Products_Data2(), FertiliserProducts[[#Headers],[Company]],31)</f>
        <v>Manganese</v>
      </c>
      <c r="V131" s="148" cm="1">
        <f t="array" ref="V131">Common_InputFunctions.Utility_DisplayArrayInTable(Fertiliser_SourceData.Fertiliser_Products_Data2(), FertiliserProducts[[#Headers],[Company]],31)</f>
        <v>1.6E-2</v>
      </c>
      <c r="W131" s="148" t="str" cm="1">
        <f t="array" ref="W131">Common_InputFunctions.Utility_DisplayArrayInTable(Fertiliser_SourceData.Fertiliser_Products_Data2(), FertiliserProducts[[#Headers],[Company]],31)</f>
        <v>Boron</v>
      </c>
      <c r="X131" s="148" cm="1">
        <f t="array" ref="X131">Common_InputFunctions.Utility_DisplayArrayInTable(Fertiliser_SourceData.Fertiliser_Products_Data2(), FertiliserProducts[[#Headers],[Company]],31)</f>
        <v>8.0000000000000002E-3</v>
      </c>
      <c r="Y131" s="148" t="str" cm="1">
        <f t="array" ref="Y131">Common_InputFunctions.Utility_DisplayArrayInTable(Fertiliser_SourceData.Fertiliser_Products_Data2(), FertiliserProducts[[#Headers],[Company]],31)</f>
        <v>Magnesium</v>
      </c>
      <c r="Z131" s="148" cm="1">
        <f t="array" ref="Z131">Common_InputFunctions.Utility_DisplayArrayInTable(Fertiliser_SourceData.Fertiliser_Products_Data2(), FertiliserProducts[[#Headers],[Company]],31)</f>
        <v>7.0000000000000001E-3</v>
      </c>
      <c r="AA131" s="148" t="str" cm="1">
        <f t="array" ref="AA131">Common_InputFunctions.Utility_DisplayArrayInTable(Fertiliser_SourceData.Fertiliser_Products_Data2(), FertiliserProducts[[#Headers],[Company]],31)</f>
        <v>Fulvic acid (organic)</v>
      </c>
      <c r="AB131" s="148" cm="1">
        <f t="array" ref="AB131">Common_InputFunctions.Utility_DisplayArrayInTable(Fertiliser_SourceData.Fertiliser_Products_Data2(), FertiliserProducts[[#Headers],[Company]],31)</f>
        <v>5.0000000000000001E-3</v>
      </c>
      <c r="AC131" s="148" t="str" cm="1">
        <f t="array" ref="AC131">Common_InputFunctions.Utility_DisplayArrayInTable(Fertiliser_SourceData.Fertiliser_Products_Data2(), FertiliserProducts[[#Headers],[Company]],31)</f>
        <v>Copper</v>
      </c>
      <c r="AD131" s="148" cm="1">
        <f t="array" ref="AD131">Common_InputFunctions.Utility_DisplayArrayInTable(Fertiliser_SourceData.Fertiliser_Products_Data2(), FertiliserProducts[[#Headers],[Company]],31)</f>
        <v>3.0000000000000001E-3</v>
      </c>
      <c r="AE131" s="148" t="str" cm="1">
        <f t="array" ref="AE131">Common_InputFunctions.Utility_DisplayArrayInTable(Fertiliser_SourceData.Fertiliser_Products_Data2(), FertiliserProducts[[#Headers],[Company]],31)</f>
        <v>Potassium - Generic</v>
      </c>
      <c r="AF131" s="148" cm="1">
        <f t="array" ref="AF131">Common_InputFunctions.Utility_DisplayArrayInTable(Fertiliser_SourceData.Fertiliser_Products_Data2(), FertiliserProducts[[#Headers],[Company]],31)</f>
        <v>1E-3</v>
      </c>
      <c r="AG131" s="148" t="str" cm="1">
        <f t="array" ref="AG131">Common_InputFunctions.Utility_DisplayArrayInTable(Fertiliser_SourceData.Fertiliser_Products_Data2(), FertiliserProducts[[#Headers],[Company]],31)</f>
        <v>Molybdenum</v>
      </c>
      <c r="AH131" s="148" cm="1">
        <f t="array" ref="AH131">Common_InputFunctions.Utility_DisplayArrayInTable(Fertiliser_SourceData.Fertiliser_Products_Data2(), FertiliserProducts[[#Headers],[Company]],31)</f>
        <v>2.9999999999999997E-4</v>
      </c>
      <c r="AK131" s="1"/>
      <c r="AL131" s="1"/>
      <c r="AM131" s="1"/>
    </row>
    <row r="132" spans="4:39" ht="20.100000000000001" customHeight="1" x14ac:dyDescent="0.2">
      <c r="D132" s="148" t="str" cm="1">
        <f t="array" ref="D132">Common_InputFunctions.Utility_DisplayArrayInTable(Fertiliser_SourceData.Fertiliser_Products_Data2(), FertiliserProducts[[#Headers],[Company]],31)</f>
        <v>Switch Ag</v>
      </c>
      <c r="E132" s="148" t="str" cm="1">
        <f t="array" ref="E132">Common_InputFunctions.Utility_DisplayArrayInTable(Fertiliser_SourceData.Fertiliser_Products_Data2(), FertiliserProducts[[#Headers],[Company]],31)</f>
        <v>PastureMAXX</v>
      </c>
      <c r="F132" s="148" t="str" cm="1">
        <f t="array" ref="F132">Common_InputFunctions.Utility_DisplayArrayInTable(Fertiliser_SourceData.Fertiliser_Products_Data2(), FertiliserProducts[[#Headers],[Company]],31)</f>
        <v>L</v>
      </c>
      <c r="G132" s="148" cm="1">
        <f t="array" ref="G132">Common_InputFunctions.Utility_DisplayArrayInTable(Fertiliser_SourceData.Fertiliser_Products_Data2(), FertiliserProducts[[#Headers],[Company]],31)</f>
        <v>1.23</v>
      </c>
      <c r="H132" s="148" t="str" cm="1">
        <f t="array" ref="H132">Common_InputFunctions.Utility_DisplayArrayInTable(Fertiliser_SourceData.Fertiliser_Products_Data2(), FertiliserProducts[[#Headers],[Company]],31)</f>
        <v/>
      </c>
      <c r="I132" s="148" t="str" cm="1">
        <f t="array" ref="I132">Common_InputFunctions.Utility_DisplayArrayInTable(Fertiliser_SourceData.Fertiliser_Products_Data2(), FertiliserProducts[[#Headers],[Company]],31)</f>
        <v/>
      </c>
      <c r="J132" s="148" t="str" cm="1">
        <f t="array" ref="J132">Common_InputFunctions.Utility_DisplayArrayInTable(Fertiliser_SourceData.Fertiliser_Products_Data2(), FertiliserProducts[[#Headers],[Company]],31)</f>
        <v/>
      </c>
      <c r="K132" s="148" cm="1">
        <f t="array" ref="K132">Common_InputFunctions.Utility_DisplayArrayInTable(Fertiliser_SourceData.Fertiliser_Products_Data2(), FertiliserProducts[[#Headers],[Company]],31)</f>
        <v>9.7100000000000009</v>
      </c>
      <c r="L132" s="148" t="str" cm="1">
        <f t="array" ref="L132">Common_InputFunctions.Utility_DisplayArrayInTable(Fertiliser_SourceData.Fertiliser_Products_Data2(), FertiliserProducts[[#Headers],[Company]],31)</f>
        <v/>
      </c>
      <c r="M132" s="148" cm="1">
        <f t="array" ref="M132">Common_InputFunctions.Utility_DisplayArrayInTable(Fertiliser_SourceData.Fertiliser_Products_Data2(), FertiliserProducts[[#Headers],[Company]],31)</f>
        <v>3.25</v>
      </c>
      <c r="N132" s="148" cm="1">
        <f t="array" ref="N132">Common_InputFunctions.Utility_DisplayArrayInTable(Fertiliser_SourceData.Fertiliser_Products_Data2(), FertiliserProducts[[#Headers],[Company]],31)</f>
        <v>2.11</v>
      </c>
      <c r="O132" s="148" t="str" cm="1">
        <f t="array" ref="O132">Common_InputFunctions.Utility_DisplayArrayInTable(Fertiliser_SourceData.Fertiliser_Products_Data2(), FertiliserProducts[[#Headers],[Company]],31)</f>
        <v>Nitrogen - Generic</v>
      </c>
      <c r="P132" s="148" cm="1">
        <f t="array" ref="P132">Common_InputFunctions.Utility_DisplayArrayInTable(Fertiliser_SourceData.Fertiliser_Products_Data2(), FertiliserProducts[[#Headers],[Company]],31)</f>
        <v>9.7100000000000006E-2</v>
      </c>
      <c r="Q132" s="148" t="str" cm="1">
        <f t="array" ref="Q132">Common_InputFunctions.Utility_DisplayArrayInTable(Fertiliser_SourceData.Fertiliser_Products_Data2(), FertiliserProducts[[#Headers],[Company]],31)</f>
        <v>Potassium - Generic</v>
      </c>
      <c r="R132" s="148" cm="1">
        <f t="array" ref="R132">Common_InputFunctions.Utility_DisplayArrayInTable(Fertiliser_SourceData.Fertiliser_Products_Data2(), FertiliserProducts[[#Headers],[Company]],31)</f>
        <v>3.2500000000000001E-2</v>
      </c>
      <c r="S132" s="148" t="str" cm="1">
        <f t="array" ref="S132">Common_InputFunctions.Utility_DisplayArrayInTable(Fertiliser_SourceData.Fertiliser_Products_Data2(), FertiliserProducts[[#Headers],[Company]],31)</f>
        <v>Sulfur - Generic</v>
      </c>
      <c r="T132" s="148" cm="1">
        <f t="array" ref="T132">Common_InputFunctions.Utility_DisplayArrayInTable(Fertiliser_SourceData.Fertiliser_Products_Data2(), FertiliserProducts[[#Headers],[Company]],31)</f>
        <v>2.1100000000000001E-2</v>
      </c>
      <c r="U132" s="148" t="str" cm="1">
        <f t="array" ref="U132">Common_InputFunctions.Utility_DisplayArrayInTable(Fertiliser_SourceData.Fertiliser_Products_Data2(), FertiliserProducts[[#Headers],[Company]],31)</f>
        <v>Zinc</v>
      </c>
      <c r="V132" s="148" cm="1">
        <f t="array" ref="V132">Common_InputFunctions.Utility_DisplayArrayInTable(Fertiliser_SourceData.Fertiliser_Products_Data2(), FertiliserProducts[[#Headers],[Company]],31)</f>
        <v>1.4999999999999999E-2</v>
      </c>
      <c r="W132" s="148" t="str" cm="1">
        <f t="array" ref="W132">Common_InputFunctions.Utility_DisplayArrayInTable(Fertiliser_SourceData.Fertiliser_Products_Data2(), FertiliserProducts[[#Headers],[Company]],31)</f>
        <v>Iron</v>
      </c>
      <c r="X132" s="148" cm="1">
        <f t="array" ref="X132">Common_InputFunctions.Utility_DisplayArrayInTable(Fertiliser_SourceData.Fertiliser_Products_Data2(), FertiliserProducts[[#Headers],[Company]],31)</f>
        <v>1.11E-2</v>
      </c>
      <c r="Y132" s="148" t="str" cm="1">
        <f t="array" ref="Y132">Common_InputFunctions.Utility_DisplayArrayInTable(Fertiliser_SourceData.Fertiliser_Products_Data2(), FertiliserProducts[[#Headers],[Company]],31)</f>
        <v>Manganese</v>
      </c>
      <c r="Z132" s="148" cm="1">
        <f t="array" ref="Z132">Common_InputFunctions.Utility_DisplayArrayInTable(Fertiliser_SourceData.Fertiliser_Products_Data2(), FertiliserProducts[[#Headers],[Company]],31)</f>
        <v>1.15E-2</v>
      </c>
      <c r="AA132" s="148" t="str" cm="1">
        <f t="array" ref="AA132">Common_InputFunctions.Utility_DisplayArrayInTable(Fertiliser_SourceData.Fertiliser_Products_Data2(), FertiliserProducts[[#Headers],[Company]],31)</f>
        <v>Magnesium</v>
      </c>
      <c r="AB132" s="148" cm="1">
        <f t="array" ref="AB132">Common_InputFunctions.Utility_DisplayArrayInTable(Fertiliser_SourceData.Fertiliser_Products_Data2(), FertiliserProducts[[#Headers],[Company]],31)</f>
        <v>4.4999999999999997E-3</v>
      </c>
      <c r="AC132" s="148" t="str" cm="1">
        <f t="array" ref="AC132">Common_InputFunctions.Utility_DisplayArrayInTable(Fertiliser_SourceData.Fertiliser_Products_Data2(), FertiliserProducts[[#Headers],[Company]],31)</f>
        <v>Boron</v>
      </c>
      <c r="AD132" s="148" cm="1">
        <f t="array" ref="AD132">Common_InputFunctions.Utility_DisplayArrayInTable(Fertiliser_SourceData.Fertiliser_Products_Data2(), FertiliserProducts[[#Headers],[Company]],31)</f>
        <v>2E-3</v>
      </c>
      <c r="AE132" s="148" t="str" cm="1">
        <f t="array" ref="AE132">Common_InputFunctions.Utility_DisplayArrayInTable(Fertiliser_SourceData.Fertiliser_Products_Data2(), FertiliserProducts[[#Headers],[Company]],31)</f>
        <v/>
      </c>
      <c r="AF132" s="148" t="str" cm="1">
        <f t="array" ref="AF132">Common_InputFunctions.Utility_DisplayArrayInTable(Fertiliser_SourceData.Fertiliser_Products_Data2(), FertiliserProducts[[#Headers],[Company]],31)</f>
        <v/>
      </c>
      <c r="AG132" s="148" t="str" cm="1">
        <f t="array" ref="AG132">Common_InputFunctions.Utility_DisplayArrayInTable(Fertiliser_SourceData.Fertiliser_Products_Data2(), FertiliserProducts[[#Headers],[Company]],31)</f>
        <v/>
      </c>
      <c r="AH132" s="148" t="str" cm="1">
        <f t="array" ref="AH132">Common_InputFunctions.Utility_DisplayArrayInTable(Fertiliser_SourceData.Fertiliser_Products_Data2(), FertiliserProducts[[#Headers],[Company]],31)</f>
        <v/>
      </c>
      <c r="AK132" s="1"/>
      <c r="AL132" s="1"/>
      <c r="AM132" s="1"/>
    </row>
    <row r="133" spans="4:39" ht="20.100000000000001" customHeight="1" x14ac:dyDescent="0.2">
      <c r="D133" s="148" t="str" cm="1">
        <f t="array" ref="D133">Common_InputFunctions.Utility_DisplayArrayInTable(Fertiliser_SourceData.Fertiliser_Products_Data2(), FertiliserProducts[[#Headers],[Company]],31)</f>
        <v>Campbells fertilisers Australia</v>
      </c>
      <c r="E133" s="148" t="str" cm="1">
        <f t="array" ref="E133">Common_InputFunctions.Utility_DisplayArrayInTable(Fertiliser_SourceData.Fertiliser_Products_Data2(), FertiliserProducts[[#Headers],[Company]],31)</f>
        <v>Platinum Nergetic</v>
      </c>
      <c r="F133" s="148" t="str" cm="1">
        <f t="array" ref="F133">Common_InputFunctions.Utility_DisplayArrayInTable(Fertiliser_SourceData.Fertiliser_Products_Data2(), FertiliserProducts[[#Headers],[Company]],31)</f>
        <v>kg</v>
      </c>
      <c r="G133" s="148" cm="1">
        <f t="array" ref="G133">Common_InputFunctions.Utility_DisplayArrayInTable(Fertiliser_SourceData.Fertiliser_Products_Data2(), FertiliserProducts[[#Headers],[Company]],31)</f>
        <v>1</v>
      </c>
      <c r="H133" s="148" t="str" cm="1">
        <f t="array" ref="H133">Common_InputFunctions.Utility_DisplayArrayInTable(Fertiliser_SourceData.Fertiliser_Products_Data2(), FertiliserProducts[[#Headers],[Company]],31)</f>
        <v/>
      </c>
      <c r="I133" s="148" t="str" cm="1">
        <f t="array" ref="I133">Common_InputFunctions.Utility_DisplayArrayInTable(Fertiliser_SourceData.Fertiliser_Products_Data2(), FertiliserProducts[[#Headers],[Company]],31)</f>
        <v/>
      </c>
      <c r="J133" s="148" t="str" cm="1">
        <f t="array" ref="J133">Common_InputFunctions.Utility_DisplayArrayInTable(Fertiliser_SourceData.Fertiliser_Products_Data2(), FertiliserProducts[[#Headers],[Company]],31)</f>
        <v/>
      </c>
      <c r="K133" s="148" cm="1">
        <f t="array" ref="K133">Common_InputFunctions.Utility_DisplayArrayInTable(Fertiliser_SourceData.Fertiliser_Products_Data2(), FertiliserProducts[[#Headers],[Company]],31)</f>
        <v>10</v>
      </c>
      <c r="L133" s="148" cm="1">
        <f t="array" ref="L133">Common_InputFunctions.Utility_DisplayArrayInTable(Fertiliser_SourceData.Fertiliser_Products_Data2(), FertiliserProducts[[#Headers],[Company]],31)</f>
        <v>10.9</v>
      </c>
      <c r="M133" s="148" cm="1">
        <f t="array" ref="M133">Common_InputFunctions.Utility_DisplayArrayInTable(Fertiliser_SourceData.Fertiliser_Products_Data2(), FertiliserProducts[[#Headers],[Company]],31)</f>
        <v>10</v>
      </c>
      <c r="N133" s="148" cm="1">
        <f t="array" ref="N133">Common_InputFunctions.Utility_DisplayArrayInTable(Fertiliser_SourceData.Fertiliser_Products_Data2(), FertiliserProducts[[#Headers],[Company]],31)</f>
        <v>4.34</v>
      </c>
      <c r="O133" s="148" t="str" cm="1">
        <f t="array" ref="O133">Common_InputFunctions.Utility_DisplayArrayInTable(Fertiliser_SourceData.Fertiliser_Products_Data2(), FertiliserProducts[[#Headers],[Company]],31)</f>
        <v>Monoammonium phosphate (MAP)</v>
      </c>
      <c r="P133" s="148" cm="1">
        <f t="array" ref="P133">Common_InputFunctions.Utility_DisplayArrayInTable(Fertiliser_SourceData.Fertiliser_Products_Data2(), FertiliserProducts[[#Headers],[Company]],31)</f>
        <v>0.4178</v>
      </c>
      <c r="Q133" s="148" t="str" cm="1">
        <f t="array" ref="Q133">Common_InputFunctions.Utility_DisplayArrayInTable(Fertiliser_SourceData.Fertiliser_Products_Data2(), FertiliserProducts[[#Headers],[Company]],31)</f>
        <v>Ammonium nitrate (AN)</v>
      </c>
      <c r="R133" s="148" cm="1">
        <f t="array" ref="R133">Common_InputFunctions.Utility_DisplayArrayInTable(Fertiliser_SourceData.Fertiliser_Products_Data2(), FertiliserProducts[[#Headers],[Company]],31)</f>
        <v>0.17280000000000001</v>
      </c>
      <c r="S133" s="148" t="str" cm="1">
        <f t="array" ref="S133">Common_InputFunctions.Utility_DisplayArrayInTable(Fertiliser_SourceData.Fertiliser_Products_Data2(), FertiliserProducts[[#Headers],[Company]],31)</f>
        <v>Potassium sulphate</v>
      </c>
      <c r="T133" s="148" cm="1">
        <f t="array" ref="T133">Common_InputFunctions.Utility_DisplayArrayInTable(Fertiliser_SourceData.Fertiliser_Products_Data2(), FertiliserProducts[[#Headers],[Company]],31)</f>
        <v>0.24096400000000001</v>
      </c>
      <c r="U133" s="148" t="str" cm="1">
        <f t="array" ref="U133">Common_InputFunctions.Utility_DisplayArrayInTable(Fertiliser_SourceData.Fertiliser_Products_Data2(), FertiliserProducts[[#Headers],[Company]],31)</f>
        <v>Double superphosphate</v>
      </c>
      <c r="V133" s="148" cm="1">
        <f t="array" ref="V133">Common_InputFunctions.Utility_DisplayArrayInTable(Fertiliser_SourceData.Fertiliser_Products_Data2(), FertiliserProducts[[#Headers],[Company]],31)</f>
        <v>0.1</v>
      </c>
      <c r="W133" s="148" t="str" cm="1">
        <f t="array" ref="W133">Common_InputFunctions.Utility_DisplayArrayInTable(Fertiliser_SourceData.Fertiliser_Products_Data2(), FertiliserProducts[[#Headers],[Company]],31)</f>
        <v>Magnesium</v>
      </c>
      <c r="X133" s="148" cm="1">
        <f t="array" ref="X133">Common_InputFunctions.Utility_DisplayArrayInTable(Fertiliser_SourceData.Fertiliser_Products_Data2(), FertiliserProducts[[#Headers],[Company]],31)</f>
        <v>1.2E-2</v>
      </c>
      <c r="Y133" s="148" t="str" cm="1">
        <f t="array" ref="Y133">Common_InputFunctions.Utility_DisplayArrayInTable(Fertiliser_SourceData.Fertiliser_Products_Data2(), FertiliserProducts[[#Headers],[Company]],31)</f>
        <v>Zinc</v>
      </c>
      <c r="Z133" s="148" cm="1">
        <f t="array" ref="Z133">Common_InputFunctions.Utility_DisplayArrayInTable(Fertiliser_SourceData.Fertiliser_Products_Data2(), FertiliserProducts[[#Headers],[Company]],31)</f>
        <v>3.5999999999999999E-3</v>
      </c>
      <c r="AA133" s="148" t="str" cm="1">
        <f t="array" ref="AA133">Common_InputFunctions.Utility_DisplayArrayInTable(Fertiliser_SourceData.Fertiliser_Products_Data2(), FertiliserProducts[[#Headers],[Company]],31)</f>
        <v>Boron</v>
      </c>
      <c r="AB133" s="148" cm="1">
        <f t="array" ref="AB133">Common_InputFunctions.Utility_DisplayArrayInTable(Fertiliser_SourceData.Fertiliser_Products_Data2(), FertiliserProducts[[#Headers],[Company]],31)</f>
        <v>1E-3</v>
      </c>
      <c r="AC133" s="148" t="str" cm="1">
        <f t="array" ref="AC133">Common_InputFunctions.Utility_DisplayArrayInTable(Fertiliser_SourceData.Fertiliser_Products_Data2(), FertiliserProducts[[#Headers],[Company]],31)</f>
        <v>Glaze Extend G3 Flexi</v>
      </c>
      <c r="AD133" s="148" cm="1">
        <f t="array" ref="AD133">Common_InputFunctions.Utility_DisplayArrayInTable(Fertiliser_SourceData.Fertiliser_Products_Data2(), FertiliserProducts[[#Headers],[Company]],31)</f>
        <v>5.1900000000000002E-2</v>
      </c>
      <c r="AE133" s="148" t="str" cm="1">
        <f t="array" ref="AE133">Common_InputFunctions.Utility_DisplayArrayInTable(Fertiliser_SourceData.Fertiliser_Products_Data2(), FertiliserProducts[[#Headers],[Company]],31)</f>
        <v/>
      </c>
      <c r="AF133" s="148" t="str" cm="1">
        <f t="array" ref="AF133">Common_InputFunctions.Utility_DisplayArrayInTable(Fertiliser_SourceData.Fertiliser_Products_Data2(), FertiliserProducts[[#Headers],[Company]],31)</f>
        <v/>
      </c>
      <c r="AG133" s="148" t="str" cm="1">
        <f t="array" ref="AG133">Common_InputFunctions.Utility_DisplayArrayInTable(Fertiliser_SourceData.Fertiliser_Products_Data2(), FertiliserProducts[[#Headers],[Company]],31)</f>
        <v/>
      </c>
      <c r="AH133" s="148" t="str" cm="1">
        <f t="array" ref="AH133">Common_InputFunctions.Utility_DisplayArrayInTable(Fertiliser_SourceData.Fertiliser_Products_Data2(), FertiliserProducts[[#Headers],[Company]],31)</f>
        <v/>
      </c>
      <c r="AK133" s="1"/>
      <c r="AL133" s="1"/>
      <c r="AM133" s="1"/>
    </row>
    <row r="134" spans="4:39" ht="20.100000000000001" customHeight="1" x14ac:dyDescent="0.2">
      <c r="D134" s="148" t="str" cm="1">
        <f t="array" ref="D134">Common_InputFunctions.Utility_DisplayArrayInTable(Fertiliser_SourceData.Fertiliser_Products_Data2(), FertiliserProducts[[#Headers],[Company]],31)</f>
        <v>Impact Fertilisers</v>
      </c>
      <c r="E134" s="148" t="str" cm="1">
        <f t="array" ref="E134">Common_InputFunctions.Utility_DisplayArrayInTable(Fertiliser_SourceData.Fertiliser_Products_Data2(), FertiliserProducts[[#Headers],[Company]],31)</f>
        <v>Sulphate of ammonia (SOA)</v>
      </c>
      <c r="F134" s="148" t="str" cm="1">
        <f t="array" ref="F134">Common_InputFunctions.Utility_DisplayArrayInTable(Fertiliser_SourceData.Fertiliser_Products_Data2(), FertiliserProducts[[#Headers],[Company]],31)</f>
        <v>kg</v>
      </c>
      <c r="G134" s="148" cm="1">
        <f t="array" ref="G134">Common_InputFunctions.Utility_DisplayArrayInTable(Fertiliser_SourceData.Fertiliser_Products_Data2(), FertiliserProducts[[#Headers],[Company]],31)</f>
        <v>1</v>
      </c>
      <c r="H134" s="148" t="str" cm="1">
        <f t="array" ref="H134">Common_InputFunctions.Utility_DisplayArrayInTable(Fertiliser_SourceData.Fertiliser_Products_Data2(), FertiliserProducts[[#Headers],[Company]],31)</f>
        <v/>
      </c>
      <c r="I134" s="148" t="str" cm="1">
        <f t="array" ref="I134">Common_InputFunctions.Utility_DisplayArrayInTable(Fertiliser_SourceData.Fertiliser_Products_Data2(), FertiliserProducts[[#Headers],[Company]],31)</f>
        <v/>
      </c>
      <c r="J134" s="148" t="str" cm="1">
        <f t="array" ref="J134">Common_InputFunctions.Utility_DisplayArrayInTable(Fertiliser_SourceData.Fertiliser_Products_Data2(), FertiliserProducts[[#Headers],[Company]],31)</f>
        <v/>
      </c>
      <c r="K134" s="148" cm="1">
        <f t="array" ref="K134">Common_InputFunctions.Utility_DisplayArrayInTable(Fertiliser_SourceData.Fertiliser_Products_Data2(), FertiliserProducts[[#Headers],[Company]],31)</f>
        <v>21</v>
      </c>
      <c r="L134" s="148" t="str" cm="1">
        <f t="array" ref="L134">Common_InputFunctions.Utility_DisplayArrayInTable(Fertiliser_SourceData.Fertiliser_Products_Data2(), FertiliserProducts[[#Headers],[Company]],31)</f>
        <v/>
      </c>
      <c r="M134" s="148" t="str" cm="1">
        <f t="array" ref="M134">Common_InputFunctions.Utility_DisplayArrayInTable(Fertiliser_SourceData.Fertiliser_Products_Data2(), FertiliserProducts[[#Headers],[Company]],31)</f>
        <v/>
      </c>
      <c r="N134" s="148" cm="1">
        <f t="array" ref="N134">Common_InputFunctions.Utility_DisplayArrayInTable(Fertiliser_SourceData.Fertiliser_Products_Data2(), FertiliserProducts[[#Headers],[Company]],31)</f>
        <v>24</v>
      </c>
      <c r="O134" s="148" t="str" cm="1">
        <f t="array" ref="O134">Common_InputFunctions.Utility_DisplayArrayInTable(Fertiliser_SourceData.Fertiliser_Products_Data2(), FertiliserProducts[[#Headers],[Company]],31)</f>
        <v>Sulphate of ammonia (SOA)</v>
      </c>
      <c r="P134" s="148" cm="1">
        <f t="array" ref="P134">Common_InputFunctions.Utility_DisplayArrayInTable(Fertiliser_SourceData.Fertiliser_Products_Data2(), FertiliserProducts[[#Headers],[Company]],31)</f>
        <v>1</v>
      </c>
      <c r="Q134" s="148" t="str" cm="1">
        <f t="array" ref="Q134">Common_InputFunctions.Utility_DisplayArrayInTable(Fertiliser_SourceData.Fertiliser_Products_Data2(), FertiliserProducts[[#Headers],[Company]],31)</f>
        <v/>
      </c>
      <c r="R134" s="148" t="str" cm="1">
        <f t="array" ref="R134">Common_InputFunctions.Utility_DisplayArrayInTable(Fertiliser_SourceData.Fertiliser_Products_Data2(), FertiliserProducts[[#Headers],[Company]],31)</f>
        <v/>
      </c>
      <c r="S134" s="148" t="str" cm="1">
        <f t="array" ref="S134">Common_InputFunctions.Utility_DisplayArrayInTable(Fertiliser_SourceData.Fertiliser_Products_Data2(), FertiliserProducts[[#Headers],[Company]],31)</f>
        <v/>
      </c>
      <c r="T134" s="148" t="str" cm="1">
        <f t="array" ref="T134">Common_InputFunctions.Utility_DisplayArrayInTable(Fertiliser_SourceData.Fertiliser_Products_Data2(), FertiliserProducts[[#Headers],[Company]],31)</f>
        <v/>
      </c>
      <c r="U134" s="148" t="str" cm="1">
        <f t="array" ref="U134">Common_InputFunctions.Utility_DisplayArrayInTable(Fertiliser_SourceData.Fertiliser_Products_Data2(), FertiliserProducts[[#Headers],[Company]],31)</f>
        <v/>
      </c>
      <c r="V134" s="148" t="str" cm="1">
        <f t="array" ref="V134">Common_InputFunctions.Utility_DisplayArrayInTable(Fertiliser_SourceData.Fertiliser_Products_Data2(), FertiliserProducts[[#Headers],[Company]],31)</f>
        <v/>
      </c>
      <c r="W134" s="148" t="str" cm="1">
        <f t="array" ref="W134">Common_InputFunctions.Utility_DisplayArrayInTable(Fertiliser_SourceData.Fertiliser_Products_Data2(), FertiliserProducts[[#Headers],[Company]],31)</f>
        <v/>
      </c>
      <c r="X134" s="148" t="str" cm="1">
        <f t="array" ref="X134">Common_InputFunctions.Utility_DisplayArrayInTable(Fertiliser_SourceData.Fertiliser_Products_Data2(), FertiliserProducts[[#Headers],[Company]],31)</f>
        <v/>
      </c>
      <c r="Y134" s="148" t="str" cm="1">
        <f t="array" ref="Y134">Common_InputFunctions.Utility_DisplayArrayInTable(Fertiliser_SourceData.Fertiliser_Products_Data2(), FertiliserProducts[[#Headers],[Company]],31)</f>
        <v/>
      </c>
      <c r="Z134" s="148" t="str" cm="1">
        <f t="array" ref="Z134">Common_InputFunctions.Utility_DisplayArrayInTable(Fertiliser_SourceData.Fertiliser_Products_Data2(), FertiliserProducts[[#Headers],[Company]],31)</f>
        <v/>
      </c>
      <c r="AA134" s="148" t="str" cm="1">
        <f t="array" ref="AA134">Common_InputFunctions.Utility_DisplayArrayInTable(Fertiliser_SourceData.Fertiliser_Products_Data2(), FertiliserProducts[[#Headers],[Company]],31)</f>
        <v/>
      </c>
      <c r="AB134" s="148" t="str" cm="1">
        <f t="array" ref="AB134">Common_InputFunctions.Utility_DisplayArrayInTable(Fertiliser_SourceData.Fertiliser_Products_Data2(), FertiliserProducts[[#Headers],[Company]],31)</f>
        <v/>
      </c>
      <c r="AC134" s="148" t="str" cm="1">
        <f t="array" ref="AC134">Common_InputFunctions.Utility_DisplayArrayInTable(Fertiliser_SourceData.Fertiliser_Products_Data2(), FertiliserProducts[[#Headers],[Company]],31)</f>
        <v/>
      </c>
      <c r="AD134" s="148" t="str" cm="1">
        <f t="array" ref="AD134">Common_InputFunctions.Utility_DisplayArrayInTable(Fertiliser_SourceData.Fertiliser_Products_Data2(), FertiliserProducts[[#Headers],[Company]],31)</f>
        <v/>
      </c>
      <c r="AE134" s="148" t="str" cm="1">
        <f t="array" ref="AE134">Common_InputFunctions.Utility_DisplayArrayInTable(Fertiliser_SourceData.Fertiliser_Products_Data2(), FertiliserProducts[[#Headers],[Company]],31)</f>
        <v/>
      </c>
      <c r="AF134" s="148" t="str" cm="1">
        <f t="array" ref="AF134">Common_InputFunctions.Utility_DisplayArrayInTable(Fertiliser_SourceData.Fertiliser_Products_Data2(), FertiliserProducts[[#Headers],[Company]],31)</f>
        <v/>
      </c>
      <c r="AG134" s="148" t="str" cm="1">
        <f t="array" ref="AG134">Common_InputFunctions.Utility_DisplayArrayInTable(Fertiliser_SourceData.Fertiliser_Products_Data2(), FertiliserProducts[[#Headers],[Company]],31)</f>
        <v/>
      </c>
      <c r="AH134" s="148" t="str" cm="1">
        <f t="array" ref="AH134">Common_InputFunctions.Utility_DisplayArrayInTable(Fertiliser_SourceData.Fertiliser_Products_Data2(), FertiliserProducts[[#Headers],[Company]],31)</f>
        <v/>
      </c>
      <c r="AK134" s="1"/>
      <c r="AL134" s="1"/>
      <c r="AM134" s="1"/>
    </row>
    <row r="135" spans="4:39" ht="20.100000000000001" customHeight="1" x14ac:dyDescent="0.2">
      <c r="D135" s="148" t="str" cm="1">
        <f t="array" ref="D135">Common_InputFunctions.Utility_DisplayArrayInTable(Fertiliser_SourceData.Fertiliser_Products_Data2(), FertiliserProducts[[#Headers],[Company]],31)</f>
        <v>Impact Fertilisers</v>
      </c>
      <c r="E135" s="148" t="str" cm="1">
        <f t="array" ref="E135">Common_InputFunctions.Utility_DisplayArrayInTable(Fertiliser_SourceData.Fertiliser_Products_Data2(), FertiliserProducts[[#Headers],[Company]],31)</f>
        <v>Mono-Ammonium Phosphate (MAP)</v>
      </c>
      <c r="F135" s="148" t="str" cm="1">
        <f t="array" ref="F135">Common_InputFunctions.Utility_DisplayArrayInTable(Fertiliser_SourceData.Fertiliser_Products_Data2(), FertiliserProducts[[#Headers],[Company]],31)</f>
        <v>kg</v>
      </c>
      <c r="G135" s="148" cm="1">
        <f t="array" ref="G135">Common_InputFunctions.Utility_DisplayArrayInTable(Fertiliser_SourceData.Fertiliser_Products_Data2(), FertiliserProducts[[#Headers],[Company]],31)</f>
        <v>1</v>
      </c>
      <c r="H135" s="148" t="str" cm="1">
        <f t="array" ref="H135">Common_InputFunctions.Utility_DisplayArrayInTable(Fertiliser_SourceData.Fertiliser_Products_Data2(), FertiliserProducts[[#Headers],[Company]],31)</f>
        <v/>
      </c>
      <c r="I135" s="148" t="str" cm="1">
        <f t="array" ref="I135">Common_InputFunctions.Utility_DisplayArrayInTable(Fertiliser_SourceData.Fertiliser_Products_Data2(), FertiliserProducts[[#Headers],[Company]],31)</f>
        <v/>
      </c>
      <c r="J135" s="148" t="str" cm="1">
        <f t="array" ref="J135">Common_InputFunctions.Utility_DisplayArrayInTable(Fertiliser_SourceData.Fertiliser_Products_Data2(), FertiliserProducts[[#Headers],[Company]],31)</f>
        <v/>
      </c>
      <c r="K135" s="148" cm="1">
        <f t="array" ref="K135">Common_InputFunctions.Utility_DisplayArrayInTable(Fertiliser_SourceData.Fertiliser_Products_Data2(), FertiliserProducts[[#Headers],[Company]],31)</f>
        <v>10</v>
      </c>
      <c r="L135" s="148" cm="1">
        <f t="array" ref="L135">Common_InputFunctions.Utility_DisplayArrayInTable(Fertiliser_SourceData.Fertiliser_Products_Data2(), FertiliserProducts[[#Headers],[Company]],31)</f>
        <v>21.9</v>
      </c>
      <c r="M135" s="148" t="str" cm="1">
        <f t="array" ref="M135">Common_InputFunctions.Utility_DisplayArrayInTable(Fertiliser_SourceData.Fertiliser_Products_Data2(), FertiliserProducts[[#Headers],[Company]],31)</f>
        <v/>
      </c>
      <c r="N135" s="148" cm="1">
        <f t="array" ref="N135">Common_InputFunctions.Utility_DisplayArrayInTable(Fertiliser_SourceData.Fertiliser_Products_Data2(), FertiliserProducts[[#Headers],[Company]],31)</f>
        <v>1.5</v>
      </c>
      <c r="O135" s="148" t="str" cm="1">
        <f t="array" ref="O135">Common_InputFunctions.Utility_DisplayArrayInTable(Fertiliser_SourceData.Fertiliser_Products_Data2(), FertiliserProducts[[#Headers],[Company]],31)</f>
        <v>Monoammonium phosphate (MAP)</v>
      </c>
      <c r="P135" s="148" cm="1">
        <f t="array" ref="P135">Common_InputFunctions.Utility_DisplayArrayInTable(Fertiliser_SourceData.Fertiliser_Products_Data2(), FertiliserProducts[[#Headers],[Company]],31)</f>
        <v>1</v>
      </c>
      <c r="Q135" s="148" t="str" cm="1">
        <f t="array" ref="Q135">Common_InputFunctions.Utility_DisplayArrayInTable(Fertiliser_SourceData.Fertiliser_Products_Data2(), FertiliserProducts[[#Headers],[Company]],31)</f>
        <v/>
      </c>
      <c r="R135" s="148" t="str" cm="1">
        <f t="array" ref="R135">Common_InputFunctions.Utility_DisplayArrayInTable(Fertiliser_SourceData.Fertiliser_Products_Data2(), FertiliserProducts[[#Headers],[Company]],31)</f>
        <v/>
      </c>
      <c r="S135" s="148" t="str" cm="1">
        <f t="array" ref="S135">Common_InputFunctions.Utility_DisplayArrayInTable(Fertiliser_SourceData.Fertiliser_Products_Data2(), FertiliserProducts[[#Headers],[Company]],31)</f>
        <v/>
      </c>
      <c r="T135" s="148" t="str" cm="1">
        <f t="array" ref="T135">Common_InputFunctions.Utility_DisplayArrayInTable(Fertiliser_SourceData.Fertiliser_Products_Data2(), FertiliserProducts[[#Headers],[Company]],31)</f>
        <v/>
      </c>
      <c r="U135" s="148" t="str" cm="1">
        <f t="array" ref="U135">Common_InputFunctions.Utility_DisplayArrayInTable(Fertiliser_SourceData.Fertiliser_Products_Data2(), FertiliserProducts[[#Headers],[Company]],31)</f>
        <v/>
      </c>
      <c r="V135" s="148" t="str" cm="1">
        <f t="array" ref="V135">Common_InputFunctions.Utility_DisplayArrayInTable(Fertiliser_SourceData.Fertiliser_Products_Data2(), FertiliserProducts[[#Headers],[Company]],31)</f>
        <v/>
      </c>
      <c r="W135" s="148" t="str" cm="1">
        <f t="array" ref="W135">Common_InputFunctions.Utility_DisplayArrayInTable(Fertiliser_SourceData.Fertiliser_Products_Data2(), FertiliserProducts[[#Headers],[Company]],31)</f>
        <v/>
      </c>
      <c r="X135" s="148" t="str" cm="1">
        <f t="array" ref="X135">Common_InputFunctions.Utility_DisplayArrayInTable(Fertiliser_SourceData.Fertiliser_Products_Data2(), FertiliserProducts[[#Headers],[Company]],31)</f>
        <v/>
      </c>
      <c r="Y135" s="148" t="str" cm="1">
        <f t="array" ref="Y135">Common_InputFunctions.Utility_DisplayArrayInTable(Fertiliser_SourceData.Fertiliser_Products_Data2(), FertiliserProducts[[#Headers],[Company]],31)</f>
        <v/>
      </c>
      <c r="Z135" s="148" t="str" cm="1">
        <f t="array" ref="Z135">Common_InputFunctions.Utility_DisplayArrayInTable(Fertiliser_SourceData.Fertiliser_Products_Data2(), FertiliserProducts[[#Headers],[Company]],31)</f>
        <v/>
      </c>
      <c r="AA135" s="148" t="str" cm="1">
        <f t="array" ref="AA135">Common_InputFunctions.Utility_DisplayArrayInTable(Fertiliser_SourceData.Fertiliser_Products_Data2(), FertiliserProducts[[#Headers],[Company]],31)</f>
        <v/>
      </c>
      <c r="AB135" s="148" t="str" cm="1">
        <f t="array" ref="AB135">Common_InputFunctions.Utility_DisplayArrayInTable(Fertiliser_SourceData.Fertiliser_Products_Data2(), FertiliserProducts[[#Headers],[Company]],31)</f>
        <v/>
      </c>
      <c r="AC135" s="148" t="str" cm="1">
        <f t="array" ref="AC135">Common_InputFunctions.Utility_DisplayArrayInTable(Fertiliser_SourceData.Fertiliser_Products_Data2(), FertiliserProducts[[#Headers],[Company]],31)</f>
        <v/>
      </c>
      <c r="AD135" s="148" t="str" cm="1">
        <f t="array" ref="AD135">Common_InputFunctions.Utility_DisplayArrayInTable(Fertiliser_SourceData.Fertiliser_Products_Data2(), FertiliserProducts[[#Headers],[Company]],31)</f>
        <v/>
      </c>
      <c r="AE135" s="148" t="str" cm="1">
        <f t="array" ref="AE135">Common_InputFunctions.Utility_DisplayArrayInTable(Fertiliser_SourceData.Fertiliser_Products_Data2(), FertiliserProducts[[#Headers],[Company]],31)</f>
        <v/>
      </c>
      <c r="AF135" s="148" t="str" cm="1">
        <f t="array" ref="AF135">Common_InputFunctions.Utility_DisplayArrayInTable(Fertiliser_SourceData.Fertiliser_Products_Data2(), FertiliserProducts[[#Headers],[Company]],31)</f>
        <v/>
      </c>
      <c r="AG135" s="148" t="str" cm="1">
        <f t="array" ref="AG135">Common_InputFunctions.Utility_DisplayArrayInTable(Fertiliser_SourceData.Fertiliser_Products_Data2(), FertiliserProducts[[#Headers],[Company]],31)</f>
        <v/>
      </c>
      <c r="AH135" s="148" t="str" cm="1">
        <f t="array" ref="AH135">Common_InputFunctions.Utility_DisplayArrayInTable(Fertiliser_SourceData.Fertiliser_Products_Data2(), FertiliserProducts[[#Headers],[Company]],31)</f>
        <v/>
      </c>
      <c r="AK135" s="1"/>
      <c r="AL135" s="1"/>
      <c r="AM135" s="1"/>
    </row>
    <row r="136" spans="4:39" ht="20.100000000000001" customHeight="1" x14ac:dyDescent="0.2">
      <c r="D136" s="148" t="str" cm="1">
        <f t="array" ref="D136">Common_InputFunctions.Utility_DisplayArrayInTable(Fertiliser_SourceData.Fertiliser_Products_Data2(), FertiliserProducts[[#Headers],[Company]],31)</f>
        <v>Impact Fertilisers</v>
      </c>
      <c r="E136" s="148" t="str" cm="1">
        <f t="array" ref="E136">Common_InputFunctions.Utility_DisplayArrayInTable(Fertiliser_SourceData.Fertiliser_Products_Data2(), FertiliserProducts[[#Headers],[Company]],31)</f>
        <v>Urea</v>
      </c>
      <c r="F136" s="148" t="str" cm="1">
        <f t="array" ref="F136">Common_InputFunctions.Utility_DisplayArrayInTable(Fertiliser_SourceData.Fertiliser_Products_Data2(), FertiliserProducts[[#Headers],[Company]],31)</f>
        <v>kg</v>
      </c>
      <c r="G136" s="148" cm="1">
        <f t="array" ref="G136">Common_InputFunctions.Utility_DisplayArrayInTable(Fertiliser_SourceData.Fertiliser_Products_Data2(), FertiliserProducts[[#Headers],[Company]],31)</f>
        <v>1</v>
      </c>
      <c r="H136" s="148" t="str" cm="1">
        <f t="array" ref="H136">Common_InputFunctions.Utility_DisplayArrayInTable(Fertiliser_SourceData.Fertiliser_Products_Data2(), FertiliserProducts[[#Headers],[Company]],31)</f>
        <v/>
      </c>
      <c r="I136" s="148" t="str" cm="1">
        <f t="array" ref="I136">Common_InputFunctions.Utility_DisplayArrayInTable(Fertiliser_SourceData.Fertiliser_Products_Data2(), FertiliserProducts[[#Headers],[Company]],31)</f>
        <v/>
      </c>
      <c r="J136" s="148" t="str" cm="1">
        <f t="array" ref="J136">Common_InputFunctions.Utility_DisplayArrayInTable(Fertiliser_SourceData.Fertiliser_Products_Data2(), FertiliserProducts[[#Headers],[Company]],31)</f>
        <v/>
      </c>
      <c r="K136" s="148" cm="1">
        <f t="array" ref="K136">Common_InputFunctions.Utility_DisplayArrayInTable(Fertiliser_SourceData.Fertiliser_Products_Data2(), FertiliserProducts[[#Headers],[Company]],31)</f>
        <v>46</v>
      </c>
      <c r="L136" s="148" t="str" cm="1">
        <f t="array" ref="L136">Common_InputFunctions.Utility_DisplayArrayInTable(Fertiliser_SourceData.Fertiliser_Products_Data2(), FertiliserProducts[[#Headers],[Company]],31)</f>
        <v/>
      </c>
      <c r="M136" s="148" t="str" cm="1">
        <f t="array" ref="M136">Common_InputFunctions.Utility_DisplayArrayInTable(Fertiliser_SourceData.Fertiliser_Products_Data2(), FertiliserProducts[[#Headers],[Company]],31)</f>
        <v/>
      </c>
      <c r="N136" s="148" t="str" cm="1">
        <f t="array" ref="N136">Common_InputFunctions.Utility_DisplayArrayInTable(Fertiliser_SourceData.Fertiliser_Products_Data2(), FertiliserProducts[[#Headers],[Company]],31)</f>
        <v/>
      </c>
      <c r="O136" s="148" t="str" cm="1">
        <f t="array" ref="O136">Common_InputFunctions.Utility_DisplayArrayInTable(Fertiliser_SourceData.Fertiliser_Products_Data2(), FertiliserProducts[[#Headers],[Company]],31)</f>
        <v>Urea</v>
      </c>
      <c r="P136" s="148" cm="1">
        <f t="array" ref="P136">Common_InputFunctions.Utility_DisplayArrayInTable(Fertiliser_SourceData.Fertiliser_Products_Data2(), FertiliserProducts[[#Headers],[Company]],31)</f>
        <v>1</v>
      </c>
      <c r="Q136" s="148" t="str" cm="1">
        <f t="array" ref="Q136">Common_InputFunctions.Utility_DisplayArrayInTable(Fertiliser_SourceData.Fertiliser_Products_Data2(), FertiliserProducts[[#Headers],[Company]],31)</f>
        <v/>
      </c>
      <c r="R136" s="148" t="str" cm="1">
        <f t="array" ref="R136">Common_InputFunctions.Utility_DisplayArrayInTable(Fertiliser_SourceData.Fertiliser_Products_Data2(), FertiliserProducts[[#Headers],[Company]],31)</f>
        <v/>
      </c>
      <c r="S136" s="148" t="str" cm="1">
        <f t="array" ref="S136">Common_InputFunctions.Utility_DisplayArrayInTable(Fertiliser_SourceData.Fertiliser_Products_Data2(), FertiliserProducts[[#Headers],[Company]],31)</f>
        <v/>
      </c>
      <c r="T136" s="148" t="str" cm="1">
        <f t="array" ref="T136">Common_InputFunctions.Utility_DisplayArrayInTable(Fertiliser_SourceData.Fertiliser_Products_Data2(), FertiliserProducts[[#Headers],[Company]],31)</f>
        <v/>
      </c>
      <c r="U136" s="148" t="str" cm="1">
        <f t="array" ref="U136">Common_InputFunctions.Utility_DisplayArrayInTable(Fertiliser_SourceData.Fertiliser_Products_Data2(), FertiliserProducts[[#Headers],[Company]],31)</f>
        <v/>
      </c>
      <c r="V136" s="148" t="str" cm="1">
        <f t="array" ref="V136">Common_InputFunctions.Utility_DisplayArrayInTable(Fertiliser_SourceData.Fertiliser_Products_Data2(), FertiliserProducts[[#Headers],[Company]],31)</f>
        <v/>
      </c>
      <c r="W136" s="148" t="str" cm="1">
        <f t="array" ref="W136">Common_InputFunctions.Utility_DisplayArrayInTable(Fertiliser_SourceData.Fertiliser_Products_Data2(), FertiliserProducts[[#Headers],[Company]],31)</f>
        <v/>
      </c>
      <c r="X136" s="148" t="str" cm="1">
        <f t="array" ref="X136">Common_InputFunctions.Utility_DisplayArrayInTable(Fertiliser_SourceData.Fertiliser_Products_Data2(), FertiliserProducts[[#Headers],[Company]],31)</f>
        <v/>
      </c>
      <c r="Y136" s="148" t="str" cm="1">
        <f t="array" ref="Y136">Common_InputFunctions.Utility_DisplayArrayInTable(Fertiliser_SourceData.Fertiliser_Products_Data2(), FertiliserProducts[[#Headers],[Company]],31)</f>
        <v/>
      </c>
      <c r="Z136" s="148" t="str" cm="1">
        <f t="array" ref="Z136">Common_InputFunctions.Utility_DisplayArrayInTable(Fertiliser_SourceData.Fertiliser_Products_Data2(), FertiliserProducts[[#Headers],[Company]],31)</f>
        <v/>
      </c>
      <c r="AA136" s="148" t="str" cm="1">
        <f t="array" ref="AA136">Common_InputFunctions.Utility_DisplayArrayInTable(Fertiliser_SourceData.Fertiliser_Products_Data2(), FertiliserProducts[[#Headers],[Company]],31)</f>
        <v/>
      </c>
      <c r="AB136" s="148" t="str" cm="1">
        <f t="array" ref="AB136">Common_InputFunctions.Utility_DisplayArrayInTable(Fertiliser_SourceData.Fertiliser_Products_Data2(), FertiliserProducts[[#Headers],[Company]],31)</f>
        <v/>
      </c>
      <c r="AC136" s="148" t="str" cm="1">
        <f t="array" ref="AC136">Common_InputFunctions.Utility_DisplayArrayInTable(Fertiliser_SourceData.Fertiliser_Products_Data2(), FertiliserProducts[[#Headers],[Company]],31)</f>
        <v/>
      </c>
      <c r="AD136" s="148" t="str" cm="1">
        <f t="array" ref="AD136">Common_InputFunctions.Utility_DisplayArrayInTable(Fertiliser_SourceData.Fertiliser_Products_Data2(), FertiliserProducts[[#Headers],[Company]],31)</f>
        <v/>
      </c>
      <c r="AE136" s="148" t="str" cm="1">
        <f t="array" ref="AE136">Common_InputFunctions.Utility_DisplayArrayInTable(Fertiliser_SourceData.Fertiliser_Products_Data2(), FertiliserProducts[[#Headers],[Company]],31)</f>
        <v/>
      </c>
      <c r="AF136" s="148" t="str" cm="1">
        <f t="array" ref="AF136">Common_InputFunctions.Utility_DisplayArrayInTable(Fertiliser_SourceData.Fertiliser_Products_Data2(), FertiliserProducts[[#Headers],[Company]],31)</f>
        <v/>
      </c>
      <c r="AG136" s="148" t="str" cm="1">
        <f t="array" ref="AG136">Common_InputFunctions.Utility_DisplayArrayInTable(Fertiliser_SourceData.Fertiliser_Products_Data2(), FertiliserProducts[[#Headers],[Company]],31)</f>
        <v/>
      </c>
      <c r="AH136" s="148" t="str" cm="1">
        <f t="array" ref="AH136">Common_InputFunctions.Utility_DisplayArrayInTable(Fertiliser_SourceData.Fertiliser_Products_Data2(), FertiliserProducts[[#Headers],[Company]],31)</f>
        <v/>
      </c>
      <c r="AK136" s="1"/>
      <c r="AL136" s="1"/>
      <c r="AM136" s="1"/>
    </row>
    <row r="137" spans="4:39" ht="20.100000000000001" customHeight="1" x14ac:dyDescent="0.2">
      <c r="D137" s="148" t="str" cm="1">
        <f t="array" ref="D137">Common_InputFunctions.Utility_DisplayArrayInTable(Fertiliser_SourceData.Fertiliser_Products_Data2(), FertiliserProducts[[#Headers],[Company]],31)</f>
        <v>Koch Fertiliser Australia</v>
      </c>
      <c r="E137" s="148" t="str" cm="1">
        <f t="array" ref="E137">Common_InputFunctions.Utility_DisplayArrayInTable(Fertiliser_SourceData.Fertiliser_Products_Data2(), FertiliserProducts[[#Headers],[Company]],31)</f>
        <v>Muriate of potash (MOP)</v>
      </c>
      <c r="F137" s="148" t="str" cm="1">
        <f t="array" ref="F137">Common_InputFunctions.Utility_DisplayArrayInTable(Fertiliser_SourceData.Fertiliser_Products_Data2(), FertiliserProducts[[#Headers],[Company]],31)</f>
        <v>kg</v>
      </c>
      <c r="G137" s="148" cm="1">
        <f t="array" ref="G137">Common_InputFunctions.Utility_DisplayArrayInTable(Fertiliser_SourceData.Fertiliser_Products_Data2(), FertiliserProducts[[#Headers],[Company]],31)</f>
        <v>1</v>
      </c>
      <c r="H137" s="148" t="str" cm="1">
        <f t="array" ref="H137">Common_InputFunctions.Utility_DisplayArrayInTable(Fertiliser_SourceData.Fertiliser_Products_Data2(), FertiliserProducts[[#Headers],[Company]],31)</f>
        <v/>
      </c>
      <c r="I137" s="148" t="str" cm="1">
        <f t="array" ref="I137">Common_InputFunctions.Utility_DisplayArrayInTable(Fertiliser_SourceData.Fertiliser_Products_Data2(), FertiliserProducts[[#Headers],[Company]],31)</f>
        <v/>
      </c>
      <c r="J137" s="148" t="str" cm="1">
        <f t="array" ref="J137">Common_InputFunctions.Utility_DisplayArrayInTable(Fertiliser_SourceData.Fertiliser_Products_Data2(), FertiliserProducts[[#Headers],[Company]],31)</f>
        <v/>
      </c>
      <c r="K137" s="148" t="str" cm="1">
        <f t="array" ref="K137">Common_InputFunctions.Utility_DisplayArrayInTable(Fertiliser_SourceData.Fertiliser_Products_Data2(), FertiliserProducts[[#Headers],[Company]],31)</f>
        <v/>
      </c>
      <c r="L137" s="148" t="str" cm="1">
        <f t="array" ref="L137">Common_InputFunctions.Utility_DisplayArrayInTable(Fertiliser_SourceData.Fertiliser_Products_Data2(), FertiliserProducts[[#Headers],[Company]],31)</f>
        <v/>
      </c>
      <c r="M137" s="148" cm="1">
        <f t="array" ref="M137">Common_InputFunctions.Utility_DisplayArrayInTable(Fertiliser_SourceData.Fertiliser_Products_Data2(), FertiliserProducts[[#Headers],[Company]],31)</f>
        <v>50</v>
      </c>
      <c r="N137" s="148" t="str" cm="1">
        <f t="array" ref="N137">Common_InputFunctions.Utility_DisplayArrayInTable(Fertiliser_SourceData.Fertiliser_Products_Data2(), FertiliserProducts[[#Headers],[Company]],31)</f>
        <v/>
      </c>
      <c r="O137" s="148" t="str" cm="1">
        <f t="array" ref="O137">Common_InputFunctions.Utility_DisplayArrayInTable(Fertiliser_SourceData.Fertiliser_Products_Data2(), FertiliserProducts[[#Headers],[Company]],31)</f>
        <v>Muriate of potash (MOP)</v>
      </c>
      <c r="P137" s="148" cm="1">
        <f t="array" ref="P137">Common_InputFunctions.Utility_DisplayArrayInTable(Fertiliser_SourceData.Fertiliser_Products_Data2(), FertiliserProducts[[#Headers],[Company]],31)</f>
        <v>1</v>
      </c>
      <c r="Q137" s="148" t="str" cm="1">
        <f t="array" ref="Q137">Common_InputFunctions.Utility_DisplayArrayInTable(Fertiliser_SourceData.Fertiliser_Products_Data2(), FertiliserProducts[[#Headers],[Company]],31)</f>
        <v/>
      </c>
      <c r="R137" s="148" t="str" cm="1">
        <f t="array" ref="R137">Common_InputFunctions.Utility_DisplayArrayInTable(Fertiliser_SourceData.Fertiliser_Products_Data2(), FertiliserProducts[[#Headers],[Company]],31)</f>
        <v/>
      </c>
      <c r="S137" s="148" t="str" cm="1">
        <f t="array" ref="S137">Common_InputFunctions.Utility_DisplayArrayInTable(Fertiliser_SourceData.Fertiliser_Products_Data2(), FertiliserProducts[[#Headers],[Company]],31)</f>
        <v/>
      </c>
      <c r="T137" s="148" t="str" cm="1">
        <f t="array" ref="T137">Common_InputFunctions.Utility_DisplayArrayInTable(Fertiliser_SourceData.Fertiliser_Products_Data2(), FertiliserProducts[[#Headers],[Company]],31)</f>
        <v/>
      </c>
      <c r="U137" s="148" t="str" cm="1">
        <f t="array" ref="U137">Common_InputFunctions.Utility_DisplayArrayInTable(Fertiliser_SourceData.Fertiliser_Products_Data2(), FertiliserProducts[[#Headers],[Company]],31)</f>
        <v/>
      </c>
      <c r="V137" s="148" t="str" cm="1">
        <f t="array" ref="V137">Common_InputFunctions.Utility_DisplayArrayInTable(Fertiliser_SourceData.Fertiliser_Products_Data2(), FertiliserProducts[[#Headers],[Company]],31)</f>
        <v/>
      </c>
      <c r="W137" s="148" t="str" cm="1">
        <f t="array" ref="W137">Common_InputFunctions.Utility_DisplayArrayInTable(Fertiliser_SourceData.Fertiliser_Products_Data2(), FertiliserProducts[[#Headers],[Company]],31)</f>
        <v/>
      </c>
      <c r="X137" s="148" t="str" cm="1">
        <f t="array" ref="X137">Common_InputFunctions.Utility_DisplayArrayInTable(Fertiliser_SourceData.Fertiliser_Products_Data2(), FertiliserProducts[[#Headers],[Company]],31)</f>
        <v/>
      </c>
      <c r="Y137" s="148" t="str" cm="1">
        <f t="array" ref="Y137">Common_InputFunctions.Utility_DisplayArrayInTable(Fertiliser_SourceData.Fertiliser_Products_Data2(), FertiliserProducts[[#Headers],[Company]],31)</f>
        <v/>
      </c>
      <c r="Z137" s="148" t="str" cm="1">
        <f t="array" ref="Z137">Common_InputFunctions.Utility_DisplayArrayInTable(Fertiliser_SourceData.Fertiliser_Products_Data2(), FertiliserProducts[[#Headers],[Company]],31)</f>
        <v/>
      </c>
      <c r="AA137" s="148" t="str" cm="1">
        <f t="array" ref="AA137">Common_InputFunctions.Utility_DisplayArrayInTable(Fertiliser_SourceData.Fertiliser_Products_Data2(), FertiliserProducts[[#Headers],[Company]],31)</f>
        <v/>
      </c>
      <c r="AB137" s="148" t="str" cm="1">
        <f t="array" ref="AB137">Common_InputFunctions.Utility_DisplayArrayInTable(Fertiliser_SourceData.Fertiliser_Products_Data2(), FertiliserProducts[[#Headers],[Company]],31)</f>
        <v/>
      </c>
      <c r="AC137" s="148" t="str" cm="1">
        <f t="array" ref="AC137">Common_InputFunctions.Utility_DisplayArrayInTable(Fertiliser_SourceData.Fertiliser_Products_Data2(), FertiliserProducts[[#Headers],[Company]],31)</f>
        <v/>
      </c>
      <c r="AD137" s="148" t="str" cm="1">
        <f t="array" ref="AD137">Common_InputFunctions.Utility_DisplayArrayInTable(Fertiliser_SourceData.Fertiliser_Products_Data2(), FertiliserProducts[[#Headers],[Company]],31)</f>
        <v/>
      </c>
      <c r="AE137" s="148" t="str" cm="1">
        <f t="array" ref="AE137">Common_InputFunctions.Utility_DisplayArrayInTable(Fertiliser_SourceData.Fertiliser_Products_Data2(), FertiliserProducts[[#Headers],[Company]],31)</f>
        <v/>
      </c>
      <c r="AF137" s="148" t="str" cm="1">
        <f t="array" ref="AF137">Common_InputFunctions.Utility_DisplayArrayInTable(Fertiliser_SourceData.Fertiliser_Products_Data2(), FertiliserProducts[[#Headers],[Company]],31)</f>
        <v/>
      </c>
      <c r="AG137" s="148" t="str" cm="1">
        <f t="array" ref="AG137">Common_InputFunctions.Utility_DisplayArrayInTable(Fertiliser_SourceData.Fertiliser_Products_Data2(), FertiliserProducts[[#Headers],[Company]],31)</f>
        <v/>
      </c>
      <c r="AH137" s="148" t="str" cm="1">
        <f t="array" ref="AH137">Common_InputFunctions.Utility_DisplayArrayInTable(Fertiliser_SourceData.Fertiliser_Products_Data2(), FertiliserProducts[[#Headers],[Company]],31)</f>
        <v/>
      </c>
      <c r="AK137" s="1"/>
      <c r="AL137" s="1"/>
      <c r="AM137" s="1"/>
    </row>
    <row r="138" spans="4:39" ht="20.100000000000001" customHeight="1" x14ac:dyDescent="0.2">
      <c r="D138" s="148" t="str" cm="1">
        <f t="array" ref="D138">Common_InputFunctions.Utility_DisplayArrayInTable(Fertiliser_SourceData.Fertiliser_Products_Data2(), FertiliserProducts[[#Headers],[Company]],31)</f>
        <v>Risso-Chemical</v>
      </c>
      <c r="E138" s="148" t="str" cm="1">
        <f t="array" ref="E138">Common_InputFunctions.Utility_DisplayArrayInTable(Fertiliser_SourceData.Fertiliser_Products_Data2(), FertiliserProducts[[#Headers],[Company]],31)</f>
        <v>Urea Ammonium nitrate (UAN 32-0-0)</v>
      </c>
      <c r="F138" s="148" t="str" cm="1">
        <f t="array" ref="F138">Common_InputFunctions.Utility_DisplayArrayInTable(Fertiliser_SourceData.Fertiliser_Products_Data2(), FertiliserProducts[[#Headers],[Company]],31)</f>
        <v>L</v>
      </c>
      <c r="G138" s="148" cm="1">
        <f t="array" ref="G138">Common_InputFunctions.Utility_DisplayArrayInTable(Fertiliser_SourceData.Fertiliser_Products_Data2(), FertiliserProducts[[#Headers],[Company]],31)</f>
        <v>1.32</v>
      </c>
      <c r="H138" s="148" t="str" cm="1">
        <f t="array" ref="H138">Common_InputFunctions.Utility_DisplayArrayInTable(Fertiliser_SourceData.Fertiliser_Products_Data2(), FertiliserProducts[[#Headers],[Company]],31)</f>
        <v/>
      </c>
      <c r="I138" s="148" t="str" cm="1">
        <f t="array" ref="I138">Common_InputFunctions.Utility_DisplayArrayInTable(Fertiliser_SourceData.Fertiliser_Products_Data2(), FertiliserProducts[[#Headers],[Company]],31)</f>
        <v>China</v>
      </c>
      <c r="J138" s="148" t="str" cm="1">
        <f t="array" ref="J138">Common_InputFunctions.Utility_DisplayArrayInTable(Fertiliser_SourceData.Fertiliser_Products_Data2(), FertiliserProducts[[#Headers],[Company]],31)</f>
        <v>China</v>
      </c>
      <c r="K138" s="148" cm="1">
        <f t="array" ref="K138">Common_InputFunctions.Utility_DisplayArrayInTable(Fertiliser_SourceData.Fertiliser_Products_Data2(), FertiliserProducts[[#Headers],[Company]],31)</f>
        <v>32</v>
      </c>
      <c r="L138" s="148" t="str" cm="1">
        <f t="array" ref="L138">Common_InputFunctions.Utility_DisplayArrayInTable(Fertiliser_SourceData.Fertiliser_Products_Data2(), FertiliserProducts[[#Headers],[Company]],31)</f>
        <v/>
      </c>
      <c r="M138" s="148" t="str" cm="1">
        <f t="array" ref="M138">Common_InputFunctions.Utility_DisplayArrayInTable(Fertiliser_SourceData.Fertiliser_Products_Data2(), FertiliserProducts[[#Headers],[Company]],31)</f>
        <v/>
      </c>
      <c r="N138" s="148" t="str" cm="1">
        <f t="array" ref="N138">Common_InputFunctions.Utility_DisplayArrayInTable(Fertiliser_SourceData.Fertiliser_Products_Data2(), FertiliserProducts[[#Headers],[Company]],31)</f>
        <v/>
      </c>
      <c r="O138" s="148" t="str" cm="1">
        <f t="array" ref="O138">Common_InputFunctions.Utility_DisplayArrayInTable(Fertiliser_SourceData.Fertiliser_Products_Data2(), FertiliserProducts[[#Headers],[Company]],31)</f>
        <v>Urea-ammonium nitrate (UAN)</v>
      </c>
      <c r="P138" s="148" cm="1">
        <f t="array" ref="P138">Common_InputFunctions.Utility_DisplayArrayInTable(Fertiliser_SourceData.Fertiliser_Products_Data2(), FertiliserProducts[[#Headers],[Company]],31)</f>
        <v>1</v>
      </c>
      <c r="Q138" s="148" t="str" cm="1">
        <f t="array" ref="Q138">Common_InputFunctions.Utility_DisplayArrayInTable(Fertiliser_SourceData.Fertiliser_Products_Data2(), FertiliserProducts[[#Headers],[Company]],31)</f>
        <v/>
      </c>
      <c r="R138" s="148" t="str" cm="1">
        <f t="array" ref="R138">Common_InputFunctions.Utility_DisplayArrayInTable(Fertiliser_SourceData.Fertiliser_Products_Data2(), FertiliserProducts[[#Headers],[Company]],31)</f>
        <v/>
      </c>
      <c r="S138" s="148" t="str" cm="1">
        <f t="array" ref="S138">Common_InputFunctions.Utility_DisplayArrayInTable(Fertiliser_SourceData.Fertiliser_Products_Data2(), FertiliserProducts[[#Headers],[Company]],31)</f>
        <v/>
      </c>
      <c r="T138" s="148" t="str" cm="1">
        <f t="array" ref="T138">Common_InputFunctions.Utility_DisplayArrayInTable(Fertiliser_SourceData.Fertiliser_Products_Data2(), FertiliserProducts[[#Headers],[Company]],31)</f>
        <v/>
      </c>
      <c r="U138" s="148" t="str" cm="1">
        <f t="array" ref="U138">Common_InputFunctions.Utility_DisplayArrayInTable(Fertiliser_SourceData.Fertiliser_Products_Data2(), FertiliserProducts[[#Headers],[Company]],31)</f>
        <v/>
      </c>
      <c r="V138" s="148" t="str" cm="1">
        <f t="array" ref="V138">Common_InputFunctions.Utility_DisplayArrayInTable(Fertiliser_SourceData.Fertiliser_Products_Data2(), FertiliserProducts[[#Headers],[Company]],31)</f>
        <v/>
      </c>
      <c r="W138" s="148" t="str" cm="1">
        <f t="array" ref="W138">Common_InputFunctions.Utility_DisplayArrayInTable(Fertiliser_SourceData.Fertiliser_Products_Data2(), FertiliserProducts[[#Headers],[Company]],31)</f>
        <v/>
      </c>
      <c r="X138" s="148" t="str" cm="1">
        <f t="array" ref="X138">Common_InputFunctions.Utility_DisplayArrayInTable(Fertiliser_SourceData.Fertiliser_Products_Data2(), FertiliserProducts[[#Headers],[Company]],31)</f>
        <v/>
      </c>
      <c r="Y138" s="148" t="str" cm="1">
        <f t="array" ref="Y138">Common_InputFunctions.Utility_DisplayArrayInTable(Fertiliser_SourceData.Fertiliser_Products_Data2(), FertiliserProducts[[#Headers],[Company]],31)</f>
        <v/>
      </c>
      <c r="Z138" s="148" t="str" cm="1">
        <f t="array" ref="Z138">Common_InputFunctions.Utility_DisplayArrayInTable(Fertiliser_SourceData.Fertiliser_Products_Data2(), FertiliserProducts[[#Headers],[Company]],31)</f>
        <v/>
      </c>
      <c r="AA138" s="148" t="str" cm="1">
        <f t="array" ref="AA138">Common_InputFunctions.Utility_DisplayArrayInTable(Fertiliser_SourceData.Fertiliser_Products_Data2(), FertiliserProducts[[#Headers],[Company]],31)</f>
        <v/>
      </c>
      <c r="AB138" s="148" t="str" cm="1">
        <f t="array" ref="AB138">Common_InputFunctions.Utility_DisplayArrayInTable(Fertiliser_SourceData.Fertiliser_Products_Data2(), FertiliserProducts[[#Headers],[Company]],31)</f>
        <v/>
      </c>
      <c r="AC138" s="148" t="str" cm="1">
        <f t="array" ref="AC138">Common_InputFunctions.Utility_DisplayArrayInTable(Fertiliser_SourceData.Fertiliser_Products_Data2(), FertiliserProducts[[#Headers],[Company]],31)</f>
        <v/>
      </c>
      <c r="AD138" s="148" t="str" cm="1">
        <f t="array" ref="AD138">Common_InputFunctions.Utility_DisplayArrayInTable(Fertiliser_SourceData.Fertiliser_Products_Data2(), FertiliserProducts[[#Headers],[Company]],31)</f>
        <v/>
      </c>
      <c r="AE138" s="148" t="str" cm="1">
        <f t="array" ref="AE138">Common_InputFunctions.Utility_DisplayArrayInTable(Fertiliser_SourceData.Fertiliser_Products_Data2(), FertiliserProducts[[#Headers],[Company]],31)</f>
        <v/>
      </c>
      <c r="AF138" s="148" t="str" cm="1">
        <f t="array" ref="AF138">Common_InputFunctions.Utility_DisplayArrayInTable(Fertiliser_SourceData.Fertiliser_Products_Data2(), FertiliserProducts[[#Headers],[Company]],31)</f>
        <v/>
      </c>
      <c r="AG138" s="148" t="str" cm="1">
        <f t="array" ref="AG138">Common_InputFunctions.Utility_DisplayArrayInTable(Fertiliser_SourceData.Fertiliser_Products_Data2(), FertiliserProducts[[#Headers],[Company]],31)</f>
        <v/>
      </c>
      <c r="AH138" s="148" t="str" cm="1">
        <f t="array" ref="AH138">Common_InputFunctions.Utility_DisplayArrayInTable(Fertiliser_SourceData.Fertiliser_Products_Data2(), FertiliserProducts[[#Headers],[Company]],31)</f>
        <v/>
      </c>
      <c r="AK138" s="1"/>
      <c r="AL138" s="1"/>
      <c r="AM138" s="1"/>
    </row>
    <row r="139" spans="4:39" ht="20.100000000000001" customHeight="1" x14ac:dyDescent="0.2">
      <c r="D139" s="148" t="str" cm="1">
        <f t="array" ref="D139">Common_InputFunctions.Utility_DisplayArrayInTable(Fertiliser_SourceData.Fertiliser_Products_Data2(), FertiliserProducts[[#Headers],[Company]],31)</f>
        <v>Risso-Chemical</v>
      </c>
      <c r="E139" s="148" t="str" cm="1">
        <f t="array" ref="E139">Common_InputFunctions.Utility_DisplayArrayInTable(Fertiliser_SourceData.Fertiliser_Products_Data2(), FertiliserProducts[[#Headers],[Company]],31)</f>
        <v>Polypeptide Urea</v>
      </c>
      <c r="F139" s="148" t="str" cm="1">
        <f t="array" ref="F139">Common_InputFunctions.Utility_DisplayArrayInTable(Fertiliser_SourceData.Fertiliser_Products_Data2(), FertiliserProducts[[#Headers],[Company]],31)</f>
        <v>kg</v>
      </c>
      <c r="G139" s="148" cm="1">
        <f t="array" ref="G139">Common_InputFunctions.Utility_DisplayArrayInTable(Fertiliser_SourceData.Fertiliser_Products_Data2(), FertiliserProducts[[#Headers],[Company]],31)</f>
        <v>1</v>
      </c>
      <c r="H139" s="148" t="str" cm="1">
        <f t="array" ref="H139">Common_InputFunctions.Utility_DisplayArrayInTable(Fertiliser_SourceData.Fertiliser_Products_Data2(), FertiliserProducts[[#Headers],[Company]],31)</f>
        <v/>
      </c>
      <c r="I139" s="148" t="str" cm="1">
        <f t="array" ref="I139">Common_InputFunctions.Utility_DisplayArrayInTable(Fertiliser_SourceData.Fertiliser_Products_Data2(), FertiliserProducts[[#Headers],[Company]],31)</f>
        <v>China</v>
      </c>
      <c r="J139" s="148" t="str" cm="1">
        <f t="array" ref="J139">Common_InputFunctions.Utility_DisplayArrayInTable(Fertiliser_SourceData.Fertiliser_Products_Data2(), FertiliserProducts[[#Headers],[Company]],31)</f>
        <v/>
      </c>
      <c r="K139" s="148" cm="1">
        <f t="array" ref="K139">Common_InputFunctions.Utility_DisplayArrayInTable(Fertiliser_SourceData.Fertiliser_Products_Data2(), FertiliserProducts[[#Headers],[Company]],31)</f>
        <v>46</v>
      </c>
      <c r="L139" s="148" t="str" cm="1">
        <f t="array" ref="L139">Common_InputFunctions.Utility_DisplayArrayInTable(Fertiliser_SourceData.Fertiliser_Products_Data2(), FertiliserProducts[[#Headers],[Company]],31)</f>
        <v/>
      </c>
      <c r="M139" s="148" t="str" cm="1">
        <f t="array" ref="M139">Common_InputFunctions.Utility_DisplayArrayInTable(Fertiliser_SourceData.Fertiliser_Products_Data2(), FertiliserProducts[[#Headers],[Company]],31)</f>
        <v/>
      </c>
      <c r="N139" s="148" t="str" cm="1">
        <f t="array" ref="N139">Common_InputFunctions.Utility_DisplayArrayInTable(Fertiliser_SourceData.Fertiliser_Products_Data2(), FertiliserProducts[[#Headers],[Company]],31)</f>
        <v/>
      </c>
      <c r="O139" s="148" t="str" cm="1">
        <f t="array" ref="O139">Common_InputFunctions.Utility_DisplayArrayInTable(Fertiliser_SourceData.Fertiliser_Products_Data2(), FertiliserProducts[[#Headers],[Company]],31)</f>
        <v>Urea</v>
      </c>
      <c r="P139" s="148" cm="1">
        <f t="array" ref="P139">Common_InputFunctions.Utility_DisplayArrayInTable(Fertiliser_SourceData.Fertiliser_Products_Data2(), FertiliserProducts[[#Headers],[Company]],31)</f>
        <v>1</v>
      </c>
      <c r="Q139" s="148" t="str" cm="1">
        <f t="array" ref="Q139">Common_InputFunctions.Utility_DisplayArrayInTable(Fertiliser_SourceData.Fertiliser_Products_Data2(), FertiliserProducts[[#Headers],[Company]],31)</f>
        <v>Polypeptide (amino acids)</v>
      </c>
      <c r="R139" s="148" cm="1">
        <f t="array" ref="R139">Common_InputFunctions.Utility_DisplayArrayInTable(Fertiliser_SourceData.Fertiliser_Products_Data2(), FertiliserProducts[[#Headers],[Company]],31)</f>
        <v>0</v>
      </c>
      <c r="S139" s="148" t="str" cm="1">
        <f t="array" ref="S139">Common_InputFunctions.Utility_DisplayArrayInTable(Fertiliser_SourceData.Fertiliser_Products_Data2(), FertiliserProducts[[#Headers],[Company]],31)</f>
        <v/>
      </c>
      <c r="T139" s="148" t="str" cm="1">
        <f t="array" ref="T139">Common_InputFunctions.Utility_DisplayArrayInTable(Fertiliser_SourceData.Fertiliser_Products_Data2(), FertiliserProducts[[#Headers],[Company]],31)</f>
        <v/>
      </c>
      <c r="U139" s="148" t="str" cm="1">
        <f t="array" ref="U139">Common_InputFunctions.Utility_DisplayArrayInTable(Fertiliser_SourceData.Fertiliser_Products_Data2(), FertiliserProducts[[#Headers],[Company]],31)</f>
        <v/>
      </c>
      <c r="V139" s="148" t="str" cm="1">
        <f t="array" ref="V139">Common_InputFunctions.Utility_DisplayArrayInTable(Fertiliser_SourceData.Fertiliser_Products_Data2(), FertiliserProducts[[#Headers],[Company]],31)</f>
        <v/>
      </c>
      <c r="W139" s="148" t="str" cm="1">
        <f t="array" ref="W139">Common_InputFunctions.Utility_DisplayArrayInTable(Fertiliser_SourceData.Fertiliser_Products_Data2(), FertiliserProducts[[#Headers],[Company]],31)</f>
        <v/>
      </c>
      <c r="X139" s="148" t="str" cm="1">
        <f t="array" ref="X139">Common_InputFunctions.Utility_DisplayArrayInTable(Fertiliser_SourceData.Fertiliser_Products_Data2(), FertiliserProducts[[#Headers],[Company]],31)</f>
        <v/>
      </c>
      <c r="Y139" s="148" t="str" cm="1">
        <f t="array" ref="Y139">Common_InputFunctions.Utility_DisplayArrayInTable(Fertiliser_SourceData.Fertiliser_Products_Data2(), FertiliserProducts[[#Headers],[Company]],31)</f>
        <v/>
      </c>
      <c r="Z139" s="148" t="str" cm="1">
        <f t="array" ref="Z139">Common_InputFunctions.Utility_DisplayArrayInTable(Fertiliser_SourceData.Fertiliser_Products_Data2(), FertiliserProducts[[#Headers],[Company]],31)</f>
        <v/>
      </c>
      <c r="AA139" s="148" t="str" cm="1">
        <f t="array" ref="AA139">Common_InputFunctions.Utility_DisplayArrayInTable(Fertiliser_SourceData.Fertiliser_Products_Data2(), FertiliserProducts[[#Headers],[Company]],31)</f>
        <v/>
      </c>
      <c r="AB139" s="148" t="str" cm="1">
        <f t="array" ref="AB139">Common_InputFunctions.Utility_DisplayArrayInTable(Fertiliser_SourceData.Fertiliser_Products_Data2(), FertiliserProducts[[#Headers],[Company]],31)</f>
        <v/>
      </c>
      <c r="AC139" s="148" t="str" cm="1">
        <f t="array" ref="AC139">Common_InputFunctions.Utility_DisplayArrayInTable(Fertiliser_SourceData.Fertiliser_Products_Data2(), FertiliserProducts[[#Headers],[Company]],31)</f>
        <v/>
      </c>
      <c r="AD139" s="148" t="str" cm="1">
        <f t="array" ref="AD139">Common_InputFunctions.Utility_DisplayArrayInTable(Fertiliser_SourceData.Fertiliser_Products_Data2(), FertiliserProducts[[#Headers],[Company]],31)</f>
        <v/>
      </c>
      <c r="AE139" s="148" t="str" cm="1">
        <f t="array" ref="AE139">Common_InputFunctions.Utility_DisplayArrayInTable(Fertiliser_SourceData.Fertiliser_Products_Data2(), FertiliserProducts[[#Headers],[Company]],31)</f>
        <v/>
      </c>
      <c r="AF139" s="148" t="str" cm="1">
        <f t="array" ref="AF139">Common_InputFunctions.Utility_DisplayArrayInTable(Fertiliser_SourceData.Fertiliser_Products_Data2(), FertiliserProducts[[#Headers],[Company]],31)</f>
        <v/>
      </c>
      <c r="AG139" s="148" t="str" cm="1">
        <f t="array" ref="AG139">Common_InputFunctions.Utility_DisplayArrayInTable(Fertiliser_SourceData.Fertiliser_Products_Data2(), FertiliserProducts[[#Headers],[Company]],31)</f>
        <v/>
      </c>
      <c r="AH139" s="148" t="str" cm="1">
        <f t="array" ref="AH139">Common_InputFunctions.Utility_DisplayArrayInTable(Fertiliser_SourceData.Fertiliser_Products_Data2(), FertiliserProducts[[#Headers],[Company]],31)</f>
        <v/>
      </c>
      <c r="AK139" s="1"/>
      <c r="AL139" s="1"/>
      <c r="AM139" s="1"/>
    </row>
    <row r="140" spans="4:39" ht="20.100000000000001" customHeight="1" x14ac:dyDescent="0.2">
      <c r="D140" s="148" t="str" cm="1">
        <f t="array" ref="D140">Common_InputFunctions.Utility_DisplayArrayInTable(Fertiliser_SourceData.Fertiliser_Products_Data2(), FertiliserProducts[[#Headers],[Company]],31)</f>
        <v>Yara Australia</v>
      </c>
      <c r="E140" s="148" t="str" cm="1">
        <f t="array" ref="E140">Common_InputFunctions.Utility_DisplayArrayInTable(Fertiliser_SourceData.Fertiliser_Products_Data2(), FertiliserProducts[[#Headers],[Company]],31)</f>
        <v>YaraTera CALCINIT</v>
      </c>
      <c r="F140" s="148" t="str" cm="1">
        <f t="array" ref="F140">Common_InputFunctions.Utility_DisplayArrayInTable(Fertiliser_SourceData.Fertiliser_Products_Data2(), FertiliserProducts[[#Headers],[Company]],31)</f>
        <v>kg</v>
      </c>
      <c r="G140" s="148" cm="1">
        <f t="array" ref="G140">Common_InputFunctions.Utility_DisplayArrayInTable(Fertiliser_SourceData.Fertiliser_Products_Data2(), FertiliserProducts[[#Headers],[Company]],31)</f>
        <v>1</v>
      </c>
      <c r="H140" s="148" t="str" cm="1">
        <f t="array" ref="H140">Common_InputFunctions.Utility_DisplayArrayInTable(Fertiliser_SourceData.Fertiliser_Products_Data2(), FertiliserProducts[[#Headers],[Company]],31)</f>
        <v/>
      </c>
      <c r="I140" s="148" t="str" cm="1">
        <f t="array" ref="I140">Common_InputFunctions.Utility_DisplayArrayInTable(Fertiliser_SourceData.Fertiliser_Products_Data2(), FertiliserProducts[[#Headers],[Company]],31)</f>
        <v/>
      </c>
      <c r="J140" s="148" t="str" cm="1">
        <f t="array" ref="J140">Common_InputFunctions.Utility_DisplayArrayInTable(Fertiliser_SourceData.Fertiliser_Products_Data2(), FertiliserProducts[[#Headers],[Company]],31)</f>
        <v/>
      </c>
      <c r="K140" s="148" cm="1">
        <f t="array" ref="K140">Common_InputFunctions.Utility_DisplayArrayInTable(Fertiliser_SourceData.Fertiliser_Products_Data2(), FertiliserProducts[[#Headers],[Company]],31)</f>
        <v>15.5</v>
      </c>
      <c r="L140" s="148" t="str" cm="1">
        <f t="array" ref="L140">Common_InputFunctions.Utility_DisplayArrayInTable(Fertiliser_SourceData.Fertiliser_Products_Data2(), FertiliserProducts[[#Headers],[Company]],31)</f>
        <v/>
      </c>
      <c r="M140" s="148" t="str" cm="1">
        <f t="array" ref="M140">Common_InputFunctions.Utility_DisplayArrayInTable(Fertiliser_SourceData.Fertiliser_Products_Data2(), FertiliserProducts[[#Headers],[Company]],31)</f>
        <v/>
      </c>
      <c r="N140" s="148" t="str" cm="1">
        <f t="array" ref="N140">Common_InputFunctions.Utility_DisplayArrayInTable(Fertiliser_SourceData.Fertiliser_Products_Data2(), FertiliserProducts[[#Headers],[Company]],31)</f>
        <v/>
      </c>
      <c r="O140" s="148" t="str" cm="1">
        <f t="array" ref="O140">Common_InputFunctions.Utility_DisplayArrayInTable(Fertiliser_SourceData.Fertiliser_Products_Data2(), FertiliserProducts[[#Headers],[Company]],31)</f>
        <v>Calcium nitrate</v>
      </c>
      <c r="P140" s="148" cm="1">
        <f t="array" ref="P140">Common_InputFunctions.Utility_DisplayArrayInTable(Fertiliser_SourceData.Fertiliser_Products_Data2(), FertiliserProducts[[#Headers],[Company]],31)</f>
        <v>1</v>
      </c>
      <c r="Q140" s="148" t="str" cm="1">
        <f t="array" ref="Q140">Common_InputFunctions.Utility_DisplayArrayInTable(Fertiliser_SourceData.Fertiliser_Products_Data2(), FertiliserProducts[[#Headers],[Company]],31)</f>
        <v/>
      </c>
      <c r="R140" s="148" t="str" cm="1">
        <f t="array" ref="R140">Common_InputFunctions.Utility_DisplayArrayInTable(Fertiliser_SourceData.Fertiliser_Products_Data2(), FertiliserProducts[[#Headers],[Company]],31)</f>
        <v/>
      </c>
      <c r="S140" s="148" t="str" cm="1">
        <f t="array" ref="S140">Common_InputFunctions.Utility_DisplayArrayInTable(Fertiliser_SourceData.Fertiliser_Products_Data2(), FertiliserProducts[[#Headers],[Company]],31)</f>
        <v/>
      </c>
      <c r="T140" s="148" t="str" cm="1">
        <f t="array" ref="T140">Common_InputFunctions.Utility_DisplayArrayInTable(Fertiliser_SourceData.Fertiliser_Products_Data2(), FertiliserProducts[[#Headers],[Company]],31)</f>
        <v/>
      </c>
      <c r="U140" s="148" t="str" cm="1">
        <f t="array" ref="U140">Common_InputFunctions.Utility_DisplayArrayInTable(Fertiliser_SourceData.Fertiliser_Products_Data2(), FertiliserProducts[[#Headers],[Company]],31)</f>
        <v/>
      </c>
      <c r="V140" s="148" t="str" cm="1">
        <f t="array" ref="V140">Common_InputFunctions.Utility_DisplayArrayInTable(Fertiliser_SourceData.Fertiliser_Products_Data2(), FertiliserProducts[[#Headers],[Company]],31)</f>
        <v/>
      </c>
      <c r="W140" s="148" t="str" cm="1">
        <f t="array" ref="W140">Common_InputFunctions.Utility_DisplayArrayInTable(Fertiliser_SourceData.Fertiliser_Products_Data2(), FertiliserProducts[[#Headers],[Company]],31)</f>
        <v/>
      </c>
      <c r="X140" s="148" t="str" cm="1">
        <f t="array" ref="X140">Common_InputFunctions.Utility_DisplayArrayInTable(Fertiliser_SourceData.Fertiliser_Products_Data2(), FertiliserProducts[[#Headers],[Company]],31)</f>
        <v/>
      </c>
      <c r="Y140" s="148" t="str" cm="1">
        <f t="array" ref="Y140">Common_InputFunctions.Utility_DisplayArrayInTable(Fertiliser_SourceData.Fertiliser_Products_Data2(), FertiliserProducts[[#Headers],[Company]],31)</f>
        <v/>
      </c>
      <c r="Z140" s="148" t="str" cm="1">
        <f t="array" ref="Z140">Common_InputFunctions.Utility_DisplayArrayInTable(Fertiliser_SourceData.Fertiliser_Products_Data2(), FertiliserProducts[[#Headers],[Company]],31)</f>
        <v/>
      </c>
      <c r="AA140" s="148" t="str" cm="1">
        <f t="array" ref="AA140">Common_InputFunctions.Utility_DisplayArrayInTable(Fertiliser_SourceData.Fertiliser_Products_Data2(), FertiliserProducts[[#Headers],[Company]],31)</f>
        <v/>
      </c>
      <c r="AB140" s="148" t="str" cm="1">
        <f t="array" ref="AB140">Common_InputFunctions.Utility_DisplayArrayInTable(Fertiliser_SourceData.Fertiliser_Products_Data2(), FertiliserProducts[[#Headers],[Company]],31)</f>
        <v/>
      </c>
      <c r="AC140" s="148" t="str" cm="1">
        <f t="array" ref="AC140">Common_InputFunctions.Utility_DisplayArrayInTable(Fertiliser_SourceData.Fertiliser_Products_Data2(), FertiliserProducts[[#Headers],[Company]],31)</f>
        <v/>
      </c>
      <c r="AD140" s="148" t="str" cm="1">
        <f t="array" ref="AD140">Common_InputFunctions.Utility_DisplayArrayInTable(Fertiliser_SourceData.Fertiliser_Products_Data2(), FertiliserProducts[[#Headers],[Company]],31)</f>
        <v/>
      </c>
      <c r="AE140" s="148" t="str" cm="1">
        <f t="array" ref="AE140">Common_InputFunctions.Utility_DisplayArrayInTable(Fertiliser_SourceData.Fertiliser_Products_Data2(), FertiliserProducts[[#Headers],[Company]],31)</f>
        <v/>
      </c>
      <c r="AF140" s="148" t="str" cm="1">
        <f t="array" ref="AF140">Common_InputFunctions.Utility_DisplayArrayInTable(Fertiliser_SourceData.Fertiliser_Products_Data2(), FertiliserProducts[[#Headers],[Company]],31)</f>
        <v/>
      </c>
      <c r="AG140" s="148" t="str" cm="1">
        <f t="array" ref="AG140">Common_InputFunctions.Utility_DisplayArrayInTable(Fertiliser_SourceData.Fertiliser_Products_Data2(), FertiliserProducts[[#Headers],[Company]],31)</f>
        <v/>
      </c>
      <c r="AH140" s="148" t="str" cm="1">
        <f t="array" ref="AH140">Common_InputFunctions.Utility_DisplayArrayInTable(Fertiliser_SourceData.Fertiliser_Products_Data2(), FertiliserProducts[[#Headers],[Company]],31)</f>
        <v/>
      </c>
      <c r="AK140" s="1"/>
      <c r="AL140" s="1"/>
      <c r="AM140" s="1"/>
    </row>
    <row r="141" spans="4:39" ht="20.100000000000001" customHeight="1" x14ac:dyDescent="0.2">
      <c r="D141" s="148" t="str" cm="1">
        <f t="array" ref="D141">Common_InputFunctions.Utility_DisplayArrayInTable(Fertiliser_SourceData.Fertiliser_Products_Data2(), FertiliserProducts[[#Headers],[Company]],31)</f>
        <v>Yara Australia</v>
      </c>
      <c r="E141" s="148" t="str" cm="1">
        <f t="array" ref="E141">Common_InputFunctions.Utility_DisplayArrayInTable(Fertiliser_SourceData.Fertiliser_Products_Data2(), FertiliserProducts[[#Headers],[Company]],31)</f>
        <v>YaraLiva NITRABOR</v>
      </c>
      <c r="F141" s="148" t="str" cm="1">
        <f t="array" ref="F141">Common_InputFunctions.Utility_DisplayArrayInTable(Fertiliser_SourceData.Fertiliser_Products_Data2(), FertiliserProducts[[#Headers],[Company]],31)</f>
        <v>kg</v>
      </c>
      <c r="G141" s="148" cm="1">
        <f t="array" ref="G141">Common_InputFunctions.Utility_DisplayArrayInTable(Fertiliser_SourceData.Fertiliser_Products_Data2(), FertiliserProducts[[#Headers],[Company]],31)</f>
        <v>1</v>
      </c>
      <c r="H141" s="148" t="str" cm="1">
        <f t="array" ref="H141">Common_InputFunctions.Utility_DisplayArrayInTable(Fertiliser_SourceData.Fertiliser_Products_Data2(), FertiliserProducts[[#Headers],[Company]],31)</f>
        <v/>
      </c>
      <c r="I141" s="148" t="str" cm="1">
        <f t="array" ref="I141">Common_InputFunctions.Utility_DisplayArrayInTable(Fertiliser_SourceData.Fertiliser_Products_Data2(), FertiliserProducts[[#Headers],[Company]],31)</f>
        <v/>
      </c>
      <c r="J141" s="148" t="str" cm="1">
        <f t="array" ref="J141">Common_InputFunctions.Utility_DisplayArrayInTable(Fertiliser_SourceData.Fertiliser_Products_Data2(), FertiliserProducts[[#Headers],[Company]],31)</f>
        <v/>
      </c>
      <c r="K141" s="148" cm="1">
        <f t="array" ref="K141">Common_InputFunctions.Utility_DisplayArrayInTable(Fertiliser_SourceData.Fertiliser_Products_Data2(), FertiliserProducts[[#Headers],[Company]],31)</f>
        <v>15.4</v>
      </c>
      <c r="L141" s="148" t="str" cm="1">
        <f t="array" ref="L141">Common_InputFunctions.Utility_DisplayArrayInTable(Fertiliser_SourceData.Fertiliser_Products_Data2(), FertiliserProducts[[#Headers],[Company]],31)</f>
        <v/>
      </c>
      <c r="M141" s="148" t="str" cm="1">
        <f t="array" ref="M141">Common_InputFunctions.Utility_DisplayArrayInTable(Fertiliser_SourceData.Fertiliser_Products_Data2(), FertiliserProducts[[#Headers],[Company]],31)</f>
        <v/>
      </c>
      <c r="N141" s="148" t="str" cm="1">
        <f t="array" ref="N141">Common_InputFunctions.Utility_DisplayArrayInTable(Fertiliser_SourceData.Fertiliser_Products_Data2(), FertiliserProducts[[#Headers],[Company]],31)</f>
        <v/>
      </c>
      <c r="O141" s="148" t="str" cm="1">
        <f t="array" ref="O141">Common_InputFunctions.Utility_DisplayArrayInTable(Fertiliser_SourceData.Fertiliser_Products_Data2(), FertiliserProducts[[#Headers],[Company]],31)</f>
        <v>Calcium nitrate</v>
      </c>
      <c r="P141" s="148" cm="1">
        <f t="array" ref="P141">Common_InputFunctions.Utility_DisplayArrayInTable(Fertiliser_SourceData.Fertiliser_Products_Data2(), FertiliserProducts[[#Headers],[Company]],31)</f>
        <v>0.99354799999999999</v>
      </c>
      <c r="Q141" s="148" t="str" cm="1">
        <f t="array" ref="Q141">Common_InputFunctions.Utility_DisplayArrayInTable(Fertiliser_SourceData.Fertiliser_Products_Data2(), FertiliserProducts[[#Headers],[Company]],31)</f>
        <v>Boron</v>
      </c>
      <c r="R141" s="148" cm="1">
        <f t="array" ref="R141">Common_InputFunctions.Utility_DisplayArrayInTable(Fertiliser_SourceData.Fertiliser_Products_Data2(), FertiliserProducts[[#Headers],[Company]],31)</f>
        <v>3.0000000000000001E-3</v>
      </c>
      <c r="S141" s="148" t="str" cm="1">
        <f t="array" ref="S141">Common_InputFunctions.Utility_DisplayArrayInTable(Fertiliser_SourceData.Fertiliser_Products_Data2(), FertiliserProducts[[#Headers],[Company]],31)</f>
        <v/>
      </c>
      <c r="T141" s="148" t="str" cm="1">
        <f t="array" ref="T141">Common_InputFunctions.Utility_DisplayArrayInTable(Fertiliser_SourceData.Fertiliser_Products_Data2(), FertiliserProducts[[#Headers],[Company]],31)</f>
        <v/>
      </c>
      <c r="U141" s="148" t="str" cm="1">
        <f t="array" ref="U141">Common_InputFunctions.Utility_DisplayArrayInTable(Fertiliser_SourceData.Fertiliser_Products_Data2(), FertiliserProducts[[#Headers],[Company]],31)</f>
        <v/>
      </c>
      <c r="V141" s="148" t="str" cm="1">
        <f t="array" ref="V141">Common_InputFunctions.Utility_DisplayArrayInTable(Fertiliser_SourceData.Fertiliser_Products_Data2(), FertiliserProducts[[#Headers],[Company]],31)</f>
        <v/>
      </c>
      <c r="W141" s="148" t="str" cm="1">
        <f t="array" ref="W141">Common_InputFunctions.Utility_DisplayArrayInTable(Fertiliser_SourceData.Fertiliser_Products_Data2(), FertiliserProducts[[#Headers],[Company]],31)</f>
        <v/>
      </c>
      <c r="X141" s="148" t="str" cm="1">
        <f t="array" ref="X141">Common_InputFunctions.Utility_DisplayArrayInTable(Fertiliser_SourceData.Fertiliser_Products_Data2(), FertiliserProducts[[#Headers],[Company]],31)</f>
        <v/>
      </c>
      <c r="Y141" s="148" t="str" cm="1">
        <f t="array" ref="Y141">Common_InputFunctions.Utility_DisplayArrayInTable(Fertiliser_SourceData.Fertiliser_Products_Data2(), FertiliserProducts[[#Headers],[Company]],31)</f>
        <v/>
      </c>
      <c r="Z141" s="148" t="str" cm="1">
        <f t="array" ref="Z141">Common_InputFunctions.Utility_DisplayArrayInTable(Fertiliser_SourceData.Fertiliser_Products_Data2(), FertiliserProducts[[#Headers],[Company]],31)</f>
        <v/>
      </c>
      <c r="AA141" s="148" t="str" cm="1">
        <f t="array" ref="AA141">Common_InputFunctions.Utility_DisplayArrayInTable(Fertiliser_SourceData.Fertiliser_Products_Data2(), FertiliserProducts[[#Headers],[Company]],31)</f>
        <v/>
      </c>
      <c r="AB141" s="148" t="str" cm="1">
        <f t="array" ref="AB141">Common_InputFunctions.Utility_DisplayArrayInTable(Fertiliser_SourceData.Fertiliser_Products_Data2(), FertiliserProducts[[#Headers],[Company]],31)</f>
        <v/>
      </c>
      <c r="AC141" s="148" t="str" cm="1">
        <f t="array" ref="AC141">Common_InputFunctions.Utility_DisplayArrayInTable(Fertiliser_SourceData.Fertiliser_Products_Data2(), FertiliserProducts[[#Headers],[Company]],31)</f>
        <v/>
      </c>
      <c r="AD141" s="148" t="str" cm="1">
        <f t="array" ref="AD141">Common_InputFunctions.Utility_DisplayArrayInTable(Fertiliser_SourceData.Fertiliser_Products_Data2(), FertiliserProducts[[#Headers],[Company]],31)</f>
        <v/>
      </c>
      <c r="AE141" s="148" t="str" cm="1">
        <f t="array" ref="AE141">Common_InputFunctions.Utility_DisplayArrayInTable(Fertiliser_SourceData.Fertiliser_Products_Data2(), FertiliserProducts[[#Headers],[Company]],31)</f>
        <v/>
      </c>
      <c r="AF141" s="148" t="str" cm="1">
        <f t="array" ref="AF141">Common_InputFunctions.Utility_DisplayArrayInTable(Fertiliser_SourceData.Fertiliser_Products_Data2(), FertiliserProducts[[#Headers],[Company]],31)</f>
        <v/>
      </c>
      <c r="AG141" s="148" t="str" cm="1">
        <f t="array" ref="AG141">Common_InputFunctions.Utility_DisplayArrayInTable(Fertiliser_SourceData.Fertiliser_Products_Data2(), FertiliserProducts[[#Headers],[Company]],31)</f>
        <v/>
      </c>
      <c r="AH141" s="148" t="str" cm="1">
        <f t="array" ref="AH141">Common_InputFunctions.Utility_DisplayArrayInTable(Fertiliser_SourceData.Fertiliser_Products_Data2(), FertiliserProducts[[#Headers],[Company]],31)</f>
        <v/>
      </c>
      <c r="AK141" s="1"/>
      <c r="AL141" s="1"/>
      <c r="AM141" s="1"/>
    </row>
    <row r="142" spans="4:39" ht="20.100000000000001" customHeight="1" x14ac:dyDescent="0.2">
      <c r="D142" s="148" t="str" cm="1">
        <f t="array" ref="D142">Common_InputFunctions.Utility_DisplayArrayInTable(Fertiliser_SourceData.Fertiliser_Products_Data2(), FertiliserProducts[[#Headers],[Company]],31)</f>
        <v>Yara Australia</v>
      </c>
      <c r="E142" s="148" t="str" cm="1">
        <f t="array" ref="E142">Common_InputFunctions.Utility_DisplayArrayInTable(Fertiliser_SourceData.Fertiliser_Products_Data2(), FertiliserProducts[[#Headers],[Company]],31)</f>
        <v>YaraMila COMPLEX</v>
      </c>
      <c r="F142" s="148" t="str" cm="1">
        <f t="array" ref="F142">Common_InputFunctions.Utility_DisplayArrayInTable(Fertiliser_SourceData.Fertiliser_Products_Data2(), FertiliserProducts[[#Headers],[Company]],31)</f>
        <v>kg</v>
      </c>
      <c r="G142" s="148" cm="1">
        <f t="array" ref="G142">Common_InputFunctions.Utility_DisplayArrayInTable(Fertiliser_SourceData.Fertiliser_Products_Data2(), FertiliserProducts[[#Headers],[Company]],31)</f>
        <v>1</v>
      </c>
      <c r="H142" s="148" t="str" cm="1">
        <f t="array" ref="H142">Common_InputFunctions.Utility_DisplayArrayInTable(Fertiliser_SourceData.Fertiliser_Products_Data2(), FertiliserProducts[[#Headers],[Company]],31)</f>
        <v/>
      </c>
      <c r="I142" s="148" t="str" cm="1">
        <f t="array" ref="I142">Common_InputFunctions.Utility_DisplayArrayInTable(Fertiliser_SourceData.Fertiliser_Products_Data2(), FertiliserProducts[[#Headers],[Company]],31)</f>
        <v/>
      </c>
      <c r="J142" s="148" t="str" cm="1">
        <f t="array" ref="J142">Common_InputFunctions.Utility_DisplayArrayInTable(Fertiliser_SourceData.Fertiliser_Products_Data2(), FertiliserProducts[[#Headers],[Company]],31)</f>
        <v/>
      </c>
      <c r="K142" s="148" cm="1">
        <f t="array" ref="K142">Common_InputFunctions.Utility_DisplayArrayInTable(Fertiliser_SourceData.Fertiliser_Products_Data2(), FertiliserProducts[[#Headers],[Company]],31)</f>
        <v>12</v>
      </c>
      <c r="L142" s="148" cm="1">
        <f t="array" ref="L142">Common_InputFunctions.Utility_DisplayArrayInTable(Fertiliser_SourceData.Fertiliser_Products_Data2(), FertiliserProducts[[#Headers],[Company]],31)</f>
        <v>5</v>
      </c>
      <c r="M142" s="148" cm="1">
        <f t="array" ref="M142">Common_InputFunctions.Utility_DisplayArrayInTable(Fertiliser_SourceData.Fertiliser_Products_Data2(), FertiliserProducts[[#Headers],[Company]],31)</f>
        <v>15</v>
      </c>
      <c r="N142" s="148" cm="1">
        <f t="array" ref="N142">Common_InputFunctions.Utility_DisplayArrayInTable(Fertiliser_SourceData.Fertiliser_Products_Data2(), FertiliserProducts[[#Headers],[Company]],31)</f>
        <v>8</v>
      </c>
      <c r="O142" s="148" t="str" cm="1">
        <f t="array" ref="O142">Common_InputFunctions.Utility_DisplayArrayInTable(Fertiliser_SourceData.Fertiliser_Products_Data2(), FertiliserProducts[[#Headers],[Company]],31)</f>
        <v>Nitrogen - Nitrate</v>
      </c>
      <c r="P142" s="148" cm="1">
        <f t="array" ref="P142">Common_InputFunctions.Utility_DisplayArrayInTable(Fertiliser_SourceData.Fertiliser_Products_Data2(), FertiliserProducts[[#Headers],[Company]],31)</f>
        <v>0.05</v>
      </c>
      <c r="Q142" s="148" t="str" cm="1">
        <f t="array" ref="Q142">Common_InputFunctions.Utility_DisplayArrayInTable(Fertiliser_SourceData.Fertiliser_Products_Data2(), FertiliserProducts[[#Headers],[Company]],31)</f>
        <v>Nitrogen - Ammoniacal</v>
      </c>
      <c r="R142" s="148" cm="1">
        <f t="array" ref="R142">Common_InputFunctions.Utility_DisplayArrayInTable(Fertiliser_SourceData.Fertiliser_Products_Data2(), FertiliserProducts[[#Headers],[Company]],31)</f>
        <v>7.0000000000000007E-2</v>
      </c>
      <c r="S142" s="148" t="str" cm="1">
        <f t="array" ref="S142">Common_InputFunctions.Utility_DisplayArrayInTable(Fertiliser_SourceData.Fertiliser_Products_Data2(), FertiliserProducts[[#Headers],[Company]],31)</f>
        <v>Phosphorus - Generic</v>
      </c>
      <c r="T142" s="148" cm="1">
        <f t="array" ref="T142">Common_InputFunctions.Utility_DisplayArrayInTable(Fertiliser_SourceData.Fertiliser_Products_Data2(), FertiliserProducts[[#Headers],[Company]],31)</f>
        <v>0.05</v>
      </c>
      <c r="U142" s="148" t="str" cm="1">
        <f t="array" ref="U142">Common_InputFunctions.Utility_DisplayArrayInTable(Fertiliser_SourceData.Fertiliser_Products_Data2(), FertiliserProducts[[#Headers],[Company]],31)</f>
        <v>Potassium - Generic</v>
      </c>
      <c r="V142" s="148" cm="1">
        <f t="array" ref="V142">Common_InputFunctions.Utility_DisplayArrayInTable(Fertiliser_SourceData.Fertiliser_Products_Data2(), FertiliserProducts[[#Headers],[Company]],31)</f>
        <v>0.15</v>
      </c>
      <c r="W142" s="148" t="str" cm="1">
        <f t="array" ref="W142">Common_InputFunctions.Utility_DisplayArrayInTable(Fertiliser_SourceData.Fertiliser_Products_Data2(), FertiliserProducts[[#Headers],[Company]],31)</f>
        <v>Sulfur - Generic</v>
      </c>
      <c r="X142" s="148" cm="1">
        <f t="array" ref="X142">Common_InputFunctions.Utility_DisplayArrayInTable(Fertiliser_SourceData.Fertiliser_Products_Data2(), FertiliserProducts[[#Headers],[Company]],31)</f>
        <v>0.08</v>
      </c>
      <c r="Y142" s="148" t="str" cm="1">
        <f t="array" ref="Y142">Common_InputFunctions.Utility_DisplayArrayInTable(Fertiliser_SourceData.Fertiliser_Products_Data2(), FertiliserProducts[[#Headers],[Company]],31)</f>
        <v>Magnesium</v>
      </c>
      <c r="Z142" s="148" cm="1">
        <f t="array" ref="Z142">Common_InputFunctions.Utility_DisplayArrayInTable(Fertiliser_SourceData.Fertiliser_Products_Data2(), FertiliserProducts[[#Headers],[Company]],31)</f>
        <v>1.6E-2</v>
      </c>
      <c r="AA142" s="148" t="str" cm="1">
        <f t="array" ref="AA142">Common_InputFunctions.Utility_DisplayArrayInTable(Fertiliser_SourceData.Fertiliser_Products_Data2(), FertiliserProducts[[#Headers],[Company]],31)</f>
        <v>Zinc</v>
      </c>
      <c r="AB142" s="148" cm="1">
        <f t="array" ref="AB142">Common_InputFunctions.Utility_DisplayArrayInTable(Fertiliser_SourceData.Fertiliser_Products_Data2(), FertiliserProducts[[#Headers],[Company]],31)</f>
        <v>2.0000000000000001E-4</v>
      </c>
      <c r="AC142" s="148" t="str" cm="1">
        <f t="array" ref="AC142">Common_InputFunctions.Utility_DisplayArrayInTable(Fertiliser_SourceData.Fertiliser_Products_Data2(), FertiliserProducts[[#Headers],[Company]],31)</f>
        <v>Boron</v>
      </c>
      <c r="AD142" s="148" cm="1">
        <f t="array" ref="AD142">Common_InputFunctions.Utility_DisplayArrayInTable(Fertiliser_SourceData.Fertiliser_Products_Data2(), FertiliserProducts[[#Headers],[Company]],31)</f>
        <v>1.4999999999999999E-4</v>
      </c>
      <c r="AE142" s="148" t="str" cm="1">
        <f t="array" ref="AE142">Common_InputFunctions.Utility_DisplayArrayInTable(Fertiliser_SourceData.Fertiliser_Products_Data2(), FertiliserProducts[[#Headers],[Company]],31)</f>
        <v/>
      </c>
      <c r="AF142" s="148" t="str" cm="1">
        <f t="array" ref="AF142">Common_InputFunctions.Utility_DisplayArrayInTable(Fertiliser_SourceData.Fertiliser_Products_Data2(), FertiliserProducts[[#Headers],[Company]],31)</f>
        <v/>
      </c>
      <c r="AG142" s="148" t="str" cm="1">
        <f t="array" ref="AG142">Common_InputFunctions.Utility_DisplayArrayInTable(Fertiliser_SourceData.Fertiliser_Products_Data2(), FertiliserProducts[[#Headers],[Company]],31)</f>
        <v/>
      </c>
      <c r="AH142" s="148" t="str" cm="1">
        <f t="array" ref="AH142">Common_InputFunctions.Utility_DisplayArrayInTable(Fertiliser_SourceData.Fertiliser_Products_Data2(), FertiliserProducts[[#Headers],[Company]],31)</f>
        <v/>
      </c>
      <c r="AK142" s="1"/>
      <c r="AL142" s="1"/>
      <c r="AM142" s="1"/>
    </row>
    <row r="143" spans="4:39" ht="20.100000000000001" customHeight="1" x14ac:dyDescent="0.2">
      <c r="D143" s="148" t="str" cm="1">
        <f t="array" ref="D143">Common_InputFunctions.Utility_DisplayArrayInTable(Fertiliser_SourceData.Fertiliser_Products_Data2(), FertiliserProducts[[#Headers],[Company]],31)</f>
        <v>Yara Australia</v>
      </c>
      <c r="E143" s="148" t="str" cm="1">
        <f t="array" ref="E143">Common_InputFunctions.Utility_DisplayArrayInTable(Fertiliser_SourceData.Fertiliser_Products_Data2(), FertiliserProducts[[#Headers],[Company]],31)</f>
        <v>YaraRega 9-0-30 (14)</v>
      </c>
      <c r="F143" s="148" t="str" cm="1">
        <f t="array" ref="F143">Common_InputFunctions.Utility_DisplayArrayInTable(Fertiliser_SourceData.Fertiliser_Products_Data2(), FertiliserProducts[[#Headers],[Company]],31)</f>
        <v>kg</v>
      </c>
      <c r="G143" s="148" cm="1">
        <f t="array" ref="G143">Common_InputFunctions.Utility_DisplayArrayInTable(Fertiliser_SourceData.Fertiliser_Products_Data2(), FertiliserProducts[[#Headers],[Company]],31)</f>
        <v>1</v>
      </c>
      <c r="H143" s="148" t="str" cm="1">
        <f t="array" ref="H143">Common_InputFunctions.Utility_DisplayArrayInTable(Fertiliser_SourceData.Fertiliser_Products_Data2(), FertiliserProducts[[#Headers],[Company]],31)</f>
        <v/>
      </c>
      <c r="I143" s="148" t="str" cm="1">
        <f t="array" ref="I143">Common_InputFunctions.Utility_DisplayArrayInTable(Fertiliser_SourceData.Fertiliser_Products_Data2(), FertiliserProducts[[#Headers],[Company]],31)</f>
        <v/>
      </c>
      <c r="J143" s="148" t="str" cm="1">
        <f t="array" ref="J143">Common_InputFunctions.Utility_DisplayArrayInTable(Fertiliser_SourceData.Fertiliser_Products_Data2(), FertiliserProducts[[#Headers],[Company]],31)</f>
        <v/>
      </c>
      <c r="K143" s="148" cm="1">
        <f t="array" ref="K143">Common_InputFunctions.Utility_DisplayArrayInTable(Fertiliser_SourceData.Fertiliser_Products_Data2(), FertiliserProducts[[#Headers],[Company]],31)</f>
        <v>9</v>
      </c>
      <c r="L143" s="148" t="str" cm="1">
        <f t="array" ref="L143">Common_InputFunctions.Utility_DisplayArrayInTable(Fertiliser_SourceData.Fertiliser_Products_Data2(), FertiliserProducts[[#Headers],[Company]],31)</f>
        <v/>
      </c>
      <c r="M143" s="148" cm="1">
        <f t="array" ref="M143">Common_InputFunctions.Utility_DisplayArrayInTable(Fertiliser_SourceData.Fertiliser_Products_Data2(), FertiliserProducts[[#Headers],[Company]],31)</f>
        <v>30</v>
      </c>
      <c r="N143" s="148" cm="1">
        <f t="array" ref="N143">Common_InputFunctions.Utility_DisplayArrayInTable(Fertiliser_SourceData.Fertiliser_Products_Data2(), FertiliserProducts[[#Headers],[Company]],31)</f>
        <v>14</v>
      </c>
      <c r="O143" s="148" t="str" cm="1">
        <f t="array" ref="O143">Common_InputFunctions.Utility_DisplayArrayInTable(Fertiliser_SourceData.Fertiliser_Products_Data2(), FertiliserProducts[[#Headers],[Company]],31)</f>
        <v>Potassium - Generic</v>
      </c>
      <c r="P143" s="148" cm="1">
        <f t="array" ref="P143">Common_InputFunctions.Utility_DisplayArrayInTable(Fertiliser_SourceData.Fertiliser_Products_Data2(), FertiliserProducts[[#Headers],[Company]],31)</f>
        <v>0.3</v>
      </c>
      <c r="Q143" s="148" t="str" cm="1">
        <f t="array" ref="Q143">Common_InputFunctions.Utility_DisplayArrayInTable(Fertiliser_SourceData.Fertiliser_Products_Data2(), FertiliserProducts[[#Headers],[Company]],31)</f>
        <v>Sulfur - Generic</v>
      </c>
      <c r="R143" s="148" cm="1">
        <f t="array" ref="R143">Common_InputFunctions.Utility_DisplayArrayInTable(Fertiliser_SourceData.Fertiliser_Products_Data2(), FertiliserProducts[[#Headers],[Company]],31)</f>
        <v>0.14000000000000001</v>
      </c>
      <c r="S143" s="148" t="str" cm="1">
        <f t="array" ref="S143">Common_InputFunctions.Utility_DisplayArrayInTable(Fertiliser_SourceData.Fertiliser_Products_Data2(), FertiliserProducts[[#Headers],[Company]],31)</f>
        <v>Nitrogen - Nitrate</v>
      </c>
      <c r="T143" s="148" cm="1">
        <f t="array" ref="T143">Common_InputFunctions.Utility_DisplayArrayInTable(Fertiliser_SourceData.Fertiliser_Products_Data2(), FertiliserProducts[[#Headers],[Company]],31)</f>
        <v>4.4999999999999998E-2</v>
      </c>
      <c r="U143" s="148" t="str" cm="1">
        <f t="array" ref="U143">Common_InputFunctions.Utility_DisplayArrayInTable(Fertiliser_SourceData.Fertiliser_Products_Data2(), FertiliserProducts[[#Headers],[Company]],31)</f>
        <v>Nitrogen - Ammoniacal</v>
      </c>
      <c r="V143" s="148" cm="1">
        <f t="array" ref="V143">Common_InputFunctions.Utility_DisplayArrayInTable(Fertiliser_SourceData.Fertiliser_Products_Data2(), FertiliserProducts[[#Headers],[Company]],31)</f>
        <v>4.4999999999999998E-2</v>
      </c>
      <c r="W143" s="148" t="str" cm="1">
        <f t="array" ref="W143">Common_InputFunctions.Utility_DisplayArrayInTable(Fertiliser_SourceData.Fertiliser_Products_Data2(), FertiliserProducts[[#Headers],[Company]],31)</f>
        <v/>
      </c>
      <c r="X143" s="148" t="str" cm="1">
        <f t="array" ref="X143">Common_InputFunctions.Utility_DisplayArrayInTable(Fertiliser_SourceData.Fertiliser_Products_Data2(), FertiliserProducts[[#Headers],[Company]],31)</f>
        <v/>
      </c>
      <c r="Y143" s="148" t="str" cm="1">
        <f t="array" ref="Y143">Common_InputFunctions.Utility_DisplayArrayInTable(Fertiliser_SourceData.Fertiliser_Products_Data2(), FertiliserProducts[[#Headers],[Company]],31)</f>
        <v/>
      </c>
      <c r="Z143" s="148" t="str" cm="1">
        <f t="array" ref="Z143">Common_InputFunctions.Utility_DisplayArrayInTable(Fertiliser_SourceData.Fertiliser_Products_Data2(), FertiliserProducts[[#Headers],[Company]],31)</f>
        <v/>
      </c>
      <c r="AA143" s="148" t="str" cm="1">
        <f t="array" ref="AA143">Common_InputFunctions.Utility_DisplayArrayInTable(Fertiliser_SourceData.Fertiliser_Products_Data2(), FertiliserProducts[[#Headers],[Company]],31)</f>
        <v/>
      </c>
      <c r="AB143" s="148" t="str" cm="1">
        <f t="array" ref="AB143">Common_InputFunctions.Utility_DisplayArrayInTable(Fertiliser_SourceData.Fertiliser_Products_Data2(), FertiliserProducts[[#Headers],[Company]],31)</f>
        <v/>
      </c>
      <c r="AC143" s="148" t="str" cm="1">
        <f t="array" ref="AC143">Common_InputFunctions.Utility_DisplayArrayInTable(Fertiliser_SourceData.Fertiliser_Products_Data2(), FertiliserProducts[[#Headers],[Company]],31)</f>
        <v/>
      </c>
      <c r="AD143" s="148" t="str" cm="1">
        <f t="array" ref="AD143">Common_InputFunctions.Utility_DisplayArrayInTable(Fertiliser_SourceData.Fertiliser_Products_Data2(), FertiliserProducts[[#Headers],[Company]],31)</f>
        <v/>
      </c>
      <c r="AE143" s="148" t="str" cm="1">
        <f t="array" ref="AE143">Common_InputFunctions.Utility_DisplayArrayInTable(Fertiliser_SourceData.Fertiliser_Products_Data2(), FertiliserProducts[[#Headers],[Company]],31)</f>
        <v/>
      </c>
      <c r="AF143" s="148" t="str" cm="1">
        <f t="array" ref="AF143">Common_InputFunctions.Utility_DisplayArrayInTable(Fertiliser_SourceData.Fertiliser_Products_Data2(), FertiliserProducts[[#Headers],[Company]],31)</f>
        <v/>
      </c>
      <c r="AG143" s="148" t="str" cm="1">
        <f t="array" ref="AG143">Common_InputFunctions.Utility_DisplayArrayInTable(Fertiliser_SourceData.Fertiliser_Products_Data2(), FertiliserProducts[[#Headers],[Company]],31)</f>
        <v/>
      </c>
      <c r="AH143" s="148" t="str" cm="1">
        <f t="array" ref="AH143">Common_InputFunctions.Utility_DisplayArrayInTable(Fertiliser_SourceData.Fertiliser_Products_Data2(), FertiliserProducts[[#Headers],[Company]],31)</f>
        <v/>
      </c>
      <c r="AK143" s="1"/>
      <c r="AL143" s="1"/>
      <c r="AM143" s="1"/>
    </row>
    <row r="144" spans="4:39" ht="20.100000000000001" customHeight="1" x14ac:dyDescent="0.2">
      <c r="D144" s="148" t="str" cm="1">
        <f t="array" ref="D144">Common_InputFunctions.Utility_DisplayArrayInTable(Fertiliser_SourceData.Fertiliser_Products_Data2(), FertiliserProducts[[#Headers],[Company]],31)</f>
        <v>Yara Australia</v>
      </c>
      <c r="E144" s="148" t="str" cm="1">
        <f t="array" ref="E144">Common_InputFunctions.Utility_DisplayArrayInTable(Fertiliser_SourceData.Fertiliser_Products_Data2(), FertiliserProducts[[#Headers],[Company]],31)</f>
        <v>YaraRega 13-2-21</v>
      </c>
      <c r="F144" s="148" t="str" cm="1">
        <f t="array" ref="F144">Common_InputFunctions.Utility_DisplayArrayInTable(Fertiliser_SourceData.Fertiliser_Products_Data2(), FertiliserProducts[[#Headers],[Company]],31)</f>
        <v>kg</v>
      </c>
      <c r="G144" s="148" cm="1">
        <f t="array" ref="G144">Common_InputFunctions.Utility_DisplayArrayInTable(Fertiliser_SourceData.Fertiliser_Products_Data2(), FertiliserProducts[[#Headers],[Company]],31)</f>
        <v>1</v>
      </c>
      <c r="H144" s="148" t="str" cm="1">
        <f t="array" ref="H144">Common_InputFunctions.Utility_DisplayArrayInTable(Fertiliser_SourceData.Fertiliser_Products_Data2(), FertiliserProducts[[#Headers],[Company]],31)</f>
        <v/>
      </c>
      <c r="I144" s="148" t="str" cm="1">
        <f t="array" ref="I144">Common_InputFunctions.Utility_DisplayArrayInTable(Fertiliser_SourceData.Fertiliser_Products_Data2(), FertiliserProducts[[#Headers],[Company]],31)</f>
        <v/>
      </c>
      <c r="J144" s="148" t="str" cm="1">
        <f t="array" ref="J144">Common_InputFunctions.Utility_DisplayArrayInTable(Fertiliser_SourceData.Fertiliser_Products_Data2(), FertiliserProducts[[#Headers],[Company]],31)</f>
        <v/>
      </c>
      <c r="K144" s="148" cm="1">
        <f t="array" ref="K144">Common_InputFunctions.Utility_DisplayArrayInTable(Fertiliser_SourceData.Fertiliser_Products_Data2(), FertiliserProducts[[#Headers],[Company]],31)</f>
        <v>13</v>
      </c>
      <c r="L144" s="148" cm="1">
        <f t="array" ref="L144">Common_InputFunctions.Utility_DisplayArrayInTable(Fertiliser_SourceData.Fertiliser_Products_Data2(), FertiliserProducts[[#Headers],[Company]],31)</f>
        <v>1.75</v>
      </c>
      <c r="M144" s="148" cm="1">
        <f t="array" ref="M144">Common_InputFunctions.Utility_DisplayArrayInTable(Fertiliser_SourceData.Fertiliser_Products_Data2(), FertiliserProducts[[#Headers],[Company]],31)</f>
        <v>21</v>
      </c>
      <c r="N144" s="148" cm="1">
        <f t="array" ref="N144">Common_InputFunctions.Utility_DisplayArrayInTable(Fertiliser_SourceData.Fertiliser_Products_Data2(), FertiliserProducts[[#Headers],[Company]],31)</f>
        <v>10.8</v>
      </c>
      <c r="O144" s="148" t="str" cm="1">
        <f t="array" ref="O144">Common_InputFunctions.Utility_DisplayArrayInTable(Fertiliser_SourceData.Fertiliser_Products_Data2(), FertiliserProducts[[#Headers],[Company]],31)</f>
        <v>Potassium - Generic</v>
      </c>
      <c r="P144" s="148" cm="1">
        <f t="array" ref="P144">Common_InputFunctions.Utility_DisplayArrayInTable(Fertiliser_SourceData.Fertiliser_Products_Data2(), FertiliserProducts[[#Headers],[Company]],31)</f>
        <v>0.21</v>
      </c>
      <c r="Q144" s="148" t="str" cm="1">
        <f t="array" ref="Q144">Common_InputFunctions.Utility_DisplayArrayInTable(Fertiliser_SourceData.Fertiliser_Products_Data2(), FertiliserProducts[[#Headers],[Company]],31)</f>
        <v>Sulfur - Generic</v>
      </c>
      <c r="R144" s="148" cm="1">
        <f t="array" ref="R144">Common_InputFunctions.Utility_DisplayArrayInTable(Fertiliser_SourceData.Fertiliser_Products_Data2(), FertiliserProducts[[#Headers],[Company]],31)</f>
        <v>0.108</v>
      </c>
      <c r="S144" s="148" t="str" cm="1">
        <f t="array" ref="S144">Common_InputFunctions.Utility_DisplayArrayInTable(Fertiliser_SourceData.Fertiliser_Products_Data2(), FertiliserProducts[[#Headers],[Company]],31)</f>
        <v>Nitrogen - Ammoniacal</v>
      </c>
      <c r="T144" s="148" cm="1">
        <f t="array" ref="T144">Common_InputFunctions.Utility_DisplayArrayInTable(Fertiliser_SourceData.Fertiliser_Products_Data2(), FertiliserProducts[[#Headers],[Company]],31)</f>
        <v>7.6999999999999999E-2</v>
      </c>
      <c r="U144" s="148" t="str" cm="1">
        <f t="array" ref="U144">Common_InputFunctions.Utility_DisplayArrayInTable(Fertiliser_SourceData.Fertiliser_Products_Data2(), FertiliserProducts[[#Headers],[Company]],31)</f>
        <v>Nitrogen - Nitrate</v>
      </c>
      <c r="V144" s="148" cm="1">
        <f t="array" ref="V144">Common_InputFunctions.Utility_DisplayArrayInTable(Fertiliser_SourceData.Fertiliser_Products_Data2(), FertiliserProducts[[#Headers],[Company]],31)</f>
        <v>5.2999999999999999E-2</v>
      </c>
      <c r="W144" s="148" t="str" cm="1">
        <f t="array" ref="W144">Common_InputFunctions.Utility_DisplayArrayInTable(Fertiliser_SourceData.Fertiliser_Products_Data2(), FertiliserProducts[[#Headers],[Company]],31)</f>
        <v>Phosphorus - Generic</v>
      </c>
      <c r="X144" s="148" cm="1">
        <f t="array" ref="X144">Common_InputFunctions.Utility_DisplayArrayInTable(Fertiliser_SourceData.Fertiliser_Products_Data2(), FertiliserProducts[[#Headers],[Company]],31)</f>
        <v>1.7500000000000002E-2</v>
      </c>
      <c r="Y144" s="148" t="str" cm="1">
        <f t="array" ref="Y144">Common_InputFunctions.Utility_DisplayArrayInTable(Fertiliser_SourceData.Fertiliser_Products_Data2(), FertiliserProducts[[#Headers],[Company]],31)</f>
        <v>Magnesium</v>
      </c>
      <c r="Z144" s="148" cm="1">
        <f t="array" ref="Z144">Common_InputFunctions.Utility_DisplayArrayInTable(Fertiliser_SourceData.Fertiliser_Products_Data2(), FertiliserProducts[[#Headers],[Company]],31)</f>
        <v>4.0000000000000001E-3</v>
      </c>
      <c r="AA144" s="148" t="str" cm="1">
        <f t="array" ref="AA144">Common_InputFunctions.Utility_DisplayArrayInTable(Fertiliser_SourceData.Fertiliser_Products_Data2(), FertiliserProducts[[#Headers],[Company]],31)</f>
        <v>Zinc</v>
      </c>
      <c r="AB144" s="148" cm="1">
        <f t="array" ref="AB144">Common_InputFunctions.Utility_DisplayArrayInTable(Fertiliser_SourceData.Fertiliser_Products_Data2(), FertiliserProducts[[#Headers],[Company]],31)</f>
        <v>8.0000000000000004E-4</v>
      </c>
      <c r="AC144" s="148" t="str" cm="1">
        <f t="array" ref="AC144">Common_InputFunctions.Utility_DisplayArrayInTable(Fertiliser_SourceData.Fertiliser_Products_Data2(), FertiliserProducts[[#Headers],[Company]],31)</f>
        <v>Boron</v>
      </c>
      <c r="AD144" s="148" cm="1">
        <f t="array" ref="AD144">Common_InputFunctions.Utility_DisplayArrayInTable(Fertiliser_SourceData.Fertiliser_Products_Data2(), FertiliserProducts[[#Headers],[Company]],31)</f>
        <v>8.0000000000000004E-4</v>
      </c>
      <c r="AE144" s="148" t="str" cm="1">
        <f t="array" ref="AE144">Common_InputFunctions.Utility_DisplayArrayInTable(Fertiliser_SourceData.Fertiliser_Products_Data2(), FertiliserProducts[[#Headers],[Company]],31)</f>
        <v/>
      </c>
      <c r="AF144" s="148" t="str" cm="1">
        <f t="array" ref="AF144">Common_InputFunctions.Utility_DisplayArrayInTable(Fertiliser_SourceData.Fertiliser_Products_Data2(), FertiliserProducts[[#Headers],[Company]],31)</f>
        <v/>
      </c>
      <c r="AG144" s="148" t="str" cm="1">
        <f t="array" ref="AG144">Common_InputFunctions.Utility_DisplayArrayInTable(Fertiliser_SourceData.Fertiliser_Products_Data2(), FertiliserProducts[[#Headers],[Company]],31)</f>
        <v/>
      </c>
      <c r="AH144" s="148" t="str" cm="1">
        <f t="array" ref="AH144">Common_InputFunctions.Utility_DisplayArrayInTable(Fertiliser_SourceData.Fertiliser_Products_Data2(), FertiliserProducts[[#Headers],[Company]],31)</f>
        <v/>
      </c>
      <c r="AK144" s="1"/>
      <c r="AL144" s="1"/>
      <c r="AM144" s="1"/>
    </row>
    <row r="145" spans="1:39" ht="20.100000000000001" customHeight="1" x14ac:dyDescent="0.2">
      <c r="D145" s="148" t="str" cm="1">
        <f t="array" ref="D145">Common_InputFunctions.Utility_DisplayArrayInTable(Fertiliser_SourceData.Fertiliser_Products_Data2(), FertiliserProducts[[#Headers],[Company]],31)</f>
        <v>Yara Australia</v>
      </c>
      <c r="E145" s="148" t="str" cm="1">
        <f t="array" ref="E145">Common_InputFunctions.Utility_DisplayArrayInTable(Fertiliser_SourceData.Fertiliser_Products_Data2(), FertiliserProducts[[#Headers],[Company]],31)</f>
        <v>YaraRega 15-7-13 (7S)</v>
      </c>
      <c r="F145" s="148" t="str" cm="1">
        <f t="array" ref="F145">Common_InputFunctions.Utility_DisplayArrayInTable(Fertiliser_SourceData.Fertiliser_Products_Data2(), FertiliserProducts[[#Headers],[Company]],31)</f>
        <v>kg</v>
      </c>
      <c r="G145" s="148" cm="1">
        <f t="array" ref="G145">Common_InputFunctions.Utility_DisplayArrayInTable(Fertiliser_SourceData.Fertiliser_Products_Data2(), FertiliserProducts[[#Headers],[Company]],31)</f>
        <v>1</v>
      </c>
      <c r="H145" s="148" t="str" cm="1">
        <f t="array" ref="H145">Common_InputFunctions.Utility_DisplayArrayInTable(Fertiliser_SourceData.Fertiliser_Products_Data2(), FertiliserProducts[[#Headers],[Company]],31)</f>
        <v/>
      </c>
      <c r="I145" s="148" t="str" cm="1">
        <f t="array" ref="I145">Common_InputFunctions.Utility_DisplayArrayInTable(Fertiliser_SourceData.Fertiliser_Products_Data2(), FertiliserProducts[[#Headers],[Company]],31)</f>
        <v/>
      </c>
      <c r="J145" s="148" t="str" cm="1">
        <f t="array" ref="J145">Common_InputFunctions.Utility_DisplayArrayInTable(Fertiliser_SourceData.Fertiliser_Products_Data2(), FertiliserProducts[[#Headers],[Company]],31)</f>
        <v/>
      </c>
      <c r="K145" s="148" cm="1">
        <f t="array" ref="K145">Common_InputFunctions.Utility_DisplayArrayInTable(Fertiliser_SourceData.Fertiliser_Products_Data2(), FertiliserProducts[[#Headers],[Company]],31)</f>
        <v>15</v>
      </c>
      <c r="L145" s="148" cm="1">
        <f t="array" ref="L145">Common_InputFunctions.Utility_DisplayArrayInTable(Fertiliser_SourceData.Fertiliser_Products_Data2(), FertiliserProducts[[#Headers],[Company]],31)</f>
        <v>6.5</v>
      </c>
      <c r="M145" s="148" cm="1">
        <f t="array" ref="M145">Common_InputFunctions.Utility_DisplayArrayInTable(Fertiliser_SourceData.Fertiliser_Products_Data2(), FertiliserProducts[[#Headers],[Company]],31)</f>
        <v>12.5</v>
      </c>
      <c r="N145" s="148" cm="1">
        <f t="array" ref="N145">Common_InputFunctions.Utility_DisplayArrayInTable(Fertiliser_SourceData.Fertiliser_Products_Data2(), FertiliserProducts[[#Headers],[Company]],31)</f>
        <v>7.2</v>
      </c>
      <c r="O145" s="148" t="str" cm="1">
        <f t="array" ref="O145">Common_InputFunctions.Utility_DisplayArrayInTable(Fertiliser_SourceData.Fertiliser_Products_Data2(), FertiliserProducts[[#Headers],[Company]],31)</f>
        <v>Nitrogen - Nitrate</v>
      </c>
      <c r="P145" s="148" cm="1">
        <f t="array" ref="P145">Common_InputFunctions.Utility_DisplayArrayInTable(Fertiliser_SourceData.Fertiliser_Products_Data2(), FertiliserProducts[[#Headers],[Company]],31)</f>
        <v>9.5000000000000001E-2</v>
      </c>
      <c r="Q145" s="148" t="str" cm="1">
        <f t="array" ref="Q145">Common_InputFunctions.Utility_DisplayArrayInTable(Fertiliser_SourceData.Fertiliser_Products_Data2(), FertiliserProducts[[#Headers],[Company]],31)</f>
        <v>Potassium - Generic</v>
      </c>
      <c r="R145" s="148" cm="1">
        <f t="array" ref="R145">Common_InputFunctions.Utility_DisplayArrayInTable(Fertiliser_SourceData.Fertiliser_Products_Data2(), FertiliserProducts[[#Headers],[Company]],31)</f>
        <v>0.125</v>
      </c>
      <c r="S145" s="148" t="str" cm="1">
        <f t="array" ref="S145">Common_InputFunctions.Utility_DisplayArrayInTable(Fertiliser_SourceData.Fertiliser_Products_Data2(), FertiliserProducts[[#Headers],[Company]],31)</f>
        <v>Sulfur - Generic</v>
      </c>
      <c r="T145" s="148" cm="1">
        <f t="array" ref="T145">Common_InputFunctions.Utility_DisplayArrayInTable(Fertiliser_SourceData.Fertiliser_Products_Data2(), FertiliserProducts[[#Headers],[Company]],31)</f>
        <v>7.1999999999999995E-2</v>
      </c>
      <c r="U145" s="148" t="str" cm="1">
        <f t="array" ref="U145">Common_InputFunctions.Utility_DisplayArrayInTable(Fertiliser_SourceData.Fertiliser_Products_Data2(), FertiliserProducts[[#Headers],[Company]],31)</f>
        <v>Phosphorus - Generic</v>
      </c>
      <c r="V145" s="148" cm="1">
        <f t="array" ref="V145">Common_InputFunctions.Utility_DisplayArrayInTable(Fertiliser_SourceData.Fertiliser_Products_Data2(), FertiliserProducts[[#Headers],[Company]],31)</f>
        <v>6.5000000000000002E-2</v>
      </c>
      <c r="W145" s="148" t="str" cm="1">
        <f t="array" ref="W145">Common_InputFunctions.Utility_DisplayArrayInTable(Fertiliser_SourceData.Fertiliser_Products_Data2(), FertiliserProducts[[#Headers],[Company]],31)</f>
        <v>Nitrogen - Ammoniacal</v>
      </c>
      <c r="X145" s="148" cm="1">
        <f t="array" ref="X145">Common_InputFunctions.Utility_DisplayArrayInTable(Fertiliser_SourceData.Fertiliser_Products_Data2(), FertiliserProducts[[#Headers],[Company]],31)</f>
        <v>5.5E-2</v>
      </c>
      <c r="Y145" s="148" t="str" cm="1">
        <f t="array" ref="Y145">Common_InputFunctions.Utility_DisplayArrayInTable(Fertiliser_SourceData.Fertiliser_Products_Data2(), FertiliserProducts[[#Headers],[Company]],31)</f>
        <v>Magnesium</v>
      </c>
      <c r="Z145" s="148" cm="1">
        <f t="array" ref="Z145">Common_InputFunctions.Utility_DisplayArrayInTable(Fertiliser_SourceData.Fertiliser_Products_Data2(), FertiliserProducts[[#Headers],[Company]],31)</f>
        <v>6.6E-3</v>
      </c>
      <c r="AA145" s="148" t="str" cm="1">
        <f t="array" ref="AA145">Common_InputFunctions.Utility_DisplayArrayInTable(Fertiliser_SourceData.Fertiliser_Products_Data2(), FertiliserProducts[[#Headers],[Company]],31)</f>
        <v>Boron</v>
      </c>
      <c r="AB145" s="148" cm="1">
        <f t="array" ref="AB145">Common_InputFunctions.Utility_DisplayArrayInTable(Fertiliser_SourceData.Fertiliser_Products_Data2(), FertiliserProducts[[#Headers],[Company]],31)</f>
        <v>1E-3</v>
      </c>
      <c r="AC145" s="148" t="str" cm="1">
        <f t="array" ref="AC145">Common_InputFunctions.Utility_DisplayArrayInTable(Fertiliser_SourceData.Fertiliser_Products_Data2(), FertiliserProducts[[#Headers],[Company]],31)</f>
        <v>Zinc</v>
      </c>
      <c r="AD145" s="148" cm="1">
        <f t="array" ref="AD145">Common_InputFunctions.Utility_DisplayArrayInTable(Fertiliser_SourceData.Fertiliser_Products_Data2(), FertiliserProducts[[#Headers],[Company]],31)</f>
        <v>5.9999999999999995E-4</v>
      </c>
      <c r="AE145" s="148" t="str" cm="1">
        <f t="array" ref="AE145">Common_InputFunctions.Utility_DisplayArrayInTable(Fertiliser_SourceData.Fertiliser_Products_Data2(), FertiliserProducts[[#Headers],[Company]],31)</f>
        <v/>
      </c>
      <c r="AF145" s="148" t="str" cm="1">
        <f t="array" ref="AF145">Common_InputFunctions.Utility_DisplayArrayInTable(Fertiliser_SourceData.Fertiliser_Products_Data2(), FertiliserProducts[[#Headers],[Company]],31)</f>
        <v/>
      </c>
      <c r="AG145" s="148" t="str" cm="1">
        <f t="array" ref="AG145">Common_InputFunctions.Utility_DisplayArrayInTable(Fertiliser_SourceData.Fertiliser_Products_Data2(), FertiliserProducts[[#Headers],[Company]],31)</f>
        <v/>
      </c>
      <c r="AH145" s="148" t="str" cm="1">
        <f t="array" ref="AH145">Common_InputFunctions.Utility_DisplayArrayInTable(Fertiliser_SourceData.Fertiliser_Products_Data2(), FertiliserProducts[[#Headers],[Company]],31)</f>
        <v/>
      </c>
      <c r="AK145" s="1"/>
      <c r="AL145" s="1"/>
      <c r="AM145" s="1"/>
    </row>
    <row r="146" spans="1:39" ht="20.100000000000001" customHeight="1" x14ac:dyDescent="0.2">
      <c r="D146" s="148" t="str" cm="1">
        <f t="array" ref="D146">Common_InputFunctions.Utility_DisplayArrayInTable(Fertiliser_SourceData.Fertiliser_Products_Data2(), FertiliserProducts[[#Headers],[Company]],31)</f>
        <v>Yara Australia</v>
      </c>
      <c r="E146" s="148" t="str" cm="1">
        <f t="array" ref="E146">Common_InputFunctions.Utility_DisplayArrayInTable(Fertiliser_SourceData.Fertiliser_Products_Data2(), FertiliserProducts[[#Headers],[Company]],31)</f>
        <v>YaraTera CALCINIT B</v>
      </c>
      <c r="F146" s="148" t="str" cm="1">
        <f t="array" ref="F146">Common_InputFunctions.Utility_DisplayArrayInTable(Fertiliser_SourceData.Fertiliser_Products_Data2(), FertiliserProducts[[#Headers],[Company]],31)</f>
        <v>kg</v>
      </c>
      <c r="G146" s="148" cm="1">
        <f t="array" ref="G146">Common_InputFunctions.Utility_DisplayArrayInTable(Fertiliser_SourceData.Fertiliser_Products_Data2(), FertiliserProducts[[#Headers],[Company]],31)</f>
        <v>1</v>
      </c>
      <c r="H146" s="148" t="str" cm="1">
        <f t="array" ref="H146">Common_InputFunctions.Utility_DisplayArrayInTable(Fertiliser_SourceData.Fertiliser_Products_Data2(), FertiliserProducts[[#Headers],[Company]],31)</f>
        <v/>
      </c>
      <c r="I146" s="148" t="str" cm="1">
        <f t="array" ref="I146">Common_InputFunctions.Utility_DisplayArrayInTable(Fertiliser_SourceData.Fertiliser_Products_Data2(), FertiliserProducts[[#Headers],[Company]],31)</f>
        <v/>
      </c>
      <c r="J146" s="148" t="str" cm="1">
        <f t="array" ref="J146">Common_InputFunctions.Utility_DisplayArrayInTable(Fertiliser_SourceData.Fertiliser_Products_Data2(), FertiliserProducts[[#Headers],[Company]],31)</f>
        <v/>
      </c>
      <c r="K146" s="148" cm="1">
        <f t="array" ref="K146">Common_InputFunctions.Utility_DisplayArrayInTable(Fertiliser_SourceData.Fertiliser_Products_Data2(), FertiliserProducts[[#Headers],[Company]],31)</f>
        <v>15.5</v>
      </c>
      <c r="L146" s="148" t="str" cm="1">
        <f t="array" ref="L146">Common_InputFunctions.Utility_DisplayArrayInTable(Fertiliser_SourceData.Fertiliser_Products_Data2(), FertiliserProducts[[#Headers],[Company]],31)</f>
        <v/>
      </c>
      <c r="M146" s="148" t="str" cm="1">
        <f t="array" ref="M146">Common_InputFunctions.Utility_DisplayArrayInTable(Fertiliser_SourceData.Fertiliser_Products_Data2(), FertiliserProducts[[#Headers],[Company]],31)</f>
        <v/>
      </c>
      <c r="N146" s="148" t="str" cm="1">
        <f t="array" ref="N146">Common_InputFunctions.Utility_DisplayArrayInTable(Fertiliser_SourceData.Fertiliser_Products_Data2(), FertiliserProducts[[#Headers],[Company]],31)</f>
        <v/>
      </c>
      <c r="O146" s="148" t="str" cm="1">
        <f t="array" ref="O146">Common_InputFunctions.Utility_DisplayArrayInTable(Fertiliser_SourceData.Fertiliser_Products_Data2(), FertiliserProducts[[#Headers],[Company]],31)</f>
        <v>Calcium nitrate</v>
      </c>
      <c r="P146" s="148" cm="1">
        <f t="array" ref="P146">Common_InputFunctions.Utility_DisplayArrayInTable(Fertiliser_SourceData.Fertiliser_Products_Data2(), FertiliserProducts[[#Headers],[Company]],31)</f>
        <v>1</v>
      </c>
      <c r="Q146" s="148" t="str" cm="1">
        <f t="array" ref="Q146">Common_InputFunctions.Utility_DisplayArrayInTable(Fertiliser_SourceData.Fertiliser_Products_Data2(), FertiliserProducts[[#Headers],[Company]],31)</f>
        <v>Boron</v>
      </c>
      <c r="R146" s="148" cm="1">
        <f t="array" ref="R146">Common_InputFunctions.Utility_DisplayArrayInTable(Fertiliser_SourceData.Fertiliser_Products_Data2(), FertiliserProducts[[#Headers],[Company]],31)</f>
        <v>1E-3</v>
      </c>
      <c r="S146" s="148" t="str" cm="1">
        <f t="array" ref="S146">Common_InputFunctions.Utility_DisplayArrayInTable(Fertiliser_SourceData.Fertiliser_Products_Data2(), FertiliserProducts[[#Headers],[Company]],31)</f>
        <v/>
      </c>
      <c r="T146" s="148" t="str" cm="1">
        <f t="array" ref="T146">Common_InputFunctions.Utility_DisplayArrayInTable(Fertiliser_SourceData.Fertiliser_Products_Data2(), FertiliserProducts[[#Headers],[Company]],31)</f>
        <v/>
      </c>
      <c r="U146" s="148" t="str" cm="1">
        <f t="array" ref="U146">Common_InputFunctions.Utility_DisplayArrayInTable(Fertiliser_SourceData.Fertiliser_Products_Data2(), FertiliserProducts[[#Headers],[Company]],31)</f>
        <v/>
      </c>
      <c r="V146" s="148" t="str" cm="1">
        <f t="array" ref="V146">Common_InputFunctions.Utility_DisplayArrayInTable(Fertiliser_SourceData.Fertiliser_Products_Data2(), FertiliserProducts[[#Headers],[Company]],31)</f>
        <v/>
      </c>
      <c r="W146" s="148" t="str" cm="1">
        <f t="array" ref="W146">Common_InputFunctions.Utility_DisplayArrayInTable(Fertiliser_SourceData.Fertiliser_Products_Data2(), FertiliserProducts[[#Headers],[Company]],31)</f>
        <v/>
      </c>
      <c r="X146" s="148" t="str" cm="1">
        <f t="array" ref="X146">Common_InputFunctions.Utility_DisplayArrayInTable(Fertiliser_SourceData.Fertiliser_Products_Data2(), FertiliserProducts[[#Headers],[Company]],31)</f>
        <v/>
      </c>
      <c r="Y146" s="148" t="str" cm="1">
        <f t="array" ref="Y146">Common_InputFunctions.Utility_DisplayArrayInTable(Fertiliser_SourceData.Fertiliser_Products_Data2(), FertiliserProducts[[#Headers],[Company]],31)</f>
        <v/>
      </c>
      <c r="Z146" s="148" t="str" cm="1">
        <f t="array" ref="Z146">Common_InputFunctions.Utility_DisplayArrayInTable(Fertiliser_SourceData.Fertiliser_Products_Data2(), FertiliserProducts[[#Headers],[Company]],31)</f>
        <v/>
      </c>
      <c r="AA146" s="148" t="str" cm="1">
        <f t="array" ref="AA146">Common_InputFunctions.Utility_DisplayArrayInTable(Fertiliser_SourceData.Fertiliser_Products_Data2(), FertiliserProducts[[#Headers],[Company]],31)</f>
        <v/>
      </c>
      <c r="AB146" s="148" t="str" cm="1">
        <f t="array" ref="AB146">Common_InputFunctions.Utility_DisplayArrayInTable(Fertiliser_SourceData.Fertiliser_Products_Data2(), FertiliserProducts[[#Headers],[Company]],31)</f>
        <v/>
      </c>
      <c r="AC146" s="148" t="str" cm="1">
        <f t="array" ref="AC146">Common_InputFunctions.Utility_DisplayArrayInTable(Fertiliser_SourceData.Fertiliser_Products_Data2(), FertiliserProducts[[#Headers],[Company]],31)</f>
        <v/>
      </c>
      <c r="AD146" s="148" t="str" cm="1">
        <f t="array" ref="AD146">Common_InputFunctions.Utility_DisplayArrayInTable(Fertiliser_SourceData.Fertiliser_Products_Data2(), FertiliserProducts[[#Headers],[Company]],31)</f>
        <v/>
      </c>
      <c r="AE146" s="148" t="str" cm="1">
        <f t="array" ref="AE146">Common_InputFunctions.Utility_DisplayArrayInTable(Fertiliser_SourceData.Fertiliser_Products_Data2(), FertiliserProducts[[#Headers],[Company]],31)</f>
        <v/>
      </c>
      <c r="AF146" s="148" t="str" cm="1">
        <f t="array" ref="AF146">Common_InputFunctions.Utility_DisplayArrayInTable(Fertiliser_SourceData.Fertiliser_Products_Data2(), FertiliserProducts[[#Headers],[Company]],31)</f>
        <v/>
      </c>
      <c r="AG146" s="148" t="str" cm="1">
        <f t="array" ref="AG146">Common_InputFunctions.Utility_DisplayArrayInTable(Fertiliser_SourceData.Fertiliser_Products_Data2(), FertiliserProducts[[#Headers],[Company]],31)</f>
        <v/>
      </c>
      <c r="AH146" s="148" t="str" cm="1">
        <f t="array" ref="AH146">Common_InputFunctions.Utility_DisplayArrayInTable(Fertiliser_SourceData.Fertiliser_Products_Data2(), FertiliserProducts[[#Headers],[Company]],31)</f>
        <v/>
      </c>
      <c r="AK146" s="1"/>
      <c r="AL146" s="1"/>
      <c r="AM146" s="1"/>
    </row>
    <row r="147" spans="1:39" ht="20.100000000000001" customHeight="1" x14ac:dyDescent="0.2">
      <c r="D147" s="148" t="str" cm="1">
        <f t="array" ref="D147">Common_InputFunctions.Utility_DisplayArrayInTable(Fertiliser_SourceData.Fertiliser_Products_Data2(), FertiliserProducts[[#Headers],[Company]],31)</f>
        <v>Yara Australia</v>
      </c>
      <c r="E147" s="148" t="str" cm="1">
        <f t="array" ref="E147">Common_InputFunctions.Utility_DisplayArrayInTable(Fertiliser_SourceData.Fertiliser_Products_Data2(), FertiliserProducts[[#Headers],[Company]],31)</f>
        <v>YaraTera KRISTA MAP</v>
      </c>
      <c r="F147" s="148" t="str" cm="1">
        <f t="array" ref="F147">Common_InputFunctions.Utility_DisplayArrayInTable(Fertiliser_SourceData.Fertiliser_Products_Data2(), FertiliserProducts[[#Headers],[Company]],31)</f>
        <v>kg</v>
      </c>
      <c r="G147" s="148" cm="1">
        <f t="array" ref="G147">Common_InputFunctions.Utility_DisplayArrayInTable(Fertiliser_SourceData.Fertiliser_Products_Data2(), FertiliserProducts[[#Headers],[Company]],31)</f>
        <v>1</v>
      </c>
      <c r="H147" s="148" t="str" cm="1">
        <f t="array" ref="H147">Common_InputFunctions.Utility_DisplayArrayInTable(Fertiliser_SourceData.Fertiliser_Products_Data2(), FertiliserProducts[[#Headers],[Company]],31)</f>
        <v/>
      </c>
      <c r="I147" s="148" t="str" cm="1">
        <f t="array" ref="I147">Common_InputFunctions.Utility_DisplayArrayInTable(Fertiliser_SourceData.Fertiliser_Products_Data2(), FertiliserProducts[[#Headers],[Company]],31)</f>
        <v/>
      </c>
      <c r="J147" s="148" t="str" cm="1">
        <f t="array" ref="J147">Common_InputFunctions.Utility_DisplayArrayInTable(Fertiliser_SourceData.Fertiliser_Products_Data2(), FertiliserProducts[[#Headers],[Company]],31)</f>
        <v/>
      </c>
      <c r="K147" s="148" cm="1">
        <f t="array" ref="K147">Common_InputFunctions.Utility_DisplayArrayInTable(Fertiliser_SourceData.Fertiliser_Products_Data2(), FertiliserProducts[[#Headers],[Company]],31)</f>
        <v>10</v>
      </c>
      <c r="L147" s="148" cm="1">
        <f t="array" ref="L147">Common_InputFunctions.Utility_DisplayArrayInTable(Fertiliser_SourceData.Fertiliser_Products_Data2(), FertiliserProducts[[#Headers],[Company]],31)</f>
        <v>21.9</v>
      </c>
      <c r="M147" s="148" t="str" cm="1">
        <f t="array" ref="M147">Common_InputFunctions.Utility_DisplayArrayInTable(Fertiliser_SourceData.Fertiliser_Products_Data2(), FertiliserProducts[[#Headers],[Company]],31)</f>
        <v/>
      </c>
      <c r="N147" s="148" t="str" cm="1">
        <f t="array" ref="N147">Common_InputFunctions.Utility_DisplayArrayInTable(Fertiliser_SourceData.Fertiliser_Products_Data2(), FertiliserProducts[[#Headers],[Company]],31)</f>
        <v/>
      </c>
      <c r="O147" s="148" t="str" cm="1">
        <f t="array" ref="O147">Common_InputFunctions.Utility_DisplayArrayInTable(Fertiliser_SourceData.Fertiliser_Products_Data2(), FertiliserProducts[[#Headers],[Company]],31)</f>
        <v>Monoammonium phosphate (MAP)</v>
      </c>
      <c r="P147" s="148" cm="1">
        <f t="array" ref="P147">Common_InputFunctions.Utility_DisplayArrayInTable(Fertiliser_SourceData.Fertiliser_Products_Data2(), FertiliserProducts[[#Headers],[Company]],31)</f>
        <v>1</v>
      </c>
      <c r="Q147" s="148" t="str" cm="1">
        <f t="array" ref="Q147">Common_InputFunctions.Utility_DisplayArrayInTable(Fertiliser_SourceData.Fertiliser_Products_Data2(), FertiliserProducts[[#Headers],[Company]],31)</f>
        <v/>
      </c>
      <c r="R147" s="148" t="str" cm="1">
        <f t="array" ref="R147">Common_InputFunctions.Utility_DisplayArrayInTable(Fertiliser_SourceData.Fertiliser_Products_Data2(), FertiliserProducts[[#Headers],[Company]],31)</f>
        <v/>
      </c>
      <c r="S147" s="148" t="str" cm="1">
        <f t="array" ref="S147">Common_InputFunctions.Utility_DisplayArrayInTable(Fertiliser_SourceData.Fertiliser_Products_Data2(), FertiliserProducts[[#Headers],[Company]],31)</f>
        <v/>
      </c>
      <c r="T147" s="148" t="str" cm="1">
        <f t="array" ref="T147">Common_InputFunctions.Utility_DisplayArrayInTable(Fertiliser_SourceData.Fertiliser_Products_Data2(), FertiliserProducts[[#Headers],[Company]],31)</f>
        <v/>
      </c>
      <c r="U147" s="148" t="str" cm="1">
        <f t="array" ref="U147">Common_InputFunctions.Utility_DisplayArrayInTable(Fertiliser_SourceData.Fertiliser_Products_Data2(), FertiliserProducts[[#Headers],[Company]],31)</f>
        <v/>
      </c>
      <c r="V147" s="148" t="str" cm="1">
        <f t="array" ref="V147">Common_InputFunctions.Utility_DisplayArrayInTable(Fertiliser_SourceData.Fertiliser_Products_Data2(), FertiliserProducts[[#Headers],[Company]],31)</f>
        <v/>
      </c>
      <c r="W147" s="148" t="str" cm="1">
        <f t="array" ref="W147">Common_InputFunctions.Utility_DisplayArrayInTable(Fertiliser_SourceData.Fertiliser_Products_Data2(), FertiliserProducts[[#Headers],[Company]],31)</f>
        <v/>
      </c>
      <c r="X147" s="148" t="str" cm="1">
        <f t="array" ref="X147">Common_InputFunctions.Utility_DisplayArrayInTable(Fertiliser_SourceData.Fertiliser_Products_Data2(), FertiliserProducts[[#Headers],[Company]],31)</f>
        <v/>
      </c>
      <c r="Y147" s="148" t="str" cm="1">
        <f t="array" ref="Y147">Common_InputFunctions.Utility_DisplayArrayInTable(Fertiliser_SourceData.Fertiliser_Products_Data2(), FertiliserProducts[[#Headers],[Company]],31)</f>
        <v/>
      </c>
      <c r="Z147" s="148" t="str" cm="1">
        <f t="array" ref="Z147">Common_InputFunctions.Utility_DisplayArrayInTable(Fertiliser_SourceData.Fertiliser_Products_Data2(), FertiliserProducts[[#Headers],[Company]],31)</f>
        <v/>
      </c>
      <c r="AA147" s="148" t="str" cm="1">
        <f t="array" ref="AA147">Common_InputFunctions.Utility_DisplayArrayInTable(Fertiliser_SourceData.Fertiliser_Products_Data2(), FertiliserProducts[[#Headers],[Company]],31)</f>
        <v/>
      </c>
      <c r="AB147" s="148" t="str" cm="1">
        <f t="array" ref="AB147">Common_InputFunctions.Utility_DisplayArrayInTable(Fertiliser_SourceData.Fertiliser_Products_Data2(), FertiliserProducts[[#Headers],[Company]],31)</f>
        <v/>
      </c>
      <c r="AC147" s="148" t="str" cm="1">
        <f t="array" ref="AC147">Common_InputFunctions.Utility_DisplayArrayInTable(Fertiliser_SourceData.Fertiliser_Products_Data2(), FertiliserProducts[[#Headers],[Company]],31)</f>
        <v/>
      </c>
      <c r="AD147" s="148" t="str" cm="1">
        <f t="array" ref="AD147">Common_InputFunctions.Utility_DisplayArrayInTable(Fertiliser_SourceData.Fertiliser_Products_Data2(), FertiliserProducts[[#Headers],[Company]],31)</f>
        <v/>
      </c>
      <c r="AE147" s="148" t="str" cm="1">
        <f t="array" ref="AE147">Common_InputFunctions.Utility_DisplayArrayInTable(Fertiliser_SourceData.Fertiliser_Products_Data2(), FertiliserProducts[[#Headers],[Company]],31)</f>
        <v/>
      </c>
      <c r="AF147" s="148" t="str" cm="1">
        <f t="array" ref="AF147">Common_InputFunctions.Utility_DisplayArrayInTable(Fertiliser_SourceData.Fertiliser_Products_Data2(), FertiliserProducts[[#Headers],[Company]],31)</f>
        <v/>
      </c>
      <c r="AG147" s="148" t="str" cm="1">
        <f t="array" ref="AG147">Common_InputFunctions.Utility_DisplayArrayInTable(Fertiliser_SourceData.Fertiliser_Products_Data2(), FertiliserProducts[[#Headers],[Company]],31)</f>
        <v/>
      </c>
      <c r="AH147" s="148" t="str" cm="1">
        <f t="array" ref="AH147">Common_InputFunctions.Utility_DisplayArrayInTable(Fertiliser_SourceData.Fertiliser_Products_Data2(), FertiliserProducts[[#Headers],[Company]],31)</f>
        <v/>
      </c>
      <c r="AK147" s="1"/>
      <c r="AL147" s="1"/>
      <c r="AM147" s="1"/>
    </row>
    <row r="148" spans="1:39" ht="20.100000000000001" customHeight="1" x14ac:dyDescent="0.2">
      <c r="D148" s="148" t="str" cm="1">
        <f t="array" ref="D148">Common_InputFunctions.Utility_DisplayArrayInTable(Fertiliser_SourceData.Fertiliser_Products_Data2(), FertiliserProducts[[#Headers],[Company]],31)</f>
        <v>Yara Australia</v>
      </c>
      <c r="E148" s="148" t="str" cm="1">
        <f t="array" ref="E148">Common_InputFunctions.Utility_DisplayArrayInTable(Fertiliser_SourceData.Fertiliser_Products_Data2(), FertiliserProducts[[#Headers],[Company]],31)</f>
        <v>YaraTera KRISTALON RED</v>
      </c>
      <c r="F148" s="148" t="str" cm="1">
        <f t="array" ref="F148">Common_InputFunctions.Utility_DisplayArrayInTable(Fertiliser_SourceData.Fertiliser_Products_Data2(), FertiliserProducts[[#Headers],[Company]],31)</f>
        <v>kg</v>
      </c>
      <c r="G148" s="148" cm="1">
        <f t="array" ref="G148">Common_InputFunctions.Utility_DisplayArrayInTable(Fertiliser_SourceData.Fertiliser_Products_Data2(), FertiliserProducts[[#Headers],[Company]],31)</f>
        <v>1</v>
      </c>
      <c r="H148" s="148" t="str" cm="1">
        <f t="array" ref="H148">Common_InputFunctions.Utility_DisplayArrayInTable(Fertiliser_SourceData.Fertiliser_Products_Data2(), FertiliserProducts[[#Headers],[Company]],31)</f>
        <v/>
      </c>
      <c r="I148" s="148" t="str" cm="1">
        <f t="array" ref="I148">Common_InputFunctions.Utility_DisplayArrayInTable(Fertiliser_SourceData.Fertiliser_Products_Data2(), FertiliserProducts[[#Headers],[Company]],31)</f>
        <v/>
      </c>
      <c r="J148" s="148" t="str" cm="1">
        <f t="array" ref="J148">Common_InputFunctions.Utility_DisplayArrayInTable(Fertiliser_SourceData.Fertiliser_Products_Data2(), FertiliserProducts[[#Headers],[Company]],31)</f>
        <v/>
      </c>
      <c r="K148" s="148" cm="1">
        <f t="array" ref="K148">Common_InputFunctions.Utility_DisplayArrayInTable(Fertiliser_SourceData.Fertiliser_Products_Data2(), FertiliserProducts[[#Headers],[Company]],31)</f>
        <v>12</v>
      </c>
      <c r="L148" s="148" cm="1">
        <f t="array" ref="L148">Common_InputFunctions.Utility_DisplayArrayInTable(Fertiliser_SourceData.Fertiliser_Products_Data2(), FertiliserProducts[[#Headers],[Company]],31)</f>
        <v>5.2</v>
      </c>
      <c r="M148" s="148" cm="1">
        <f t="array" ref="M148">Common_InputFunctions.Utility_DisplayArrayInTable(Fertiliser_SourceData.Fertiliser_Products_Data2(), FertiliserProducts[[#Headers],[Company]],31)</f>
        <v>29.9</v>
      </c>
      <c r="N148" s="148" cm="1">
        <f t="array" ref="N148">Common_InputFunctions.Utility_DisplayArrayInTable(Fertiliser_SourceData.Fertiliser_Products_Data2(), FertiliserProducts[[#Headers],[Company]],31)</f>
        <v>1</v>
      </c>
      <c r="O148" s="148" t="str" cm="1">
        <f t="array" ref="O148">Common_InputFunctions.Utility_DisplayArrayInTable(Fertiliser_SourceData.Fertiliser_Products_Data2(), FertiliserProducts[[#Headers],[Company]],31)</f>
        <v>Potassium - Generic</v>
      </c>
      <c r="P148" s="148" cm="1">
        <f t="array" ref="P148">Common_InputFunctions.Utility_DisplayArrayInTable(Fertiliser_SourceData.Fertiliser_Products_Data2(), FertiliserProducts[[#Headers],[Company]],31)</f>
        <v>0.29899999999999999</v>
      </c>
      <c r="Q148" s="148" t="str" cm="1">
        <f t="array" ref="Q148">Common_InputFunctions.Utility_DisplayArrayInTable(Fertiliser_SourceData.Fertiliser_Products_Data2(), FertiliserProducts[[#Headers],[Company]],31)</f>
        <v>Nitrogen - Nitrate</v>
      </c>
      <c r="R148" s="148" cm="1">
        <f t="array" ref="R148">Common_InputFunctions.Utility_DisplayArrayInTable(Fertiliser_SourceData.Fertiliser_Products_Data2(), FertiliserProducts[[#Headers],[Company]],31)</f>
        <v>0.10100000000000001</v>
      </c>
      <c r="S148" s="148" t="str" cm="1">
        <f t="array" ref="S148">Common_InputFunctions.Utility_DisplayArrayInTable(Fertiliser_SourceData.Fertiliser_Products_Data2(), FertiliserProducts[[#Headers],[Company]],31)</f>
        <v>Phosphorus - Generic</v>
      </c>
      <c r="T148" s="148" cm="1">
        <f t="array" ref="T148">Common_InputFunctions.Utility_DisplayArrayInTable(Fertiliser_SourceData.Fertiliser_Products_Data2(), FertiliserProducts[[#Headers],[Company]],31)</f>
        <v>5.1999999999999998E-2</v>
      </c>
      <c r="U148" s="148" t="str" cm="1">
        <f t="array" ref="U148">Common_InputFunctions.Utility_DisplayArrayInTable(Fertiliser_SourceData.Fertiliser_Products_Data2(), FertiliserProducts[[#Headers],[Company]],31)</f>
        <v>Nitrogen - Ammoniacal</v>
      </c>
      <c r="V148" s="148" cm="1">
        <f t="array" ref="V148">Common_InputFunctions.Utility_DisplayArrayInTable(Fertiliser_SourceData.Fertiliser_Products_Data2(), FertiliserProducts[[#Headers],[Company]],31)</f>
        <v>1.9E-2</v>
      </c>
      <c r="W148" s="148" t="str" cm="1">
        <f t="array" ref="W148">Common_InputFunctions.Utility_DisplayArrayInTable(Fertiliser_SourceData.Fertiliser_Products_Data2(), FertiliserProducts[[#Headers],[Company]],31)</f>
        <v>Sulfur - Generic</v>
      </c>
      <c r="X148" s="148" cm="1">
        <f t="array" ref="X148">Common_InputFunctions.Utility_DisplayArrayInTable(Fertiliser_SourceData.Fertiliser_Products_Data2(), FertiliserProducts[[#Headers],[Company]],31)</f>
        <v>0.01</v>
      </c>
      <c r="Y148" s="148" t="str" cm="1">
        <f t="array" ref="Y148">Common_InputFunctions.Utility_DisplayArrayInTable(Fertiliser_SourceData.Fertiliser_Products_Data2(), FertiliserProducts[[#Headers],[Company]],31)</f>
        <v>Magnesium</v>
      </c>
      <c r="Z148" s="148" cm="1">
        <f t="array" ref="Z148">Common_InputFunctions.Utility_DisplayArrayInTable(Fertiliser_SourceData.Fertiliser_Products_Data2(), FertiliserProducts[[#Headers],[Company]],31)</f>
        <v>6.0000000000000001E-3</v>
      </c>
      <c r="AA148" s="148" t="str" cm="1">
        <f t="array" ref="AA148">Common_InputFunctions.Utility_DisplayArrayInTable(Fertiliser_SourceData.Fertiliser_Products_Data2(), FertiliserProducts[[#Headers],[Company]],31)</f>
        <v>Iron</v>
      </c>
      <c r="AB148" s="148" cm="1">
        <f t="array" ref="AB148">Common_InputFunctions.Utility_DisplayArrayInTable(Fertiliser_SourceData.Fertiliser_Products_Data2(), FertiliserProducts[[#Headers],[Company]],31)</f>
        <v>6.9999999999999999E-4</v>
      </c>
      <c r="AC148" s="148" t="str" cm="1">
        <f t="array" ref="AC148">Common_InputFunctions.Utility_DisplayArrayInTable(Fertiliser_SourceData.Fertiliser_Products_Data2(), FertiliserProducts[[#Headers],[Company]],31)</f>
        <v>Manganese</v>
      </c>
      <c r="AD148" s="148" cm="1">
        <f t="array" ref="AD148">Common_InputFunctions.Utility_DisplayArrayInTable(Fertiliser_SourceData.Fertiliser_Products_Data2(), FertiliserProducts[[#Headers],[Company]],31)</f>
        <v>4.0000000000000002E-4</v>
      </c>
      <c r="AE148" s="148" t="str" cm="1">
        <f t="array" ref="AE148">Common_InputFunctions.Utility_DisplayArrayInTable(Fertiliser_SourceData.Fertiliser_Products_Data2(), FertiliserProducts[[#Headers],[Company]],31)</f>
        <v>Zinc</v>
      </c>
      <c r="AF148" s="148" cm="1">
        <f t="array" ref="AF148">Common_InputFunctions.Utility_DisplayArrayInTable(Fertiliser_SourceData.Fertiliser_Products_Data2(), FertiliserProducts[[#Headers],[Company]],31)</f>
        <v>2.5000000000000001E-4</v>
      </c>
      <c r="AG148" s="148" t="str" cm="1">
        <f t="array" ref="AG148">Common_InputFunctions.Utility_DisplayArrayInTable(Fertiliser_SourceData.Fertiliser_Products_Data2(), FertiliserProducts[[#Headers],[Company]],31)</f>
        <v>Boron</v>
      </c>
      <c r="AH148" s="148" cm="1">
        <f t="array" ref="AH148">Common_InputFunctions.Utility_DisplayArrayInTable(Fertiliser_SourceData.Fertiliser_Products_Data2(), FertiliserProducts[[#Headers],[Company]],31)</f>
        <v>2.5000000000000001E-4</v>
      </c>
      <c r="AK148" s="1"/>
      <c r="AL148" s="1"/>
      <c r="AM148" s="1"/>
    </row>
    <row r="149" spans="1:39" ht="20.100000000000001" customHeight="1" x14ac:dyDescent="0.2">
      <c r="D149" s="148" t="str" cm="1">
        <f t="array" ref="D149">Common_InputFunctions.Utility_DisplayArrayInTable(Fertiliser_SourceData.Fertiliser_Products_Data2(), FertiliserProducts[[#Headers],[Company]],31)</f>
        <v>Yara Australia</v>
      </c>
      <c r="E149" s="148" t="str" cm="1">
        <f t="array" ref="E149">Common_InputFunctions.Utility_DisplayArrayInTable(Fertiliser_SourceData.Fertiliser_Products_Data2(), FertiliserProducts[[#Headers],[Company]],31)</f>
        <v>YaraTera KRISTALON SPECIAL</v>
      </c>
      <c r="F149" s="148" t="str" cm="1">
        <f t="array" ref="F149">Common_InputFunctions.Utility_DisplayArrayInTable(Fertiliser_SourceData.Fertiliser_Products_Data2(), FertiliserProducts[[#Headers],[Company]],31)</f>
        <v>kg</v>
      </c>
      <c r="G149" s="148" cm="1">
        <f t="array" ref="G149">Common_InputFunctions.Utility_DisplayArrayInTable(Fertiliser_SourceData.Fertiliser_Products_Data2(), FertiliserProducts[[#Headers],[Company]],31)</f>
        <v>1</v>
      </c>
      <c r="H149" s="148" t="str" cm="1">
        <f t="array" ref="H149">Common_InputFunctions.Utility_DisplayArrayInTable(Fertiliser_SourceData.Fertiliser_Products_Data2(), FertiliserProducts[[#Headers],[Company]],31)</f>
        <v/>
      </c>
      <c r="I149" s="148" t="str" cm="1">
        <f t="array" ref="I149">Common_InputFunctions.Utility_DisplayArrayInTable(Fertiliser_SourceData.Fertiliser_Products_Data2(), FertiliserProducts[[#Headers],[Company]],31)</f>
        <v/>
      </c>
      <c r="J149" s="148" t="str" cm="1">
        <f t="array" ref="J149">Common_InputFunctions.Utility_DisplayArrayInTable(Fertiliser_SourceData.Fertiliser_Products_Data2(), FertiliserProducts[[#Headers],[Company]],31)</f>
        <v/>
      </c>
      <c r="K149" s="148" cm="1">
        <f t="array" ref="K149">Common_InputFunctions.Utility_DisplayArrayInTable(Fertiliser_SourceData.Fertiliser_Products_Data2(), FertiliserProducts[[#Headers],[Company]],31)</f>
        <v>18</v>
      </c>
      <c r="L149" s="148" cm="1">
        <f t="array" ref="L149">Common_InputFunctions.Utility_DisplayArrayInTable(Fertiliser_SourceData.Fertiliser_Products_Data2(), FertiliserProducts[[#Headers],[Company]],31)</f>
        <v>7.9</v>
      </c>
      <c r="M149" s="148" cm="1">
        <f t="array" ref="M149">Common_InputFunctions.Utility_DisplayArrayInTable(Fertiliser_SourceData.Fertiliser_Products_Data2(), FertiliserProducts[[#Headers],[Company]],31)</f>
        <v>14.9</v>
      </c>
      <c r="N149" s="148" cm="1">
        <f t="array" ref="N149">Common_InputFunctions.Utility_DisplayArrayInTable(Fertiliser_SourceData.Fertiliser_Products_Data2(), FertiliserProducts[[#Headers],[Company]],31)</f>
        <v>2</v>
      </c>
      <c r="O149" s="148" t="str" cm="1">
        <f t="array" ref="O149">Common_InputFunctions.Utility_DisplayArrayInTable(Fertiliser_SourceData.Fertiliser_Products_Data2(), FertiliserProducts[[#Headers],[Company]],31)</f>
        <v>Potassium - Generic</v>
      </c>
      <c r="P149" s="148" cm="1">
        <f t="array" ref="P149">Common_InputFunctions.Utility_DisplayArrayInTable(Fertiliser_SourceData.Fertiliser_Products_Data2(), FertiliserProducts[[#Headers],[Company]],31)</f>
        <v>0.14899999999999999</v>
      </c>
      <c r="Q149" s="148" t="str" cm="1">
        <f t="array" ref="Q149">Common_InputFunctions.Utility_DisplayArrayInTable(Fertiliser_SourceData.Fertiliser_Products_Data2(), FertiliserProducts[[#Headers],[Company]],31)</f>
        <v>Urea</v>
      </c>
      <c r="R149" s="148" cm="1">
        <f t="array" ref="R149">Common_InputFunctions.Utility_DisplayArrayInTable(Fertiliser_SourceData.Fertiliser_Products_Data2(), FertiliserProducts[[#Headers],[Company]],31)</f>
        <v>0.21304300000000001</v>
      </c>
      <c r="S149" s="148" t="str" cm="1">
        <f t="array" ref="S149">Common_InputFunctions.Utility_DisplayArrayInTable(Fertiliser_SourceData.Fertiliser_Products_Data2(), FertiliserProducts[[#Headers],[Company]],31)</f>
        <v>Phosphorus - Generic</v>
      </c>
      <c r="T149" s="148" cm="1">
        <f t="array" ref="T149">Common_InputFunctions.Utility_DisplayArrayInTable(Fertiliser_SourceData.Fertiliser_Products_Data2(), FertiliserProducts[[#Headers],[Company]],31)</f>
        <v>7.9000000000000001E-2</v>
      </c>
      <c r="U149" s="148" t="str" cm="1">
        <f t="array" ref="U149">Common_InputFunctions.Utility_DisplayArrayInTable(Fertiliser_SourceData.Fertiliser_Products_Data2(), FertiliserProducts[[#Headers],[Company]],31)</f>
        <v>Nitrogen - Nitrate</v>
      </c>
      <c r="V149" s="148" cm="1">
        <f t="array" ref="V149">Common_InputFunctions.Utility_DisplayArrayInTable(Fertiliser_SourceData.Fertiliser_Products_Data2(), FertiliserProducts[[#Headers],[Company]],31)</f>
        <v>4.9000000000000002E-2</v>
      </c>
      <c r="W149" s="148" t="str" cm="1">
        <f t="array" ref="W149">Common_InputFunctions.Utility_DisplayArrayInTable(Fertiliser_SourceData.Fertiliser_Products_Data2(), FertiliserProducts[[#Headers],[Company]],31)</f>
        <v>Nitrogen - Ammoniacal</v>
      </c>
      <c r="X149" s="148" cm="1">
        <f t="array" ref="X149">Common_InputFunctions.Utility_DisplayArrayInTable(Fertiliser_SourceData.Fertiliser_Products_Data2(), FertiliserProducts[[#Headers],[Company]],31)</f>
        <v>3.3000000000000002E-2</v>
      </c>
      <c r="Y149" s="148" t="str" cm="1">
        <f t="array" ref="Y149">Common_InputFunctions.Utility_DisplayArrayInTable(Fertiliser_SourceData.Fertiliser_Products_Data2(), FertiliserProducts[[#Headers],[Company]],31)</f>
        <v>Sulfur - Generic</v>
      </c>
      <c r="Z149" s="148" cm="1">
        <f t="array" ref="Z149">Common_InputFunctions.Utility_DisplayArrayInTable(Fertiliser_SourceData.Fertiliser_Products_Data2(), FertiliserProducts[[#Headers],[Company]],31)</f>
        <v>0.02</v>
      </c>
      <c r="AA149" s="148" t="str" cm="1">
        <f t="array" ref="AA149">Common_InputFunctions.Utility_DisplayArrayInTable(Fertiliser_SourceData.Fertiliser_Products_Data2(), FertiliserProducts[[#Headers],[Company]],31)</f>
        <v>Magnesium</v>
      </c>
      <c r="AB149" s="148" cm="1">
        <f t="array" ref="AB149">Common_InputFunctions.Utility_DisplayArrayInTable(Fertiliser_SourceData.Fertiliser_Products_Data2(), FertiliserProducts[[#Headers],[Company]],31)</f>
        <v>1.7999999999999999E-2</v>
      </c>
      <c r="AC149" s="148" t="str" cm="1">
        <f t="array" ref="AC149">Common_InputFunctions.Utility_DisplayArrayInTable(Fertiliser_SourceData.Fertiliser_Products_Data2(), FertiliserProducts[[#Headers],[Company]],31)</f>
        <v>Iron</v>
      </c>
      <c r="AD149" s="148" cm="1">
        <f t="array" ref="AD149">Common_InputFunctions.Utility_DisplayArrayInTable(Fertiliser_SourceData.Fertiliser_Products_Data2(), FertiliserProducts[[#Headers],[Company]],31)</f>
        <v>6.9999999999999999E-4</v>
      </c>
      <c r="AE149" s="148" t="str" cm="1">
        <f t="array" ref="AE149">Common_InputFunctions.Utility_DisplayArrayInTable(Fertiliser_SourceData.Fertiliser_Products_Data2(), FertiliserProducts[[#Headers],[Company]],31)</f>
        <v>Manganese</v>
      </c>
      <c r="AF149" s="148" cm="1">
        <f t="array" ref="AF149">Common_InputFunctions.Utility_DisplayArrayInTable(Fertiliser_SourceData.Fertiliser_Products_Data2(), FertiliserProducts[[#Headers],[Company]],31)</f>
        <v>4.0000000000000002E-4</v>
      </c>
      <c r="AG149" s="148" t="str" cm="1">
        <f t="array" ref="AG149">Common_InputFunctions.Utility_DisplayArrayInTable(Fertiliser_SourceData.Fertiliser_Products_Data2(), FertiliserProducts[[#Headers],[Company]],31)</f>
        <v>Zinc</v>
      </c>
      <c r="AH149" s="148" cm="1">
        <f t="array" ref="AH149">Common_InputFunctions.Utility_DisplayArrayInTable(Fertiliser_SourceData.Fertiliser_Products_Data2(), FertiliserProducts[[#Headers],[Company]],31)</f>
        <v>2.5000000000000001E-4</v>
      </c>
      <c r="AK149" s="1"/>
      <c r="AL149" s="1"/>
      <c r="AM149" s="1"/>
    </row>
    <row r="150" spans="1:39" ht="20.100000000000001" customHeight="1" x14ac:dyDescent="0.2">
      <c r="D150" s="148" t="str" cm="1">
        <f t="array" ref="D150">Common_InputFunctions.Utility_DisplayArrayInTable(Fertiliser_SourceData.Fertiliser_Products_Data3(), FertiliserProducts[[#Headers],[Company]],61)</f>
        <v>Yara Australia</v>
      </c>
      <c r="E150" s="148" t="str" cm="1">
        <f t="array" ref="E150">Common_InputFunctions.Utility_DisplayArrayInTable(Fertiliser_SourceData.Fertiliser_Products_Data3(), FertiliserProducts[[#Headers],[Company]],61)</f>
        <v>YaraMila 21-7-3(4)</v>
      </c>
      <c r="F150" s="148" t="str" cm="1">
        <f t="array" ref="F150">Common_InputFunctions.Utility_DisplayArrayInTable(Fertiliser_SourceData.Fertiliser_Products_Data3(), FertiliserProducts[[#Headers],[Company]],61)</f>
        <v>kg</v>
      </c>
      <c r="G150" s="148" cm="1">
        <f t="array" ref="G150">Common_InputFunctions.Utility_DisplayArrayInTable(Fertiliser_SourceData.Fertiliser_Products_Data3(), FertiliserProducts[[#Headers],[Company]],61)</f>
        <v>1</v>
      </c>
      <c r="H150" s="148" t="str" cm="1">
        <f t="array" ref="H150">Common_InputFunctions.Utility_DisplayArrayInTable(Fertiliser_SourceData.Fertiliser_Products_Data3(), FertiliserProducts[[#Headers],[Company]],61)</f>
        <v/>
      </c>
      <c r="I150" s="148" t="str" cm="1">
        <f t="array" ref="I150">Common_InputFunctions.Utility_DisplayArrayInTable(Fertiliser_SourceData.Fertiliser_Products_Data3(), FertiliserProducts[[#Headers],[Company]],61)</f>
        <v/>
      </c>
      <c r="J150" s="148" t="str" cm="1">
        <f t="array" ref="J150">Common_InputFunctions.Utility_DisplayArrayInTable(Fertiliser_SourceData.Fertiliser_Products_Data3(), FertiliserProducts[[#Headers],[Company]],61)</f>
        <v/>
      </c>
      <c r="K150" s="148" cm="1">
        <f t="array" ref="K150">Common_InputFunctions.Utility_DisplayArrayInTable(Fertiliser_SourceData.Fertiliser_Products_Data3(), FertiliserProducts[[#Headers],[Company]],61)</f>
        <v>21</v>
      </c>
      <c r="L150" s="148" cm="1">
        <f t="array" ref="L150">Common_InputFunctions.Utility_DisplayArrayInTable(Fertiliser_SourceData.Fertiliser_Products_Data3(), FertiliserProducts[[#Headers],[Company]],61)</f>
        <v>7.4</v>
      </c>
      <c r="M150" s="148" cm="1">
        <f t="array" ref="M150">Common_InputFunctions.Utility_DisplayArrayInTable(Fertiliser_SourceData.Fertiliser_Products_Data3(), FertiliserProducts[[#Headers],[Company]],61)</f>
        <v>2.5</v>
      </c>
      <c r="N150" s="148" cm="1">
        <f t="array" ref="N150">Common_InputFunctions.Utility_DisplayArrayInTable(Fertiliser_SourceData.Fertiliser_Products_Data3(), FertiliserProducts[[#Headers],[Company]],61)</f>
        <v>4</v>
      </c>
      <c r="O150" s="148" t="str" cm="1">
        <f t="array" ref="O150">Common_InputFunctions.Utility_DisplayArrayInTable(Fertiliser_SourceData.Fertiliser_Products_Data3(), FertiliserProducts[[#Headers],[Company]],61)</f>
        <v>Nitrogen - Nitrate</v>
      </c>
      <c r="P150" s="148" cm="1">
        <f t="array" ref="P150">Common_InputFunctions.Utility_DisplayArrayInTable(Fertiliser_SourceData.Fertiliser_Products_Data3(), FertiliserProducts[[#Headers],[Company]],61)</f>
        <v>0.105</v>
      </c>
      <c r="Q150" s="148" t="str" cm="1">
        <f t="array" ref="Q150">Common_InputFunctions.Utility_DisplayArrayInTable(Fertiliser_SourceData.Fertiliser_Products_Data3(), FertiliserProducts[[#Headers],[Company]],61)</f>
        <v>Nitrogen - Ammoniacal</v>
      </c>
      <c r="R150" s="148" cm="1">
        <f t="array" ref="R150">Common_InputFunctions.Utility_DisplayArrayInTable(Fertiliser_SourceData.Fertiliser_Products_Data3(), FertiliserProducts[[#Headers],[Company]],61)</f>
        <v>0.105</v>
      </c>
      <c r="S150" s="148" t="str" cm="1">
        <f t="array" ref="S150">Common_InputFunctions.Utility_DisplayArrayInTable(Fertiliser_SourceData.Fertiliser_Products_Data3(), FertiliserProducts[[#Headers],[Company]],61)</f>
        <v>Phosphorus - Generic</v>
      </c>
      <c r="T150" s="148" cm="1">
        <f t="array" ref="T150">Common_InputFunctions.Utility_DisplayArrayInTable(Fertiliser_SourceData.Fertiliser_Products_Data3(), FertiliserProducts[[#Headers],[Company]],61)</f>
        <v>7.3999999999999996E-2</v>
      </c>
      <c r="U150" s="148" t="str" cm="1">
        <f t="array" ref="U150">Common_InputFunctions.Utility_DisplayArrayInTable(Fertiliser_SourceData.Fertiliser_Products_Data3(), FertiliserProducts[[#Headers],[Company]],61)</f>
        <v>Sulfur - Generic</v>
      </c>
      <c r="V150" s="148" cm="1">
        <f t="array" ref="V150">Common_InputFunctions.Utility_DisplayArrayInTable(Fertiliser_SourceData.Fertiliser_Products_Data3(), FertiliserProducts[[#Headers],[Company]],61)</f>
        <v>0.04</v>
      </c>
      <c r="W150" s="148" t="str" cm="1">
        <f t="array" ref="W150">Common_InputFunctions.Utility_DisplayArrayInTable(Fertiliser_SourceData.Fertiliser_Products_Data3(), FertiliserProducts[[#Headers],[Company]],61)</f>
        <v>Potassium - Generic</v>
      </c>
      <c r="X150" s="148" cm="1">
        <f t="array" ref="X150">Common_InputFunctions.Utility_DisplayArrayInTable(Fertiliser_SourceData.Fertiliser_Products_Data3(), FertiliserProducts[[#Headers],[Company]],61)</f>
        <v>2.5000000000000001E-2</v>
      </c>
      <c r="Y150" s="148" t="str" cm="1">
        <f t="array" ref="Y150">Common_InputFunctions.Utility_DisplayArrayInTable(Fertiliser_SourceData.Fertiliser_Products_Data3(), FertiliserProducts[[#Headers],[Company]],61)</f>
        <v>Magnesium</v>
      </c>
      <c r="Z150" s="148" cm="1">
        <f t="array" ref="Z150">Common_InputFunctions.Utility_DisplayArrayInTable(Fertiliser_SourceData.Fertiliser_Products_Data3(), FertiliserProducts[[#Headers],[Company]],61)</f>
        <v>4.0000000000000001E-3</v>
      </c>
      <c r="AA150" s="148" t="str" cm="1">
        <f t="array" ref="AA150">Common_InputFunctions.Utility_DisplayArrayInTable(Fertiliser_SourceData.Fertiliser_Products_Data3(), FertiliserProducts[[#Headers],[Company]],61)</f>
        <v>Zinc</v>
      </c>
      <c r="AB150" s="148" cm="1">
        <f t="array" ref="AB150">Common_InputFunctions.Utility_DisplayArrayInTable(Fertiliser_SourceData.Fertiliser_Products_Data3(), FertiliserProducts[[#Headers],[Company]],61)</f>
        <v>1.5E-3</v>
      </c>
      <c r="AC150" s="148" t="str" cm="1">
        <f t="array" ref="AC150">Common_InputFunctions.Utility_DisplayArrayInTable(Fertiliser_SourceData.Fertiliser_Products_Data3(), FertiliserProducts[[#Headers],[Company]],61)</f>
        <v/>
      </c>
      <c r="AD150" s="148" t="str" cm="1">
        <f t="array" ref="AD150">Common_InputFunctions.Utility_DisplayArrayInTable(Fertiliser_SourceData.Fertiliser_Products_Data3(), FertiliserProducts[[#Headers],[Company]],61)</f>
        <v/>
      </c>
      <c r="AE150" s="148" t="str" cm="1">
        <f t="array" ref="AE150">Common_InputFunctions.Utility_DisplayArrayInTable(Fertiliser_SourceData.Fertiliser_Products_Data3(), FertiliserProducts[[#Headers],[Company]],61)</f>
        <v/>
      </c>
      <c r="AF150" s="148" t="str" cm="1">
        <f t="array" ref="AF150">Common_InputFunctions.Utility_DisplayArrayInTable(Fertiliser_SourceData.Fertiliser_Products_Data3(), FertiliserProducts[[#Headers],[Company]],61)</f>
        <v/>
      </c>
      <c r="AG150" s="148" t="str" cm="1">
        <f t="array" ref="AG150">Common_InputFunctions.Utility_DisplayArrayInTable(Fertiliser_SourceData.Fertiliser_Products_Data3(), FertiliserProducts[[#Headers],[Company]],61)</f>
        <v/>
      </c>
      <c r="AH150" s="148" t="str" cm="1">
        <f t="array" ref="AH150">Common_InputFunctions.Utility_DisplayArrayInTable(Fertiliser_SourceData.Fertiliser_Products_Data3(), FertiliserProducts[[#Headers],[Company]],61)</f>
        <v/>
      </c>
      <c r="AK150" s="1"/>
      <c r="AL150" s="1"/>
      <c r="AM150" s="1"/>
    </row>
    <row r="151" spans="1:39" ht="20.100000000000001" customHeight="1" x14ac:dyDescent="0.2">
      <c r="D151" s="148" t="str" cm="1">
        <f t="array" ref="D151">Common_InputFunctions.Utility_DisplayArrayInTable(Fertiliser_SourceData.Fertiliser_Products_Data3(), FertiliserProducts[[#Headers],[Company]],61)</f>
        <v>Yara Australia</v>
      </c>
      <c r="E151" s="148" t="str" cm="1">
        <f t="array" ref="E151">Common_InputFunctions.Utility_DisplayArrayInTable(Fertiliser_SourceData.Fertiliser_Products_Data3(), FertiliserProducts[[#Headers],[Company]],61)</f>
        <v>YaraTera KRISTALON SCARLET</v>
      </c>
      <c r="F151" s="148" t="str" cm="1">
        <f t="array" ref="F151">Common_InputFunctions.Utility_DisplayArrayInTable(Fertiliser_SourceData.Fertiliser_Products_Data3(), FertiliserProducts[[#Headers],[Company]],61)</f>
        <v>kg</v>
      </c>
      <c r="G151" s="148" cm="1">
        <f t="array" ref="G151">Common_InputFunctions.Utility_DisplayArrayInTable(Fertiliser_SourceData.Fertiliser_Products_Data3(), FertiliserProducts[[#Headers],[Company]],61)</f>
        <v>1</v>
      </c>
      <c r="H151" s="148" t="str" cm="1">
        <f t="array" ref="H151">Common_InputFunctions.Utility_DisplayArrayInTable(Fertiliser_SourceData.Fertiliser_Products_Data3(), FertiliserProducts[[#Headers],[Company]],61)</f>
        <v/>
      </c>
      <c r="I151" s="148" t="str" cm="1">
        <f t="array" ref="I151">Common_InputFunctions.Utility_DisplayArrayInTable(Fertiliser_SourceData.Fertiliser_Products_Data3(), FertiliserProducts[[#Headers],[Company]],61)</f>
        <v/>
      </c>
      <c r="J151" s="148" t="str" cm="1">
        <f t="array" ref="J151">Common_InputFunctions.Utility_DisplayArrayInTable(Fertiliser_SourceData.Fertiliser_Products_Data3(), FertiliserProducts[[#Headers],[Company]],61)</f>
        <v/>
      </c>
      <c r="K151" s="148" cm="1">
        <f t="array" ref="K151">Common_InputFunctions.Utility_DisplayArrayInTable(Fertiliser_SourceData.Fertiliser_Products_Data3(), FertiliserProducts[[#Headers],[Company]],61)</f>
        <v>7.5</v>
      </c>
      <c r="L151" s="148" t="str" cm="1">
        <f t="array" ref="L151">Common_InputFunctions.Utility_DisplayArrayInTable(Fertiliser_SourceData.Fertiliser_Products_Data3(), FertiliserProducts[[#Headers],[Company]],61)</f>
        <v/>
      </c>
      <c r="M151" s="148" cm="1">
        <f t="array" ref="M151">Common_InputFunctions.Utility_DisplayArrayInTable(Fertiliser_SourceData.Fertiliser_Products_Data3(), FertiliserProducts[[#Headers],[Company]],61)</f>
        <v>29.9</v>
      </c>
      <c r="N151" s="148" cm="1">
        <f t="array" ref="N151">Common_InputFunctions.Utility_DisplayArrayInTable(Fertiliser_SourceData.Fertiliser_Products_Data3(), FertiliserProducts[[#Headers],[Company]],61)</f>
        <v>4</v>
      </c>
      <c r="O151" s="148" t="str" cm="1">
        <f t="array" ref="O151">Common_InputFunctions.Utility_DisplayArrayInTable(Fertiliser_SourceData.Fertiliser_Products_Data3(), FertiliserProducts[[#Headers],[Company]],61)</f>
        <v>Potassium - Generic</v>
      </c>
      <c r="P151" s="148" cm="1">
        <f t="array" ref="P151">Common_InputFunctions.Utility_DisplayArrayInTable(Fertiliser_SourceData.Fertiliser_Products_Data3(), FertiliserProducts[[#Headers],[Company]],61)</f>
        <v>0.29899999999999999</v>
      </c>
      <c r="Q151" s="148" t="str" cm="1">
        <f t="array" ref="Q151">Common_InputFunctions.Utility_DisplayArrayInTable(Fertiliser_SourceData.Fertiliser_Products_Data3(), FertiliserProducts[[#Headers],[Company]],61)</f>
        <v>Nitrogen - Nitrate</v>
      </c>
      <c r="R151" s="148" cm="1">
        <f t="array" ref="R151">Common_InputFunctions.Utility_DisplayArrayInTable(Fertiliser_SourceData.Fertiliser_Products_Data3(), FertiliserProducts[[#Headers],[Company]],61)</f>
        <v>5.1999999999999998E-2</v>
      </c>
      <c r="S151" s="148" t="str" cm="1">
        <f t="array" ref="S151">Common_InputFunctions.Utility_DisplayArrayInTable(Fertiliser_SourceData.Fertiliser_Products_Data3(), FertiliserProducts[[#Headers],[Company]],61)</f>
        <v>Sulfur - Generic</v>
      </c>
      <c r="T151" s="148" cm="1">
        <f t="array" ref="T151">Common_InputFunctions.Utility_DisplayArrayInTable(Fertiliser_SourceData.Fertiliser_Products_Data3(), FertiliserProducts[[#Headers],[Company]],61)</f>
        <v>0.04</v>
      </c>
      <c r="U151" s="148" t="str" cm="1">
        <f t="array" ref="U151">Common_InputFunctions.Utility_DisplayArrayInTable(Fertiliser_SourceData.Fertiliser_Products_Data3(), FertiliserProducts[[#Headers],[Company]],61)</f>
        <v>Magnesium</v>
      </c>
      <c r="V151" s="148" cm="1">
        <f t="array" ref="V151">Common_InputFunctions.Utility_DisplayArrayInTable(Fertiliser_SourceData.Fertiliser_Products_Data3(), FertiliserProducts[[#Headers],[Company]],61)</f>
        <v>2.7E-2</v>
      </c>
      <c r="W151" s="148" t="str" cm="1">
        <f t="array" ref="W151">Common_InputFunctions.Utility_DisplayArrayInTable(Fertiliser_SourceData.Fertiliser_Products_Data3(), FertiliserProducts[[#Headers],[Company]],61)</f>
        <v>Nitrogen - Ammoniacal</v>
      </c>
      <c r="X151" s="148" cm="1">
        <f t="array" ref="X151">Common_InputFunctions.Utility_DisplayArrayInTable(Fertiliser_SourceData.Fertiliser_Products_Data3(), FertiliserProducts[[#Headers],[Company]],61)</f>
        <v>2.3E-2</v>
      </c>
      <c r="Y151" s="148" t="str" cm="1">
        <f t="array" ref="Y151">Common_InputFunctions.Utility_DisplayArrayInTable(Fertiliser_SourceData.Fertiliser_Products_Data3(), FertiliserProducts[[#Headers],[Company]],61)</f>
        <v/>
      </c>
      <c r="Z151" s="148" t="str" cm="1">
        <f t="array" ref="Z151">Common_InputFunctions.Utility_DisplayArrayInTable(Fertiliser_SourceData.Fertiliser_Products_Data3(), FertiliserProducts[[#Headers],[Company]],61)</f>
        <v/>
      </c>
      <c r="AA151" s="148" t="str" cm="1">
        <f t="array" ref="AA151">Common_InputFunctions.Utility_DisplayArrayInTable(Fertiliser_SourceData.Fertiliser_Products_Data3(), FertiliserProducts[[#Headers],[Company]],61)</f>
        <v/>
      </c>
      <c r="AB151" s="148" t="str" cm="1">
        <f t="array" ref="AB151">Common_InputFunctions.Utility_DisplayArrayInTable(Fertiliser_SourceData.Fertiliser_Products_Data3(), FertiliserProducts[[#Headers],[Company]],61)</f>
        <v/>
      </c>
      <c r="AC151" s="148" t="str" cm="1">
        <f t="array" ref="AC151">Common_InputFunctions.Utility_DisplayArrayInTable(Fertiliser_SourceData.Fertiliser_Products_Data3(), FertiliserProducts[[#Headers],[Company]],61)</f>
        <v/>
      </c>
      <c r="AD151" s="148" t="str" cm="1">
        <f t="array" ref="AD151">Common_InputFunctions.Utility_DisplayArrayInTable(Fertiliser_SourceData.Fertiliser_Products_Data3(), FertiliserProducts[[#Headers],[Company]],61)</f>
        <v/>
      </c>
      <c r="AE151" s="148" t="str" cm="1">
        <f t="array" ref="AE151">Common_InputFunctions.Utility_DisplayArrayInTable(Fertiliser_SourceData.Fertiliser_Products_Data3(), FertiliserProducts[[#Headers],[Company]],61)</f>
        <v/>
      </c>
      <c r="AF151" s="148" t="str" cm="1">
        <f t="array" ref="AF151">Common_InputFunctions.Utility_DisplayArrayInTable(Fertiliser_SourceData.Fertiliser_Products_Data3(), FertiliserProducts[[#Headers],[Company]],61)</f>
        <v/>
      </c>
      <c r="AG151" s="148" t="str" cm="1">
        <f t="array" ref="AG151">Common_InputFunctions.Utility_DisplayArrayInTable(Fertiliser_SourceData.Fertiliser_Products_Data3(), FertiliserProducts[[#Headers],[Company]],61)</f>
        <v/>
      </c>
      <c r="AH151" s="148" t="str" cm="1">
        <f t="array" ref="AH151">Common_InputFunctions.Utility_DisplayArrayInTable(Fertiliser_SourceData.Fertiliser_Products_Data3(), FertiliserProducts[[#Headers],[Company]],61)</f>
        <v/>
      </c>
      <c r="AK151" s="1"/>
      <c r="AL151" s="1"/>
      <c r="AM151" s="1"/>
    </row>
    <row r="152" spans="1:39" ht="20.100000000000001" customHeight="1" x14ac:dyDescent="0.2">
      <c r="D152" s="148" t="str" cm="1">
        <f t="array" ref="D152">Common_InputFunctions.Utility_DisplayArrayInTable(Fertiliser_SourceData.Fertiliser_Products_Data3(), FertiliserProducts[[#Headers],[Company]],61)</f>
        <v>Campbells fertilisers Australia</v>
      </c>
      <c r="E152" s="148" t="str" cm="1">
        <f t="array" ref="E152">Common_InputFunctions.Utility_DisplayArrayInTable(Fertiliser_SourceData.Fertiliser_Products_Data3(), FertiliserProducts[[#Headers],[Company]],61)</f>
        <v>Solu-MAP</v>
      </c>
      <c r="F152" s="148" t="str" cm="1">
        <f t="array" ref="F152">Common_InputFunctions.Utility_DisplayArrayInTable(Fertiliser_SourceData.Fertiliser_Products_Data3(), FertiliserProducts[[#Headers],[Company]],61)</f>
        <v>kg</v>
      </c>
      <c r="G152" s="148" cm="1">
        <f t="array" ref="G152">Common_InputFunctions.Utility_DisplayArrayInTable(Fertiliser_SourceData.Fertiliser_Products_Data3(), FertiliserProducts[[#Headers],[Company]],61)</f>
        <v>1</v>
      </c>
      <c r="H152" s="148" t="str" cm="1">
        <f t="array" ref="H152">Common_InputFunctions.Utility_DisplayArrayInTable(Fertiliser_SourceData.Fertiliser_Products_Data3(), FertiliserProducts[[#Headers],[Company]],61)</f>
        <v/>
      </c>
      <c r="I152" s="148" t="str" cm="1">
        <f t="array" ref="I152">Common_InputFunctions.Utility_DisplayArrayInTable(Fertiliser_SourceData.Fertiliser_Products_Data3(), FertiliserProducts[[#Headers],[Company]],61)</f>
        <v/>
      </c>
      <c r="J152" s="148" t="str" cm="1">
        <f t="array" ref="J152">Common_InputFunctions.Utility_DisplayArrayInTable(Fertiliser_SourceData.Fertiliser_Products_Data3(), FertiliserProducts[[#Headers],[Company]],61)</f>
        <v/>
      </c>
      <c r="K152" s="148" cm="1">
        <f t="array" ref="K152">Common_InputFunctions.Utility_DisplayArrayInTable(Fertiliser_SourceData.Fertiliser_Products_Data3(), FertiliserProducts[[#Headers],[Company]],61)</f>
        <v>10</v>
      </c>
      <c r="L152" s="148" cm="1">
        <f t="array" ref="L152">Common_InputFunctions.Utility_DisplayArrayInTable(Fertiliser_SourceData.Fertiliser_Products_Data3(), FertiliserProducts[[#Headers],[Company]],61)</f>
        <v>21.9</v>
      </c>
      <c r="M152" s="148" t="str" cm="1">
        <f t="array" ref="M152">Common_InputFunctions.Utility_DisplayArrayInTable(Fertiliser_SourceData.Fertiliser_Products_Data3(), FertiliserProducts[[#Headers],[Company]],61)</f>
        <v/>
      </c>
      <c r="N152" s="148" t="str" cm="1">
        <f t="array" ref="N152">Common_InputFunctions.Utility_DisplayArrayInTable(Fertiliser_SourceData.Fertiliser_Products_Data3(), FertiliserProducts[[#Headers],[Company]],61)</f>
        <v/>
      </c>
      <c r="O152" s="148" t="str" cm="1">
        <f t="array" ref="O152">Common_InputFunctions.Utility_DisplayArrayInTable(Fertiliser_SourceData.Fertiliser_Products_Data3(), FertiliserProducts[[#Headers],[Company]],61)</f>
        <v>Monoammonium phosphate (MAP)</v>
      </c>
      <c r="P152" s="148" cm="1">
        <f t="array" ref="P152">Common_InputFunctions.Utility_DisplayArrayInTable(Fertiliser_SourceData.Fertiliser_Products_Data3(), FertiliserProducts[[#Headers],[Company]],61)</f>
        <v>1</v>
      </c>
      <c r="Q152" s="148" t="str" cm="1">
        <f t="array" ref="Q152">Common_InputFunctions.Utility_DisplayArrayInTable(Fertiliser_SourceData.Fertiliser_Products_Data3(), FertiliserProducts[[#Headers],[Company]],61)</f>
        <v/>
      </c>
      <c r="R152" s="148" t="str" cm="1">
        <f t="array" ref="R152">Common_InputFunctions.Utility_DisplayArrayInTable(Fertiliser_SourceData.Fertiliser_Products_Data3(), FertiliserProducts[[#Headers],[Company]],61)</f>
        <v/>
      </c>
      <c r="S152" s="148" t="str" cm="1">
        <f t="array" ref="S152">Common_InputFunctions.Utility_DisplayArrayInTable(Fertiliser_SourceData.Fertiliser_Products_Data3(), FertiliserProducts[[#Headers],[Company]],61)</f>
        <v/>
      </c>
      <c r="T152" s="148" t="str" cm="1">
        <f t="array" ref="T152">Common_InputFunctions.Utility_DisplayArrayInTable(Fertiliser_SourceData.Fertiliser_Products_Data3(), FertiliserProducts[[#Headers],[Company]],61)</f>
        <v/>
      </c>
      <c r="U152" s="148" t="str" cm="1">
        <f t="array" ref="U152">Common_InputFunctions.Utility_DisplayArrayInTable(Fertiliser_SourceData.Fertiliser_Products_Data3(), FertiliserProducts[[#Headers],[Company]],61)</f>
        <v/>
      </c>
      <c r="V152" s="148" t="str" cm="1">
        <f t="array" ref="V152">Common_InputFunctions.Utility_DisplayArrayInTable(Fertiliser_SourceData.Fertiliser_Products_Data3(), FertiliserProducts[[#Headers],[Company]],61)</f>
        <v/>
      </c>
      <c r="W152" s="148" t="str" cm="1">
        <f t="array" ref="W152">Common_InputFunctions.Utility_DisplayArrayInTable(Fertiliser_SourceData.Fertiliser_Products_Data3(), FertiliserProducts[[#Headers],[Company]],61)</f>
        <v/>
      </c>
      <c r="X152" s="148" t="str" cm="1">
        <f t="array" ref="X152">Common_InputFunctions.Utility_DisplayArrayInTable(Fertiliser_SourceData.Fertiliser_Products_Data3(), FertiliserProducts[[#Headers],[Company]],61)</f>
        <v/>
      </c>
      <c r="Y152" s="148" t="str" cm="1">
        <f t="array" ref="Y152">Common_InputFunctions.Utility_DisplayArrayInTable(Fertiliser_SourceData.Fertiliser_Products_Data3(), FertiliserProducts[[#Headers],[Company]],61)</f>
        <v/>
      </c>
      <c r="Z152" s="148" t="str" cm="1">
        <f t="array" ref="Z152">Common_InputFunctions.Utility_DisplayArrayInTable(Fertiliser_SourceData.Fertiliser_Products_Data3(), FertiliserProducts[[#Headers],[Company]],61)</f>
        <v/>
      </c>
      <c r="AA152" s="148" t="str" cm="1">
        <f t="array" ref="AA152">Common_InputFunctions.Utility_DisplayArrayInTable(Fertiliser_SourceData.Fertiliser_Products_Data3(), FertiliserProducts[[#Headers],[Company]],61)</f>
        <v/>
      </c>
      <c r="AB152" s="148" t="str" cm="1">
        <f t="array" ref="AB152">Common_InputFunctions.Utility_DisplayArrayInTable(Fertiliser_SourceData.Fertiliser_Products_Data3(), FertiliserProducts[[#Headers],[Company]],61)</f>
        <v/>
      </c>
      <c r="AC152" s="148" t="str" cm="1">
        <f t="array" ref="AC152">Common_InputFunctions.Utility_DisplayArrayInTable(Fertiliser_SourceData.Fertiliser_Products_Data3(), FertiliserProducts[[#Headers],[Company]],61)</f>
        <v/>
      </c>
      <c r="AD152" s="148" t="str" cm="1">
        <f t="array" ref="AD152">Common_InputFunctions.Utility_DisplayArrayInTable(Fertiliser_SourceData.Fertiliser_Products_Data3(), FertiliserProducts[[#Headers],[Company]],61)</f>
        <v/>
      </c>
      <c r="AE152" s="148" t="str" cm="1">
        <f t="array" ref="AE152">Common_InputFunctions.Utility_DisplayArrayInTable(Fertiliser_SourceData.Fertiliser_Products_Data3(), FertiliserProducts[[#Headers],[Company]],61)</f>
        <v/>
      </c>
      <c r="AF152" s="148" t="str" cm="1">
        <f t="array" ref="AF152">Common_InputFunctions.Utility_DisplayArrayInTable(Fertiliser_SourceData.Fertiliser_Products_Data3(), FertiliserProducts[[#Headers],[Company]],61)</f>
        <v/>
      </c>
      <c r="AG152" s="148" t="str" cm="1">
        <f t="array" ref="AG152">Common_InputFunctions.Utility_DisplayArrayInTable(Fertiliser_SourceData.Fertiliser_Products_Data3(), FertiliserProducts[[#Headers],[Company]],61)</f>
        <v/>
      </c>
      <c r="AH152" s="148" t="str" cm="1">
        <f t="array" ref="AH152">Common_InputFunctions.Utility_DisplayArrayInTable(Fertiliser_SourceData.Fertiliser_Products_Data3(), FertiliserProducts[[#Headers],[Company]],61)</f>
        <v/>
      </c>
      <c r="AK152" s="1"/>
      <c r="AL152" s="1"/>
      <c r="AM152" s="1"/>
    </row>
    <row r="153" spans="1:39" ht="20.100000000000001" customHeight="1" x14ac:dyDescent="0.2">
      <c r="D153" s="148" t="str" cm="1">
        <f t="array" ref="D153">Common_InputFunctions.Utility_DisplayArrayInTable(Fertiliser_SourceData.Fertiliser_Products_Data3(), FertiliserProducts[[#Headers],[Company]],61)</f>
        <v>Campbells fertilisers Australia</v>
      </c>
      <c r="E153" s="148" t="str" cm="1">
        <f t="array" ref="E153">Common_InputFunctions.Utility_DisplayArrayInTable(Fertiliser_SourceData.Fertiliser_Products_Data3(), FertiliserProducts[[#Headers],[Company]],61)</f>
        <v>Solu-Sam</v>
      </c>
      <c r="F153" s="148" t="str" cm="1">
        <f t="array" ref="F153">Common_InputFunctions.Utility_DisplayArrayInTable(Fertiliser_SourceData.Fertiliser_Products_Data3(), FertiliserProducts[[#Headers],[Company]],61)</f>
        <v>kg</v>
      </c>
      <c r="G153" s="148" cm="1">
        <f t="array" ref="G153">Common_InputFunctions.Utility_DisplayArrayInTable(Fertiliser_SourceData.Fertiliser_Products_Data3(), FertiliserProducts[[#Headers],[Company]],61)</f>
        <v>1</v>
      </c>
      <c r="H153" s="148" t="str" cm="1">
        <f t="array" ref="H153">Common_InputFunctions.Utility_DisplayArrayInTable(Fertiliser_SourceData.Fertiliser_Products_Data3(), FertiliserProducts[[#Headers],[Company]],61)</f>
        <v/>
      </c>
      <c r="I153" s="148" t="str" cm="1">
        <f t="array" ref="I153">Common_InputFunctions.Utility_DisplayArrayInTable(Fertiliser_SourceData.Fertiliser_Products_Data3(), FertiliserProducts[[#Headers],[Company]],61)</f>
        <v/>
      </c>
      <c r="J153" s="148" t="str" cm="1">
        <f t="array" ref="J153">Common_InputFunctions.Utility_DisplayArrayInTable(Fertiliser_SourceData.Fertiliser_Products_Data3(), FertiliserProducts[[#Headers],[Company]],61)</f>
        <v/>
      </c>
      <c r="K153" s="148" cm="1">
        <f t="array" ref="K153">Common_InputFunctions.Utility_DisplayArrayInTable(Fertiliser_SourceData.Fertiliser_Products_Data3(), FertiliserProducts[[#Headers],[Company]],61)</f>
        <v>21</v>
      </c>
      <c r="L153" s="148" t="str" cm="1">
        <f t="array" ref="L153">Common_InputFunctions.Utility_DisplayArrayInTable(Fertiliser_SourceData.Fertiliser_Products_Data3(), FertiliserProducts[[#Headers],[Company]],61)</f>
        <v/>
      </c>
      <c r="M153" s="148" t="str" cm="1">
        <f t="array" ref="M153">Common_InputFunctions.Utility_DisplayArrayInTable(Fertiliser_SourceData.Fertiliser_Products_Data3(), FertiliserProducts[[#Headers],[Company]],61)</f>
        <v/>
      </c>
      <c r="N153" s="148" cm="1">
        <f t="array" ref="N153">Common_InputFunctions.Utility_DisplayArrayInTable(Fertiliser_SourceData.Fertiliser_Products_Data3(), FertiliserProducts[[#Headers],[Company]],61)</f>
        <v>24</v>
      </c>
      <c r="O153" s="148" t="str" cm="1">
        <f t="array" ref="O153">Common_InputFunctions.Utility_DisplayArrayInTable(Fertiliser_SourceData.Fertiliser_Products_Data3(), FertiliserProducts[[#Headers],[Company]],61)</f>
        <v>Sulphate of ammonia (SOA)</v>
      </c>
      <c r="P153" s="148" cm="1">
        <f t="array" ref="P153">Common_InputFunctions.Utility_DisplayArrayInTable(Fertiliser_SourceData.Fertiliser_Products_Data3(), FertiliserProducts[[#Headers],[Company]],61)</f>
        <v>1</v>
      </c>
      <c r="Q153" s="148" t="str" cm="1">
        <f t="array" ref="Q153">Common_InputFunctions.Utility_DisplayArrayInTable(Fertiliser_SourceData.Fertiliser_Products_Data3(), FertiliserProducts[[#Headers],[Company]],61)</f>
        <v/>
      </c>
      <c r="R153" s="148" t="str" cm="1">
        <f t="array" ref="R153">Common_InputFunctions.Utility_DisplayArrayInTable(Fertiliser_SourceData.Fertiliser_Products_Data3(), FertiliserProducts[[#Headers],[Company]],61)</f>
        <v/>
      </c>
      <c r="S153" s="148" t="str" cm="1">
        <f t="array" ref="S153">Common_InputFunctions.Utility_DisplayArrayInTable(Fertiliser_SourceData.Fertiliser_Products_Data3(), FertiliserProducts[[#Headers],[Company]],61)</f>
        <v/>
      </c>
      <c r="T153" s="148" t="str" cm="1">
        <f t="array" ref="T153">Common_InputFunctions.Utility_DisplayArrayInTable(Fertiliser_SourceData.Fertiliser_Products_Data3(), FertiliserProducts[[#Headers],[Company]],61)</f>
        <v/>
      </c>
      <c r="U153" s="148" t="str" cm="1">
        <f t="array" ref="U153">Common_InputFunctions.Utility_DisplayArrayInTable(Fertiliser_SourceData.Fertiliser_Products_Data3(), FertiliserProducts[[#Headers],[Company]],61)</f>
        <v/>
      </c>
      <c r="V153" s="148" t="str" cm="1">
        <f t="array" ref="V153">Common_InputFunctions.Utility_DisplayArrayInTable(Fertiliser_SourceData.Fertiliser_Products_Data3(), FertiliserProducts[[#Headers],[Company]],61)</f>
        <v/>
      </c>
      <c r="W153" s="148" t="str" cm="1">
        <f t="array" ref="W153">Common_InputFunctions.Utility_DisplayArrayInTable(Fertiliser_SourceData.Fertiliser_Products_Data3(), FertiliserProducts[[#Headers],[Company]],61)</f>
        <v/>
      </c>
      <c r="X153" s="148" t="str" cm="1">
        <f t="array" ref="X153">Common_InputFunctions.Utility_DisplayArrayInTable(Fertiliser_SourceData.Fertiliser_Products_Data3(), FertiliserProducts[[#Headers],[Company]],61)</f>
        <v/>
      </c>
      <c r="Y153" s="148" t="str" cm="1">
        <f t="array" ref="Y153">Common_InputFunctions.Utility_DisplayArrayInTable(Fertiliser_SourceData.Fertiliser_Products_Data3(), FertiliserProducts[[#Headers],[Company]],61)</f>
        <v/>
      </c>
      <c r="Z153" s="148" t="str" cm="1">
        <f t="array" ref="Z153">Common_InputFunctions.Utility_DisplayArrayInTable(Fertiliser_SourceData.Fertiliser_Products_Data3(), FertiliserProducts[[#Headers],[Company]],61)</f>
        <v/>
      </c>
      <c r="AA153" s="148" t="str" cm="1">
        <f t="array" ref="AA153">Common_InputFunctions.Utility_DisplayArrayInTable(Fertiliser_SourceData.Fertiliser_Products_Data3(), FertiliserProducts[[#Headers],[Company]],61)</f>
        <v/>
      </c>
      <c r="AB153" s="148" t="str" cm="1">
        <f t="array" ref="AB153">Common_InputFunctions.Utility_DisplayArrayInTable(Fertiliser_SourceData.Fertiliser_Products_Data3(), FertiliserProducts[[#Headers],[Company]],61)</f>
        <v/>
      </c>
      <c r="AC153" s="148" t="str" cm="1">
        <f t="array" ref="AC153">Common_InputFunctions.Utility_DisplayArrayInTable(Fertiliser_SourceData.Fertiliser_Products_Data3(), FertiliserProducts[[#Headers],[Company]],61)</f>
        <v/>
      </c>
      <c r="AD153" s="148" t="str" cm="1">
        <f t="array" ref="AD153">Common_InputFunctions.Utility_DisplayArrayInTable(Fertiliser_SourceData.Fertiliser_Products_Data3(), FertiliserProducts[[#Headers],[Company]],61)</f>
        <v/>
      </c>
      <c r="AE153" s="148" t="str" cm="1">
        <f t="array" ref="AE153">Common_InputFunctions.Utility_DisplayArrayInTable(Fertiliser_SourceData.Fertiliser_Products_Data3(), FertiliserProducts[[#Headers],[Company]],61)</f>
        <v/>
      </c>
      <c r="AF153" s="148" t="str" cm="1">
        <f t="array" ref="AF153">Common_InputFunctions.Utility_DisplayArrayInTable(Fertiliser_SourceData.Fertiliser_Products_Data3(), FertiliserProducts[[#Headers],[Company]],61)</f>
        <v/>
      </c>
      <c r="AG153" s="148" t="str" cm="1">
        <f t="array" ref="AG153">Common_InputFunctions.Utility_DisplayArrayInTable(Fertiliser_SourceData.Fertiliser_Products_Data3(), FertiliserProducts[[#Headers],[Company]],61)</f>
        <v/>
      </c>
      <c r="AH153" s="148" t="str" cm="1">
        <f t="array" ref="AH153">Common_InputFunctions.Utility_DisplayArrayInTable(Fertiliser_SourceData.Fertiliser_Products_Data3(), FertiliserProducts[[#Headers],[Company]],61)</f>
        <v/>
      </c>
      <c r="AK153" s="1"/>
      <c r="AL153" s="1"/>
      <c r="AM153" s="1"/>
    </row>
    <row r="154" spans="1:39" ht="20.100000000000001" customHeight="1" x14ac:dyDescent="0.2">
      <c r="D154" s="148" t="str" cm="1">
        <f t="array" ref="D154">Common_InputFunctions.Utility_DisplayArrayInTable(Fertiliser_SourceData.Fertiliser_Products_Data3(), FertiliserProducts[[#Headers],[Company]],61)</f>
        <v>Campbells fertilisers Australia</v>
      </c>
      <c r="E154" s="148" t="str" cm="1">
        <f t="array" ref="E154">Common_InputFunctions.Utility_DisplayArrayInTable(Fertiliser_SourceData.Fertiliser_Products_Data3(), FertiliserProducts[[#Headers],[Company]],61)</f>
        <v>Rustica Plus</v>
      </c>
      <c r="F154" s="148" t="str" cm="1">
        <f t="array" ref="F154">Common_InputFunctions.Utility_DisplayArrayInTable(Fertiliser_SourceData.Fertiliser_Products_Data3(), FertiliserProducts[[#Headers],[Company]],61)</f>
        <v>kg</v>
      </c>
      <c r="G154" s="148" cm="1">
        <f t="array" ref="G154">Common_InputFunctions.Utility_DisplayArrayInTable(Fertiliser_SourceData.Fertiliser_Products_Data3(), FertiliserProducts[[#Headers],[Company]],61)</f>
        <v>1</v>
      </c>
      <c r="H154" s="148" t="str" cm="1">
        <f t="array" ref="H154">Common_InputFunctions.Utility_DisplayArrayInTable(Fertiliser_SourceData.Fertiliser_Products_Data3(), FertiliserProducts[[#Headers],[Company]],61)</f>
        <v/>
      </c>
      <c r="I154" s="148" t="str" cm="1">
        <f t="array" ref="I154">Common_InputFunctions.Utility_DisplayArrayInTable(Fertiliser_SourceData.Fertiliser_Products_Data3(), FertiliserProducts[[#Headers],[Company]],61)</f>
        <v/>
      </c>
      <c r="J154" s="148" t="str" cm="1">
        <f t="array" ref="J154">Common_InputFunctions.Utility_DisplayArrayInTable(Fertiliser_SourceData.Fertiliser_Products_Data3(), FertiliserProducts[[#Headers],[Company]],61)</f>
        <v/>
      </c>
      <c r="K154" s="148" cm="1">
        <f t="array" ref="K154">Common_InputFunctions.Utility_DisplayArrayInTable(Fertiliser_SourceData.Fertiliser_Products_Data3(), FertiliserProducts[[#Headers],[Company]],61)</f>
        <v>12</v>
      </c>
      <c r="L154" s="148" cm="1">
        <f t="array" ref="L154">Common_InputFunctions.Utility_DisplayArrayInTable(Fertiliser_SourceData.Fertiliser_Products_Data3(), FertiliserProducts[[#Headers],[Company]],61)</f>
        <v>5</v>
      </c>
      <c r="M154" s="148" cm="1">
        <f t="array" ref="M154">Common_InputFunctions.Utility_DisplayArrayInTable(Fertiliser_SourceData.Fertiliser_Products_Data3(), FertiliserProducts[[#Headers],[Company]],61)</f>
        <v>14</v>
      </c>
      <c r="N154" s="148" cm="1">
        <f t="array" ref="N154">Common_InputFunctions.Utility_DisplayArrayInTable(Fertiliser_SourceData.Fertiliser_Products_Data3(), FertiliserProducts[[#Headers],[Company]],61)</f>
        <v>9.6999999999999993</v>
      </c>
      <c r="O154" s="148" t="str" cm="1">
        <f t="array" ref="O154">Common_InputFunctions.Utility_DisplayArrayInTable(Fertiliser_SourceData.Fertiliser_Products_Data3(), FertiliserProducts[[#Headers],[Company]],61)</f>
        <v>Potassium - Generic</v>
      </c>
      <c r="P154" s="148" cm="1">
        <f t="array" ref="P154">Common_InputFunctions.Utility_DisplayArrayInTable(Fertiliser_SourceData.Fertiliser_Products_Data3(), FertiliserProducts[[#Headers],[Company]],61)</f>
        <v>0.14000000000000001</v>
      </c>
      <c r="Q154" s="148" t="str" cm="1">
        <f t="array" ref="Q154">Common_InputFunctions.Utility_DisplayArrayInTable(Fertiliser_SourceData.Fertiliser_Products_Data3(), FertiliserProducts[[#Headers],[Company]],61)</f>
        <v>Sulfur - Generic</v>
      </c>
      <c r="R154" s="148" cm="1">
        <f t="array" ref="R154">Common_InputFunctions.Utility_DisplayArrayInTable(Fertiliser_SourceData.Fertiliser_Products_Data3(), FertiliserProducts[[#Headers],[Company]],61)</f>
        <v>9.7000000000000003E-2</v>
      </c>
      <c r="S154" s="148" t="str" cm="1">
        <f t="array" ref="S154">Common_InputFunctions.Utility_DisplayArrayInTable(Fertiliser_SourceData.Fertiliser_Products_Data3(), FertiliserProducts[[#Headers],[Company]],61)</f>
        <v>Nitrogen - Nitrate</v>
      </c>
      <c r="T154" s="148" cm="1">
        <f t="array" ref="T154">Common_InputFunctions.Utility_DisplayArrayInTable(Fertiliser_SourceData.Fertiliser_Products_Data3(), FertiliserProducts[[#Headers],[Company]],61)</f>
        <v>0.06</v>
      </c>
      <c r="U154" s="148" t="str" cm="1">
        <f t="array" ref="U154">Common_InputFunctions.Utility_DisplayArrayInTable(Fertiliser_SourceData.Fertiliser_Products_Data3(), FertiliserProducts[[#Headers],[Company]],61)</f>
        <v>Nitrogen - Ammoniacal</v>
      </c>
      <c r="V154" s="148" cm="1">
        <f t="array" ref="V154">Common_InputFunctions.Utility_DisplayArrayInTable(Fertiliser_SourceData.Fertiliser_Products_Data3(), FertiliserProducts[[#Headers],[Company]],61)</f>
        <v>0.06</v>
      </c>
      <c r="W154" s="148" t="str" cm="1">
        <f t="array" ref="W154">Common_InputFunctions.Utility_DisplayArrayInTable(Fertiliser_SourceData.Fertiliser_Products_Data3(), FertiliserProducts[[#Headers],[Company]],61)</f>
        <v>Phosphorus - Generic</v>
      </c>
      <c r="X154" s="148" cm="1">
        <f t="array" ref="X154">Common_InputFunctions.Utility_DisplayArrayInTable(Fertiliser_SourceData.Fertiliser_Products_Data3(), FertiliserProducts[[#Headers],[Company]],61)</f>
        <v>0.05</v>
      </c>
      <c r="Y154" s="148" t="str" cm="1">
        <f t="array" ref="Y154">Common_InputFunctions.Utility_DisplayArrayInTable(Fertiliser_SourceData.Fertiliser_Products_Data3(), FertiliserProducts[[#Headers],[Company]],61)</f>
        <v>Calcium</v>
      </c>
      <c r="Z154" s="148" cm="1">
        <f t="array" ref="Z154">Common_InputFunctions.Utility_DisplayArrayInTable(Fertiliser_SourceData.Fertiliser_Products_Data3(), FertiliserProducts[[#Headers],[Company]],61)</f>
        <v>3.1E-2</v>
      </c>
      <c r="AA154" s="148" t="str" cm="1">
        <f t="array" ref="AA154">Common_InputFunctions.Utility_DisplayArrayInTable(Fertiliser_SourceData.Fertiliser_Products_Data3(), FertiliserProducts[[#Headers],[Company]],61)</f>
        <v>Magnesium</v>
      </c>
      <c r="AB154" s="148" cm="1">
        <f t="array" ref="AB154">Common_InputFunctions.Utility_DisplayArrayInTable(Fertiliser_SourceData.Fertiliser_Products_Data3(), FertiliserProducts[[#Headers],[Company]],61)</f>
        <v>1.2E-2</v>
      </c>
      <c r="AC154" s="148" t="str" cm="1">
        <f t="array" ref="AC154">Common_InputFunctions.Utility_DisplayArrayInTable(Fertiliser_SourceData.Fertiliser_Products_Data3(), FertiliserProducts[[#Headers],[Company]],61)</f>
        <v>Zinc</v>
      </c>
      <c r="AD154" s="148" cm="1">
        <f t="array" ref="AD154">Common_InputFunctions.Utility_DisplayArrayInTable(Fertiliser_SourceData.Fertiliser_Products_Data3(), FertiliserProducts[[#Headers],[Company]],61)</f>
        <v>1E-3</v>
      </c>
      <c r="AE154" s="148" t="str" cm="1">
        <f t="array" ref="AE154">Common_InputFunctions.Utility_DisplayArrayInTable(Fertiliser_SourceData.Fertiliser_Products_Data3(), FertiliserProducts[[#Headers],[Company]],61)</f>
        <v>Boron</v>
      </c>
      <c r="AF154" s="148" cm="1">
        <f t="array" ref="AF154">Common_InputFunctions.Utility_DisplayArrayInTable(Fertiliser_SourceData.Fertiliser_Products_Data3(), FertiliserProducts[[#Headers],[Company]],61)</f>
        <v>2.0000000000000001E-4</v>
      </c>
      <c r="AG154" s="148" t="str" cm="1">
        <f t="array" ref="AG154">Common_InputFunctions.Utility_DisplayArrayInTable(Fertiliser_SourceData.Fertiliser_Products_Data3(), FertiliserProducts[[#Headers],[Company]],61)</f>
        <v/>
      </c>
      <c r="AH154" s="148" t="str" cm="1">
        <f t="array" ref="AH154">Common_InputFunctions.Utility_DisplayArrayInTable(Fertiliser_SourceData.Fertiliser_Products_Data3(), FertiliserProducts[[#Headers],[Company]],61)</f>
        <v/>
      </c>
      <c r="AK154" s="1"/>
    </row>
    <row r="155" spans="1:39" ht="20.100000000000001" customHeight="1" x14ac:dyDescent="0.2">
      <c r="D155" s="148" t="str" cm="1">
        <f t="array" ref="D155">Common_InputFunctions.Utility_DisplayArrayInTable(Fertiliser_SourceData.Fertiliser_Products_Data3(), FertiliserProducts[[#Headers],[Company]],61)</f>
        <v>Campbells fertilisers Australia</v>
      </c>
      <c r="E155" s="148" t="str" cm="1">
        <f t="array" ref="E155">Common_InputFunctions.Utility_DisplayArrayInTable(Fertiliser_SourceData.Fertiliser_Products_Data3(), FertiliserProducts[[#Headers],[Company]],61)</f>
        <v>Platinum Plus</v>
      </c>
      <c r="F155" s="148" t="str" cm="1">
        <f t="array" ref="F155">Common_InputFunctions.Utility_DisplayArrayInTable(Fertiliser_SourceData.Fertiliser_Products_Data3(), FertiliserProducts[[#Headers],[Company]],61)</f>
        <v>kg</v>
      </c>
      <c r="G155" s="148" cm="1">
        <f t="array" ref="G155">Common_InputFunctions.Utility_DisplayArrayInTable(Fertiliser_SourceData.Fertiliser_Products_Data3(), FertiliserProducts[[#Headers],[Company]],61)</f>
        <v>1</v>
      </c>
      <c r="H155" s="148" t="str" cm="1">
        <f t="array" ref="H155">Common_InputFunctions.Utility_DisplayArrayInTable(Fertiliser_SourceData.Fertiliser_Products_Data3(), FertiliserProducts[[#Headers],[Company]],61)</f>
        <v/>
      </c>
      <c r="I155" s="148" t="str" cm="1">
        <f t="array" ref="I155">Common_InputFunctions.Utility_DisplayArrayInTable(Fertiliser_SourceData.Fertiliser_Products_Data3(), FertiliserProducts[[#Headers],[Company]],61)</f>
        <v/>
      </c>
      <c r="J155" s="148" t="str" cm="1">
        <f t="array" ref="J155">Common_InputFunctions.Utility_DisplayArrayInTable(Fertiliser_SourceData.Fertiliser_Products_Data3(), FertiliserProducts[[#Headers],[Company]],61)</f>
        <v/>
      </c>
      <c r="K155" s="148" cm="1">
        <f t="array" ref="K155">Common_InputFunctions.Utility_DisplayArrayInTable(Fertiliser_SourceData.Fertiliser_Products_Data3(), FertiliserProducts[[#Headers],[Company]],61)</f>
        <v>10</v>
      </c>
      <c r="L155" s="148" cm="1">
        <f t="array" ref="L155">Common_InputFunctions.Utility_DisplayArrayInTable(Fertiliser_SourceData.Fertiliser_Products_Data3(), FertiliserProducts[[#Headers],[Company]],61)</f>
        <v>11</v>
      </c>
      <c r="M155" s="148" cm="1">
        <f t="array" ref="M155">Common_InputFunctions.Utility_DisplayArrayInTable(Fertiliser_SourceData.Fertiliser_Products_Data3(), FertiliserProducts[[#Headers],[Company]],61)</f>
        <v>10</v>
      </c>
      <c r="N155" s="148" cm="1">
        <f t="array" ref="N155">Common_InputFunctions.Utility_DisplayArrayInTable(Fertiliser_SourceData.Fertiliser_Products_Data3(), FertiliserProducts[[#Headers],[Company]],61)</f>
        <v>6</v>
      </c>
      <c r="O155" s="148" t="str" cm="1">
        <f t="array" ref="O155">Common_InputFunctions.Utility_DisplayArrayInTable(Fertiliser_SourceData.Fertiliser_Products_Data3(), FertiliserProducts[[#Headers],[Company]],61)</f>
        <v>Phosphorus - Generic</v>
      </c>
      <c r="P155" s="148" cm="1">
        <f t="array" ref="P155">Common_InputFunctions.Utility_DisplayArrayInTable(Fertiliser_SourceData.Fertiliser_Products_Data3(), FertiliserProducts[[#Headers],[Company]],61)</f>
        <v>0.11</v>
      </c>
      <c r="Q155" s="148" t="str" cm="1">
        <f t="array" ref="Q155">Common_InputFunctions.Utility_DisplayArrayInTable(Fertiliser_SourceData.Fertiliser_Products_Data3(), FertiliserProducts[[#Headers],[Company]],61)</f>
        <v>Potassium - Generic</v>
      </c>
      <c r="R155" s="148" cm="1">
        <f t="array" ref="R155">Common_InputFunctions.Utility_DisplayArrayInTable(Fertiliser_SourceData.Fertiliser_Products_Data3(), FertiliserProducts[[#Headers],[Company]],61)</f>
        <v>0.1</v>
      </c>
      <c r="S155" s="148" t="str" cm="1">
        <f t="array" ref="S155">Common_InputFunctions.Utility_DisplayArrayInTable(Fertiliser_SourceData.Fertiliser_Products_Data3(), FertiliserProducts[[#Headers],[Company]],61)</f>
        <v>Sulfur - Generic</v>
      </c>
      <c r="T155" s="148" cm="1">
        <f t="array" ref="T155">Common_InputFunctions.Utility_DisplayArrayInTable(Fertiliser_SourceData.Fertiliser_Products_Data3(), FertiliserProducts[[#Headers],[Company]],61)</f>
        <v>0.06</v>
      </c>
      <c r="U155" s="148" t="str" cm="1">
        <f t="array" ref="U155">Common_InputFunctions.Utility_DisplayArrayInTable(Fertiliser_SourceData.Fertiliser_Products_Data3(), FertiliserProducts[[#Headers],[Company]],61)</f>
        <v>Nitrogen - Nitrate</v>
      </c>
      <c r="V155" s="148" cm="1">
        <f t="array" ref="V155">Common_InputFunctions.Utility_DisplayArrayInTable(Fertiliser_SourceData.Fertiliser_Products_Data3(), FertiliserProducts[[#Headers],[Company]],61)</f>
        <v>0.05</v>
      </c>
      <c r="W155" s="148" t="str" cm="1">
        <f t="array" ref="W155">Common_InputFunctions.Utility_DisplayArrayInTable(Fertiliser_SourceData.Fertiliser_Products_Data3(), FertiliserProducts[[#Headers],[Company]],61)</f>
        <v>Nitrogen - Ammoniacal</v>
      </c>
      <c r="X155" s="148" cm="1">
        <f t="array" ref="X155">Common_InputFunctions.Utility_DisplayArrayInTable(Fertiliser_SourceData.Fertiliser_Products_Data3(), FertiliserProducts[[#Headers],[Company]],61)</f>
        <v>0.05</v>
      </c>
      <c r="Y155" s="148" t="str" cm="1">
        <f t="array" ref="Y155">Common_InputFunctions.Utility_DisplayArrayInTable(Fertiliser_SourceData.Fertiliser_Products_Data3(), FertiliserProducts[[#Headers],[Company]],61)</f>
        <v>Calcium</v>
      </c>
      <c r="Z155" s="148" cm="1">
        <f t="array" ref="Z155">Common_InputFunctions.Utility_DisplayArrayInTable(Fertiliser_SourceData.Fertiliser_Products_Data3(), FertiliserProducts[[#Headers],[Company]],61)</f>
        <v>4.2999999999999997E-2</v>
      </c>
      <c r="AA155" s="148" t="str" cm="1">
        <f t="array" ref="AA155">Common_InputFunctions.Utility_DisplayArrayInTable(Fertiliser_SourceData.Fertiliser_Products_Data3(), FertiliserProducts[[#Headers],[Company]],61)</f>
        <v>Magnesium</v>
      </c>
      <c r="AB155" s="148" cm="1">
        <f t="array" ref="AB155">Common_InputFunctions.Utility_DisplayArrayInTable(Fertiliser_SourceData.Fertiliser_Products_Data3(), FertiliserProducts[[#Headers],[Company]],61)</f>
        <v>1.2E-2</v>
      </c>
      <c r="AC155" s="148" t="str" cm="1">
        <f t="array" ref="AC155">Common_InputFunctions.Utility_DisplayArrayInTable(Fertiliser_SourceData.Fertiliser_Products_Data3(), FertiliserProducts[[#Headers],[Company]],61)</f>
        <v>Zinc</v>
      </c>
      <c r="AD155" s="148" cm="1">
        <f t="array" ref="AD155">Common_InputFunctions.Utility_DisplayArrayInTable(Fertiliser_SourceData.Fertiliser_Products_Data3(), FertiliserProducts[[#Headers],[Company]],61)</f>
        <v>3.5999999999999999E-3</v>
      </c>
      <c r="AE155" s="148" t="str" cm="1">
        <f t="array" ref="AE155">Common_InputFunctions.Utility_DisplayArrayInTable(Fertiliser_SourceData.Fertiliser_Products_Data3(), FertiliserProducts[[#Headers],[Company]],61)</f>
        <v>Boron</v>
      </c>
      <c r="AF155" s="148" cm="1">
        <f t="array" ref="AF155">Common_InputFunctions.Utility_DisplayArrayInTable(Fertiliser_SourceData.Fertiliser_Products_Data3(), FertiliserProducts[[#Headers],[Company]],61)</f>
        <v>1E-3</v>
      </c>
      <c r="AG155" s="148" t="str" cm="1">
        <f t="array" ref="AG155">Common_InputFunctions.Utility_DisplayArrayInTable(Fertiliser_SourceData.Fertiliser_Products_Data3(), FertiliserProducts[[#Headers],[Company]],61)</f>
        <v/>
      </c>
      <c r="AH155" s="148" t="str" cm="1">
        <f t="array" ref="AH155">Common_InputFunctions.Utility_DisplayArrayInTable(Fertiliser_SourceData.Fertiliser_Products_Data3(), FertiliserProducts[[#Headers],[Company]],61)</f>
        <v/>
      </c>
      <c r="AK155" s="1"/>
    </row>
    <row r="156" spans="1:39" ht="20.100000000000001" customHeight="1" x14ac:dyDescent="0.2">
      <c r="D156" s="148" t="str" cm="1">
        <f t="array" ref="D156">Common_InputFunctions.Utility_DisplayArrayInTable(Fertiliser_SourceData.Fertiliser_Products_Data3(), FertiliserProducts[[#Headers],[Company]],61)</f>
        <v>Campbells fertilisers Australia</v>
      </c>
      <c r="E156" s="148" t="str" cm="1">
        <f t="array" ref="E156">Common_InputFunctions.Utility_DisplayArrayInTable(Fertiliser_SourceData.Fertiliser_Products_Data3(), FertiliserProducts[[#Headers],[Company]],61)</f>
        <v>Tropika</v>
      </c>
      <c r="F156" s="148" t="str" cm="1">
        <f t="array" ref="F156">Common_InputFunctions.Utility_DisplayArrayInTable(Fertiliser_SourceData.Fertiliser_Products_Data3(), FertiliserProducts[[#Headers],[Company]],61)</f>
        <v>kg</v>
      </c>
      <c r="G156" s="148" cm="1">
        <f t="array" ref="G156">Common_InputFunctions.Utility_DisplayArrayInTable(Fertiliser_SourceData.Fertiliser_Products_Data3(), FertiliserProducts[[#Headers],[Company]],61)</f>
        <v>1</v>
      </c>
      <c r="H156" s="148" t="str" cm="1">
        <f t="array" ref="H156">Common_InputFunctions.Utility_DisplayArrayInTable(Fertiliser_SourceData.Fertiliser_Products_Data3(), FertiliserProducts[[#Headers],[Company]],61)</f>
        <v/>
      </c>
      <c r="I156" s="148" t="str" cm="1">
        <f t="array" ref="I156">Common_InputFunctions.Utility_DisplayArrayInTable(Fertiliser_SourceData.Fertiliser_Products_Data3(), FertiliserProducts[[#Headers],[Company]],61)</f>
        <v/>
      </c>
      <c r="J156" s="148" t="str" cm="1">
        <f t="array" ref="J156">Common_InputFunctions.Utility_DisplayArrayInTable(Fertiliser_SourceData.Fertiliser_Products_Data3(), FertiliserProducts[[#Headers],[Company]],61)</f>
        <v/>
      </c>
      <c r="K156" s="148" cm="1">
        <f t="array" ref="K156">Common_InputFunctions.Utility_DisplayArrayInTable(Fertiliser_SourceData.Fertiliser_Products_Data3(), FertiliserProducts[[#Headers],[Company]],61)</f>
        <v>11</v>
      </c>
      <c r="L156" s="148" cm="1">
        <f t="array" ref="L156">Common_InputFunctions.Utility_DisplayArrayInTable(Fertiliser_SourceData.Fertiliser_Products_Data3(), FertiliserProducts[[#Headers],[Company]],61)</f>
        <v>2.6</v>
      </c>
      <c r="M156" s="148" cm="1">
        <f t="array" ref="M156">Common_InputFunctions.Utility_DisplayArrayInTable(Fertiliser_SourceData.Fertiliser_Products_Data3(), FertiliserProducts[[#Headers],[Company]],61)</f>
        <v>20.8</v>
      </c>
      <c r="N156" s="148" cm="1">
        <f t="array" ref="N156">Common_InputFunctions.Utility_DisplayArrayInTable(Fertiliser_SourceData.Fertiliser_Products_Data3(), FertiliserProducts[[#Headers],[Company]],61)</f>
        <v>4</v>
      </c>
      <c r="O156" s="148" t="str" cm="1">
        <f t="array" ref="O156">Common_InputFunctions.Utility_DisplayArrayInTable(Fertiliser_SourceData.Fertiliser_Products_Data3(), FertiliserProducts[[#Headers],[Company]],61)</f>
        <v>Nitrogen - Nitrate</v>
      </c>
      <c r="P156" s="148" cm="1">
        <f t="array" ref="P156">Common_InputFunctions.Utility_DisplayArrayInTable(Fertiliser_SourceData.Fertiliser_Products_Data3(), FertiliserProducts[[#Headers],[Company]],61)</f>
        <v>5.5E-2</v>
      </c>
      <c r="Q156" s="148" t="str" cm="1">
        <f t="array" ref="Q156">Common_InputFunctions.Utility_DisplayArrayInTable(Fertiliser_SourceData.Fertiliser_Products_Data3(), FertiliserProducts[[#Headers],[Company]],61)</f>
        <v>Nitrogen - Ammoniacal</v>
      </c>
      <c r="R156" s="148" cm="1">
        <f t="array" ref="R156">Common_InputFunctions.Utility_DisplayArrayInTable(Fertiliser_SourceData.Fertiliser_Products_Data3(), FertiliserProducts[[#Headers],[Company]],61)</f>
        <v>5.5E-2</v>
      </c>
      <c r="S156" s="148" t="str" cm="1">
        <f t="array" ref="S156">Common_InputFunctions.Utility_DisplayArrayInTable(Fertiliser_SourceData.Fertiliser_Products_Data3(), FertiliserProducts[[#Headers],[Company]],61)</f>
        <v>Phosphorus - Generic</v>
      </c>
      <c r="T156" s="148" cm="1">
        <f t="array" ref="T156">Common_InputFunctions.Utility_DisplayArrayInTable(Fertiliser_SourceData.Fertiliser_Products_Data3(), FertiliserProducts[[#Headers],[Company]],61)</f>
        <v>2.5999999999999999E-2</v>
      </c>
      <c r="U156" s="148" t="str" cm="1">
        <f t="array" ref="U156">Common_InputFunctions.Utility_DisplayArrayInTable(Fertiliser_SourceData.Fertiliser_Products_Data3(), FertiliserProducts[[#Headers],[Company]],61)</f>
        <v>Potassium - Generic</v>
      </c>
      <c r="V156" s="148" cm="1">
        <f t="array" ref="V156">Common_InputFunctions.Utility_DisplayArrayInTable(Fertiliser_SourceData.Fertiliser_Products_Data3(), FertiliserProducts[[#Headers],[Company]],61)</f>
        <v>0.20799999999999999</v>
      </c>
      <c r="W156" s="148" t="str" cm="1">
        <f t="array" ref="W156">Common_InputFunctions.Utility_DisplayArrayInTable(Fertiliser_SourceData.Fertiliser_Products_Data3(), FertiliserProducts[[#Headers],[Company]],61)</f>
        <v>Sulfur - Generic</v>
      </c>
      <c r="X156" s="148" cm="1">
        <f t="array" ref="X156">Common_InputFunctions.Utility_DisplayArrayInTable(Fertiliser_SourceData.Fertiliser_Products_Data3(), FertiliserProducts[[#Headers],[Company]],61)</f>
        <v>0.04</v>
      </c>
      <c r="Y156" s="148" t="str" cm="1">
        <f t="array" ref="Y156">Common_InputFunctions.Utility_DisplayArrayInTable(Fertiliser_SourceData.Fertiliser_Products_Data3(), FertiliserProducts[[#Headers],[Company]],61)</f>
        <v>Magnesium</v>
      </c>
      <c r="Z156" s="148" cm="1">
        <f t="array" ref="Z156">Common_InputFunctions.Utility_DisplayArrayInTable(Fertiliser_SourceData.Fertiliser_Products_Data3(), FertiliserProducts[[#Headers],[Company]],61)</f>
        <v>2.4E-2</v>
      </c>
      <c r="AA156" s="148" t="str" cm="1">
        <f t="array" ref="AA156">Common_InputFunctions.Utility_DisplayArrayInTable(Fertiliser_SourceData.Fertiliser_Products_Data3(), FertiliserProducts[[#Headers],[Company]],61)</f>
        <v/>
      </c>
      <c r="AB156" s="148" t="str" cm="1">
        <f t="array" ref="AB156">Common_InputFunctions.Utility_DisplayArrayInTable(Fertiliser_SourceData.Fertiliser_Products_Data3(), FertiliserProducts[[#Headers],[Company]],61)</f>
        <v/>
      </c>
      <c r="AC156" s="148" t="str" cm="1">
        <f t="array" ref="AC156">Common_InputFunctions.Utility_DisplayArrayInTable(Fertiliser_SourceData.Fertiliser_Products_Data3(), FertiliserProducts[[#Headers],[Company]],61)</f>
        <v/>
      </c>
      <c r="AD156" s="148" t="str" cm="1">
        <f t="array" ref="AD156">Common_InputFunctions.Utility_DisplayArrayInTable(Fertiliser_SourceData.Fertiliser_Products_Data3(), FertiliserProducts[[#Headers],[Company]],61)</f>
        <v/>
      </c>
      <c r="AE156" s="148" t="str" cm="1">
        <f t="array" ref="AE156">Common_InputFunctions.Utility_DisplayArrayInTable(Fertiliser_SourceData.Fertiliser_Products_Data3(), FertiliserProducts[[#Headers],[Company]],61)</f>
        <v/>
      </c>
      <c r="AF156" s="148" t="str" cm="1">
        <f t="array" ref="AF156">Common_InputFunctions.Utility_DisplayArrayInTable(Fertiliser_SourceData.Fertiliser_Products_Data3(), FertiliserProducts[[#Headers],[Company]],61)</f>
        <v/>
      </c>
      <c r="AG156" s="148" t="str" cm="1">
        <f t="array" ref="AG156">Common_InputFunctions.Utility_DisplayArrayInTable(Fertiliser_SourceData.Fertiliser_Products_Data3(), FertiliserProducts[[#Headers],[Company]],61)</f>
        <v/>
      </c>
      <c r="AH156" s="148" t="str" cm="1">
        <f t="array" ref="AH156">Common_InputFunctions.Utility_DisplayArrayInTable(Fertiliser_SourceData.Fertiliser_Products_Data3(), FertiliserProducts[[#Headers],[Company]],61)</f>
        <v/>
      </c>
      <c r="AK156" s="1"/>
    </row>
    <row r="157" spans="1:39" ht="20.100000000000001" customHeight="1" x14ac:dyDescent="0.2">
      <c r="D157" s="148" t="str" cm="1">
        <f t="array" ref="D157">Common_InputFunctions.Utility_DisplayArrayInTable(Fertiliser_SourceData.Fertiliser_Products_Data3(), FertiliserProducts[[#Headers],[Company]],61)</f>
        <v>Campbells fertilisers Australia</v>
      </c>
      <c r="E157" s="148" t="str" cm="1">
        <f t="array" ref="E157">Common_InputFunctions.Utility_DisplayArrayInTable(Fertiliser_SourceData.Fertiliser_Products_Data3(), FertiliserProducts[[#Headers],[Company]],61)</f>
        <v>Rustica Nergetic</v>
      </c>
      <c r="F157" s="148" t="str" cm="1">
        <f t="array" ref="F157">Common_InputFunctions.Utility_DisplayArrayInTable(Fertiliser_SourceData.Fertiliser_Products_Data3(), FertiliserProducts[[#Headers],[Company]],61)</f>
        <v>kg</v>
      </c>
      <c r="G157" s="148" cm="1">
        <f t="array" ref="G157">Common_InputFunctions.Utility_DisplayArrayInTable(Fertiliser_SourceData.Fertiliser_Products_Data3(), FertiliserProducts[[#Headers],[Company]],61)</f>
        <v>1</v>
      </c>
      <c r="H157" s="148" t="str" cm="1">
        <f t="array" ref="H157">Common_InputFunctions.Utility_DisplayArrayInTable(Fertiliser_SourceData.Fertiliser_Products_Data3(), FertiliserProducts[[#Headers],[Company]],61)</f>
        <v/>
      </c>
      <c r="I157" s="148" t="str" cm="1">
        <f t="array" ref="I157">Common_InputFunctions.Utility_DisplayArrayInTable(Fertiliser_SourceData.Fertiliser_Products_Data3(), FertiliserProducts[[#Headers],[Company]],61)</f>
        <v/>
      </c>
      <c r="J157" s="148" t="str" cm="1">
        <f t="array" ref="J157">Common_InputFunctions.Utility_DisplayArrayInTable(Fertiliser_SourceData.Fertiliser_Products_Data3(), FertiliserProducts[[#Headers],[Company]],61)</f>
        <v/>
      </c>
      <c r="K157" s="148" cm="1">
        <f t="array" ref="K157">Common_InputFunctions.Utility_DisplayArrayInTable(Fertiliser_SourceData.Fertiliser_Products_Data3(), FertiliserProducts[[#Headers],[Company]],61)</f>
        <v>12</v>
      </c>
      <c r="L157" s="148" cm="1">
        <f t="array" ref="L157">Common_InputFunctions.Utility_DisplayArrayInTable(Fertiliser_SourceData.Fertiliser_Products_Data3(), FertiliserProducts[[#Headers],[Company]],61)</f>
        <v>5.2</v>
      </c>
      <c r="M157" s="148" cm="1">
        <f t="array" ref="M157">Common_InputFunctions.Utility_DisplayArrayInTable(Fertiliser_SourceData.Fertiliser_Products_Data3(), FertiliserProducts[[#Headers],[Company]],61)</f>
        <v>14.1</v>
      </c>
      <c r="N157" s="148" cm="1">
        <f t="array" ref="N157">Common_InputFunctions.Utility_DisplayArrayInTable(Fertiliser_SourceData.Fertiliser_Products_Data3(), FertiliserProducts[[#Headers],[Company]],61)</f>
        <v>9.6</v>
      </c>
      <c r="O157" s="148" t="str" cm="1">
        <f t="array" ref="O157">Common_InputFunctions.Utility_DisplayArrayInTable(Fertiliser_SourceData.Fertiliser_Products_Data3(), FertiliserProducts[[#Headers],[Company]],61)</f>
        <v>Potassium - Generic</v>
      </c>
      <c r="P157" s="148" cm="1">
        <f t="array" ref="P157">Common_InputFunctions.Utility_DisplayArrayInTable(Fertiliser_SourceData.Fertiliser_Products_Data3(), FertiliserProducts[[#Headers],[Company]],61)</f>
        <v>0.14099999999999999</v>
      </c>
      <c r="Q157" s="148" t="str" cm="1">
        <f t="array" ref="Q157">Common_InputFunctions.Utility_DisplayArrayInTable(Fertiliser_SourceData.Fertiliser_Products_Data3(), FertiliserProducts[[#Headers],[Company]],61)</f>
        <v>Sulfur - Generic</v>
      </c>
      <c r="R157" s="148" cm="1">
        <f t="array" ref="R157">Common_InputFunctions.Utility_DisplayArrayInTable(Fertiliser_SourceData.Fertiliser_Products_Data3(), FertiliserProducts[[#Headers],[Company]],61)</f>
        <v>9.6000000000000002E-2</v>
      </c>
      <c r="S157" s="148" t="str" cm="1">
        <f t="array" ref="S157">Common_InputFunctions.Utility_DisplayArrayInTable(Fertiliser_SourceData.Fertiliser_Products_Data3(), FertiliserProducts[[#Headers],[Company]],61)</f>
        <v>Nitrogen - Nitrate</v>
      </c>
      <c r="T157" s="148" cm="1">
        <f t="array" ref="T157">Common_InputFunctions.Utility_DisplayArrayInTable(Fertiliser_SourceData.Fertiliser_Products_Data3(), FertiliserProducts[[#Headers],[Company]],61)</f>
        <v>0.06</v>
      </c>
      <c r="U157" s="148" t="str" cm="1">
        <f t="array" ref="U157">Common_InputFunctions.Utility_DisplayArrayInTable(Fertiliser_SourceData.Fertiliser_Products_Data3(), FertiliserProducts[[#Headers],[Company]],61)</f>
        <v>Nitrogen - Ammoniacal</v>
      </c>
      <c r="V157" s="148" cm="1">
        <f t="array" ref="V157">Common_InputFunctions.Utility_DisplayArrayInTable(Fertiliser_SourceData.Fertiliser_Products_Data3(), FertiliserProducts[[#Headers],[Company]],61)</f>
        <v>0.06</v>
      </c>
      <c r="W157" s="148" t="str" cm="1">
        <f t="array" ref="W157">Common_InputFunctions.Utility_DisplayArrayInTable(Fertiliser_SourceData.Fertiliser_Products_Data3(), FertiliserProducts[[#Headers],[Company]],61)</f>
        <v>Phosphorus - Generic</v>
      </c>
      <c r="X157" s="148" cm="1">
        <f t="array" ref="X157">Common_InputFunctions.Utility_DisplayArrayInTable(Fertiliser_SourceData.Fertiliser_Products_Data3(), FertiliserProducts[[#Headers],[Company]],61)</f>
        <v>5.1999999999999998E-2</v>
      </c>
      <c r="Y157" s="148" t="str" cm="1">
        <f t="array" ref="Y157">Common_InputFunctions.Utility_DisplayArrayInTable(Fertiliser_SourceData.Fertiliser_Products_Data3(), FertiliserProducts[[#Headers],[Company]],61)</f>
        <v>Magnesium</v>
      </c>
      <c r="Z157" s="148" cm="1">
        <f t="array" ref="Z157">Common_InputFunctions.Utility_DisplayArrayInTable(Fertiliser_SourceData.Fertiliser_Products_Data3(), FertiliserProducts[[#Headers],[Company]],61)</f>
        <v>1.2E-2</v>
      </c>
      <c r="AA157" s="148" t="str" cm="1">
        <f t="array" ref="AA157">Common_InputFunctions.Utility_DisplayArrayInTable(Fertiliser_SourceData.Fertiliser_Products_Data3(), FertiliserProducts[[#Headers],[Company]],61)</f>
        <v>Zinc</v>
      </c>
      <c r="AB157" s="148" cm="1">
        <f t="array" ref="AB157">Common_InputFunctions.Utility_DisplayArrayInTable(Fertiliser_SourceData.Fertiliser_Products_Data3(), FertiliserProducts[[#Headers],[Company]],61)</f>
        <v>8.0000000000000004E-4</v>
      </c>
      <c r="AC157" s="148" t="str" cm="1">
        <f t="array" ref="AC157">Common_InputFunctions.Utility_DisplayArrayInTable(Fertiliser_SourceData.Fertiliser_Products_Data3(), FertiliserProducts[[#Headers],[Company]],61)</f>
        <v>Iron</v>
      </c>
      <c r="AD157" s="148" cm="1">
        <f t="array" ref="AD157">Common_InputFunctions.Utility_DisplayArrayInTable(Fertiliser_SourceData.Fertiliser_Products_Data3(), FertiliserProducts[[#Headers],[Company]],61)</f>
        <v>6.9999999999999999E-4</v>
      </c>
      <c r="AE157" s="148" t="str" cm="1">
        <f t="array" ref="AE157">Common_InputFunctions.Utility_DisplayArrayInTable(Fertiliser_SourceData.Fertiliser_Products_Data3(), FertiliserProducts[[#Headers],[Company]],61)</f>
        <v>Manganese</v>
      </c>
      <c r="AF157" s="148" cm="1">
        <f t="array" ref="AF157">Common_InputFunctions.Utility_DisplayArrayInTable(Fertiliser_SourceData.Fertiliser_Products_Data3(), FertiliserProducts[[#Headers],[Company]],61)</f>
        <v>5.9999999999999995E-4</v>
      </c>
      <c r="AG157" s="148" t="str" cm="1">
        <f t="array" ref="AG157">Common_InputFunctions.Utility_DisplayArrayInTable(Fertiliser_SourceData.Fertiliser_Products_Data3(), FertiliserProducts[[#Headers],[Company]],61)</f>
        <v>Boron</v>
      </c>
      <c r="AH157" s="148" cm="1">
        <f t="array" ref="AH157">Common_InputFunctions.Utility_DisplayArrayInTable(Fertiliser_SourceData.Fertiliser_Products_Data3(), FertiliserProducts[[#Headers],[Company]],61)</f>
        <v>2.0000000000000001E-4</v>
      </c>
      <c r="AK157" s="1"/>
    </row>
    <row r="158" spans="1:39" ht="20.100000000000001" customHeight="1" x14ac:dyDescent="0.2">
      <c r="A158" s="79" t="str">
        <f>HYPERLINK("#A1", "▲ Back to top")</f>
        <v>▲ Back to top</v>
      </c>
      <c r="D158" s="148" t="str" cm="1">
        <f t="array" ref="D158">Common_InputFunctions.Utility_DisplayArrayInTable(Fertiliser_SourceData.Fertiliser_Products_Data3(), FertiliserProducts[[#Headers],[Company]],61)</f>
        <v>Campbells fertilisers Australia</v>
      </c>
      <c r="E158" s="148" t="str" cm="1">
        <f t="array" ref="E158">Common_InputFunctions.Utility_DisplayArrayInTable(Fertiliser_SourceData.Fertiliser_Products_Data3(), FertiliserProducts[[#Headers],[Company]],61)</f>
        <v>Quick-N Nergetic</v>
      </c>
      <c r="F158" s="148" t="str" cm="1">
        <f t="array" ref="F158">Common_InputFunctions.Utility_DisplayArrayInTable(Fertiliser_SourceData.Fertiliser_Products_Data3(), FertiliserProducts[[#Headers],[Company]],61)</f>
        <v>kg</v>
      </c>
      <c r="G158" s="148" cm="1">
        <f t="array" ref="G158">Common_InputFunctions.Utility_DisplayArrayInTable(Fertiliser_SourceData.Fertiliser_Products_Data3(), FertiliserProducts[[#Headers],[Company]],61)</f>
        <v>1</v>
      </c>
      <c r="H158" s="148" t="str" cm="1">
        <f t="array" ref="H158">Common_InputFunctions.Utility_DisplayArrayInTable(Fertiliser_SourceData.Fertiliser_Products_Data3(), FertiliserProducts[[#Headers],[Company]],61)</f>
        <v/>
      </c>
      <c r="I158" s="148" t="str" cm="1">
        <f t="array" ref="I158">Common_InputFunctions.Utility_DisplayArrayInTable(Fertiliser_SourceData.Fertiliser_Products_Data3(), FertiliserProducts[[#Headers],[Company]],61)</f>
        <v/>
      </c>
      <c r="J158" s="148" t="str" cm="1">
        <f t="array" ref="J158">Common_InputFunctions.Utility_DisplayArrayInTable(Fertiliser_SourceData.Fertiliser_Products_Data3(), FertiliserProducts[[#Headers],[Company]],61)</f>
        <v/>
      </c>
      <c r="K158" s="148" cm="1">
        <f t="array" ref="K158">Common_InputFunctions.Utility_DisplayArrayInTable(Fertiliser_SourceData.Fertiliser_Products_Data3(), FertiliserProducts[[#Headers],[Company]],61)</f>
        <v>25</v>
      </c>
      <c r="L158" s="148" t="str" cm="1">
        <f t="array" ref="L158">Common_InputFunctions.Utility_DisplayArrayInTable(Fertiliser_SourceData.Fertiliser_Products_Data3(), FertiliserProducts[[#Headers],[Company]],61)</f>
        <v/>
      </c>
      <c r="M158" s="148" t="str" cm="1">
        <f t="array" ref="M158">Common_InputFunctions.Utility_DisplayArrayInTable(Fertiliser_SourceData.Fertiliser_Products_Data3(), FertiliserProducts[[#Headers],[Company]],61)</f>
        <v/>
      </c>
      <c r="N158" s="148" cm="1">
        <f t="array" ref="N158">Common_InputFunctions.Utility_DisplayArrayInTable(Fertiliser_SourceData.Fertiliser_Products_Data3(), FertiliserProducts[[#Headers],[Company]],61)</f>
        <v>12.8</v>
      </c>
      <c r="O158" s="148" t="str" cm="1">
        <f t="array" ref="O158">Common_InputFunctions.Utility_DisplayArrayInTable(Fertiliser_SourceData.Fertiliser_Products_Data3(), FertiliserProducts[[#Headers],[Company]],61)</f>
        <v>Sulphate of ammonia (SOA)</v>
      </c>
      <c r="P158" s="148" cm="1">
        <f t="array" ref="P158">Common_InputFunctions.Utility_DisplayArrayInTable(Fertiliser_SourceData.Fertiliser_Products_Data3(), FertiliserProducts[[#Headers],[Company]],61)</f>
        <v>0.53333299999999995</v>
      </c>
      <c r="Q158" s="148" t="str" cm="1">
        <f t="array" ref="Q158">Common_InputFunctions.Utility_DisplayArrayInTable(Fertiliser_SourceData.Fertiliser_Products_Data3(), FertiliserProducts[[#Headers],[Company]],61)</f>
        <v>Ammonium nitrate (AN)</v>
      </c>
      <c r="R158" s="148" cm="1">
        <f t="array" ref="R158">Common_InputFunctions.Utility_DisplayArrayInTable(Fertiliser_SourceData.Fertiliser_Products_Data3(), FertiliserProducts[[#Headers],[Company]],61)</f>
        <v>0.40949600000000003</v>
      </c>
      <c r="S158" s="148" t="str" cm="1">
        <f t="array" ref="S158">Common_InputFunctions.Utility_DisplayArrayInTable(Fertiliser_SourceData.Fertiliser_Products_Data3(), FertiliserProducts[[#Headers],[Company]],61)</f>
        <v>Zinc</v>
      </c>
      <c r="T158" s="148" cm="1">
        <f t="array" ref="T158">Common_InputFunctions.Utility_DisplayArrayInTable(Fertiliser_SourceData.Fertiliser_Products_Data3(), FertiliserProducts[[#Headers],[Company]],61)</f>
        <v>1E-3</v>
      </c>
      <c r="U158" s="148" t="str" cm="1">
        <f t="array" ref="U158">Common_InputFunctions.Utility_DisplayArrayInTable(Fertiliser_SourceData.Fertiliser_Products_Data3(), FertiliserProducts[[#Headers],[Company]],61)</f>
        <v>Manganese</v>
      </c>
      <c r="V158" s="148" cm="1">
        <f t="array" ref="V158">Common_InputFunctions.Utility_DisplayArrayInTable(Fertiliser_SourceData.Fertiliser_Products_Data3(), FertiliserProducts[[#Headers],[Company]],61)</f>
        <v>1E-3</v>
      </c>
      <c r="W158" s="148" t="str" cm="1">
        <f t="array" ref="W158">Common_InputFunctions.Utility_DisplayArrayInTable(Fertiliser_SourceData.Fertiliser_Products_Data3(), FertiliserProducts[[#Headers],[Company]],61)</f>
        <v>Boron</v>
      </c>
      <c r="X158" s="148" cm="1">
        <f t="array" ref="X158">Common_InputFunctions.Utility_DisplayArrayInTable(Fertiliser_SourceData.Fertiliser_Products_Data3(), FertiliserProducts[[#Headers],[Company]],61)</f>
        <v>1E-4</v>
      </c>
      <c r="Y158" s="148" t="str" cm="1">
        <f t="array" ref="Y158">Common_InputFunctions.Utility_DisplayArrayInTable(Fertiliser_SourceData.Fertiliser_Products_Data3(), FertiliserProducts[[#Headers],[Company]],61)</f>
        <v>Molybdenum</v>
      </c>
      <c r="Z158" s="148" cm="1">
        <f t="array" ref="Z158">Common_InputFunctions.Utility_DisplayArrayInTable(Fertiliser_SourceData.Fertiliser_Products_Data3(), FertiliserProducts[[#Headers],[Company]],61)</f>
        <v>1.0000000000000001E-5</v>
      </c>
      <c r="AA158" s="148" t="str" cm="1">
        <f t="array" ref="AA158">Common_InputFunctions.Utility_DisplayArrayInTable(Fertiliser_SourceData.Fertiliser_Products_Data3(), FertiliserProducts[[#Headers],[Company]],61)</f>
        <v/>
      </c>
      <c r="AB158" s="148" t="str" cm="1">
        <f t="array" ref="AB158">Common_InputFunctions.Utility_DisplayArrayInTable(Fertiliser_SourceData.Fertiliser_Products_Data3(), FertiliserProducts[[#Headers],[Company]],61)</f>
        <v/>
      </c>
      <c r="AC158" s="148" t="str" cm="1">
        <f t="array" ref="AC158">Common_InputFunctions.Utility_DisplayArrayInTable(Fertiliser_SourceData.Fertiliser_Products_Data3(), FertiliserProducts[[#Headers],[Company]],61)</f>
        <v/>
      </c>
      <c r="AD158" s="148" t="str" cm="1">
        <f t="array" ref="AD158">Common_InputFunctions.Utility_DisplayArrayInTable(Fertiliser_SourceData.Fertiliser_Products_Data3(), FertiliserProducts[[#Headers],[Company]],61)</f>
        <v/>
      </c>
      <c r="AE158" s="148" t="str" cm="1">
        <f t="array" ref="AE158">Common_InputFunctions.Utility_DisplayArrayInTable(Fertiliser_SourceData.Fertiliser_Products_Data3(), FertiliserProducts[[#Headers],[Company]],61)</f>
        <v/>
      </c>
      <c r="AF158" s="148" t="str" cm="1">
        <f t="array" ref="AF158">Common_InputFunctions.Utility_DisplayArrayInTable(Fertiliser_SourceData.Fertiliser_Products_Data3(), FertiliserProducts[[#Headers],[Company]],61)</f>
        <v/>
      </c>
      <c r="AG158" s="148" t="str" cm="1">
        <f t="array" ref="AG158">Common_InputFunctions.Utility_DisplayArrayInTable(Fertiliser_SourceData.Fertiliser_Products_Data3(), FertiliserProducts[[#Headers],[Company]],61)</f>
        <v/>
      </c>
      <c r="AH158" s="148" t="str" cm="1">
        <f t="array" ref="AH158">Common_InputFunctions.Utility_DisplayArrayInTable(Fertiliser_SourceData.Fertiliser_Products_Data3(), FertiliserProducts[[#Headers],[Company]],61)</f>
        <v/>
      </c>
      <c r="AK158" s="1"/>
    </row>
    <row r="159" spans="1:39" ht="20.100000000000001" customHeight="1" x14ac:dyDescent="0.2">
      <c r="D159" s="148" t="str" cm="1">
        <f t="array" ref="D159">Common_InputFunctions.Utility_DisplayArrayInTable(Fertiliser_SourceData.Fertiliser_Products_Data3(), FertiliserProducts[[#Headers],[Company]],61)</f>
        <v>FertPro Manufacturing Pty. Ltd.</v>
      </c>
      <c r="E159" s="148" t="str" cm="1">
        <f t="array" ref="E159">Common_InputFunctions.Utility_DisplayArrayInTable(Fertiliser_SourceData.Fertiliser_Products_Data3(), FertiliserProducts[[#Headers],[Company]],61)</f>
        <v>(SSP) Single Super Fertiliser</v>
      </c>
      <c r="F159" s="148" t="str" cm="1">
        <f t="array" ref="F159">Common_InputFunctions.Utility_DisplayArrayInTable(Fertiliser_SourceData.Fertiliser_Products_Data3(), FertiliserProducts[[#Headers],[Company]],61)</f>
        <v>kg</v>
      </c>
      <c r="G159" s="148" cm="1">
        <f t="array" ref="G159">Common_InputFunctions.Utility_DisplayArrayInTable(Fertiliser_SourceData.Fertiliser_Products_Data3(), FertiliserProducts[[#Headers],[Company]],61)</f>
        <v>1</v>
      </c>
      <c r="H159" s="148" t="str" cm="1">
        <f t="array" ref="H159">Common_InputFunctions.Utility_DisplayArrayInTable(Fertiliser_SourceData.Fertiliser_Products_Data3(), FertiliserProducts[[#Headers],[Company]],61)</f>
        <v/>
      </c>
      <c r="I159" s="148" t="str" cm="1">
        <f t="array" ref="I159">Common_InputFunctions.Utility_DisplayArrayInTable(Fertiliser_SourceData.Fertiliser_Products_Data3(), FertiliserProducts[[#Headers],[Company]],61)</f>
        <v/>
      </c>
      <c r="J159" s="148" t="str" cm="1">
        <f t="array" ref="J159">Common_InputFunctions.Utility_DisplayArrayInTable(Fertiliser_SourceData.Fertiliser_Products_Data3(), FertiliserProducts[[#Headers],[Company]],61)</f>
        <v/>
      </c>
      <c r="K159" s="148" t="str" cm="1">
        <f t="array" ref="K159">Common_InputFunctions.Utility_DisplayArrayInTable(Fertiliser_SourceData.Fertiliser_Products_Data3(), FertiliserProducts[[#Headers],[Company]],61)</f>
        <v/>
      </c>
      <c r="L159" s="148" cm="1">
        <f t="array" ref="L159">Common_InputFunctions.Utility_DisplayArrayInTable(Fertiliser_SourceData.Fertiliser_Products_Data3(), FertiliserProducts[[#Headers],[Company]],61)</f>
        <v>8.8000000000000007</v>
      </c>
      <c r="M159" s="148" t="str" cm="1">
        <f t="array" ref="M159">Common_InputFunctions.Utility_DisplayArrayInTable(Fertiliser_SourceData.Fertiliser_Products_Data3(), FertiliserProducts[[#Headers],[Company]],61)</f>
        <v/>
      </c>
      <c r="N159" s="148" cm="1">
        <f t="array" ref="N159">Common_InputFunctions.Utility_DisplayArrayInTable(Fertiliser_SourceData.Fertiliser_Products_Data3(), FertiliserProducts[[#Headers],[Company]],61)</f>
        <v>11</v>
      </c>
      <c r="O159" s="148" t="str" cm="1">
        <f t="array" ref="O159">Common_InputFunctions.Utility_DisplayArrayInTable(Fertiliser_SourceData.Fertiliser_Products_Data3(), FertiliserProducts[[#Headers],[Company]],61)</f>
        <v>Single superphosphate (SSP)</v>
      </c>
      <c r="P159" s="148" cm="1">
        <f t="array" ref="P159">Common_InputFunctions.Utility_DisplayArrayInTable(Fertiliser_SourceData.Fertiliser_Products_Data3(), FertiliserProducts[[#Headers],[Company]],61)</f>
        <v>1</v>
      </c>
      <c r="Q159" s="148" t="str" cm="1">
        <f t="array" ref="Q159">Common_InputFunctions.Utility_DisplayArrayInTable(Fertiliser_SourceData.Fertiliser_Products_Data3(), FertiliserProducts[[#Headers],[Company]],61)</f>
        <v/>
      </c>
      <c r="R159" s="148" t="str" cm="1">
        <f t="array" ref="R159">Common_InputFunctions.Utility_DisplayArrayInTable(Fertiliser_SourceData.Fertiliser_Products_Data3(), FertiliserProducts[[#Headers],[Company]],61)</f>
        <v/>
      </c>
      <c r="S159" s="148" t="str" cm="1">
        <f t="array" ref="S159">Common_InputFunctions.Utility_DisplayArrayInTable(Fertiliser_SourceData.Fertiliser_Products_Data3(), FertiliserProducts[[#Headers],[Company]],61)</f>
        <v/>
      </c>
      <c r="T159" s="148" t="str" cm="1">
        <f t="array" ref="T159">Common_InputFunctions.Utility_DisplayArrayInTable(Fertiliser_SourceData.Fertiliser_Products_Data3(), FertiliserProducts[[#Headers],[Company]],61)</f>
        <v/>
      </c>
      <c r="U159" s="148" t="str" cm="1">
        <f t="array" ref="U159">Common_InputFunctions.Utility_DisplayArrayInTable(Fertiliser_SourceData.Fertiliser_Products_Data3(), FertiliserProducts[[#Headers],[Company]],61)</f>
        <v/>
      </c>
      <c r="V159" s="148" t="str" cm="1">
        <f t="array" ref="V159">Common_InputFunctions.Utility_DisplayArrayInTable(Fertiliser_SourceData.Fertiliser_Products_Data3(), FertiliserProducts[[#Headers],[Company]],61)</f>
        <v/>
      </c>
      <c r="W159" s="148" t="str" cm="1">
        <f t="array" ref="W159">Common_InputFunctions.Utility_DisplayArrayInTable(Fertiliser_SourceData.Fertiliser_Products_Data3(), FertiliserProducts[[#Headers],[Company]],61)</f>
        <v/>
      </c>
      <c r="X159" s="148" t="str" cm="1">
        <f t="array" ref="X159">Common_InputFunctions.Utility_DisplayArrayInTable(Fertiliser_SourceData.Fertiliser_Products_Data3(), FertiliserProducts[[#Headers],[Company]],61)</f>
        <v/>
      </c>
      <c r="Y159" s="148" t="str" cm="1">
        <f t="array" ref="Y159">Common_InputFunctions.Utility_DisplayArrayInTable(Fertiliser_SourceData.Fertiliser_Products_Data3(), FertiliserProducts[[#Headers],[Company]],61)</f>
        <v/>
      </c>
      <c r="Z159" s="148" t="str" cm="1">
        <f t="array" ref="Z159">Common_InputFunctions.Utility_DisplayArrayInTable(Fertiliser_SourceData.Fertiliser_Products_Data3(), FertiliserProducts[[#Headers],[Company]],61)</f>
        <v/>
      </c>
      <c r="AA159" s="148" t="str" cm="1">
        <f t="array" ref="AA159">Common_InputFunctions.Utility_DisplayArrayInTable(Fertiliser_SourceData.Fertiliser_Products_Data3(), FertiliserProducts[[#Headers],[Company]],61)</f>
        <v/>
      </c>
      <c r="AB159" s="148" t="str" cm="1">
        <f t="array" ref="AB159">Common_InputFunctions.Utility_DisplayArrayInTable(Fertiliser_SourceData.Fertiliser_Products_Data3(), FertiliserProducts[[#Headers],[Company]],61)</f>
        <v/>
      </c>
      <c r="AC159" s="148" t="str" cm="1">
        <f t="array" ref="AC159">Common_InputFunctions.Utility_DisplayArrayInTable(Fertiliser_SourceData.Fertiliser_Products_Data3(), FertiliserProducts[[#Headers],[Company]],61)</f>
        <v/>
      </c>
      <c r="AD159" s="148" t="str" cm="1">
        <f t="array" ref="AD159">Common_InputFunctions.Utility_DisplayArrayInTable(Fertiliser_SourceData.Fertiliser_Products_Data3(), FertiliserProducts[[#Headers],[Company]],61)</f>
        <v/>
      </c>
      <c r="AE159" s="148" t="str" cm="1">
        <f t="array" ref="AE159">Common_InputFunctions.Utility_DisplayArrayInTable(Fertiliser_SourceData.Fertiliser_Products_Data3(), FertiliserProducts[[#Headers],[Company]],61)</f>
        <v/>
      </c>
      <c r="AF159" s="148" t="str" cm="1">
        <f t="array" ref="AF159">Common_InputFunctions.Utility_DisplayArrayInTable(Fertiliser_SourceData.Fertiliser_Products_Data3(), FertiliserProducts[[#Headers],[Company]],61)</f>
        <v/>
      </c>
      <c r="AG159" s="148" t="str" cm="1">
        <f t="array" ref="AG159">Common_InputFunctions.Utility_DisplayArrayInTable(Fertiliser_SourceData.Fertiliser_Products_Data3(), FertiliserProducts[[#Headers],[Company]],61)</f>
        <v/>
      </c>
      <c r="AH159" s="148" t="str" cm="1">
        <f t="array" ref="AH159">Common_InputFunctions.Utility_DisplayArrayInTable(Fertiliser_SourceData.Fertiliser_Products_Data3(), FertiliserProducts[[#Headers],[Company]],61)</f>
        <v/>
      </c>
      <c r="AK159" s="1"/>
    </row>
    <row r="160" spans="1:39" ht="20.100000000000001" customHeight="1" x14ac:dyDescent="0.2">
      <c r="D160" s="148" t="str" cm="1">
        <f t="array" ref="D160">Common_InputFunctions.Utility_DisplayArrayInTable(Fertiliser_SourceData.Fertiliser_Products_Data3(), FertiliserProducts[[#Headers],[Company]],61)</f>
        <v>Impact Fertilisers</v>
      </c>
      <c r="E160" s="148" t="str" cm="1">
        <f t="array" ref="E160">Common_InputFunctions.Utility_DisplayArrayInTable(Fertiliser_SourceData.Fertiliser_Products_Data3(), FertiliserProducts[[#Headers],[Company]],61)</f>
        <v>ZincStar</v>
      </c>
      <c r="F160" s="148" t="str" cm="1">
        <f t="array" ref="F160">Common_InputFunctions.Utility_DisplayArrayInTable(Fertiliser_SourceData.Fertiliser_Products_Data3(), FertiliserProducts[[#Headers],[Company]],61)</f>
        <v>kg</v>
      </c>
      <c r="G160" s="148" cm="1">
        <f t="array" ref="G160">Common_InputFunctions.Utility_DisplayArrayInTable(Fertiliser_SourceData.Fertiliser_Products_Data3(), FertiliserProducts[[#Headers],[Company]],61)</f>
        <v>1</v>
      </c>
      <c r="H160" s="148" t="str" cm="1">
        <f t="array" ref="H160">Common_InputFunctions.Utility_DisplayArrayInTable(Fertiliser_SourceData.Fertiliser_Products_Data3(), FertiliserProducts[[#Headers],[Company]],61)</f>
        <v/>
      </c>
      <c r="I160" s="148" t="str" cm="1">
        <f t="array" ref="I160">Common_InputFunctions.Utility_DisplayArrayInTable(Fertiliser_SourceData.Fertiliser_Products_Data3(), FertiliserProducts[[#Headers],[Company]],61)</f>
        <v/>
      </c>
      <c r="J160" s="148" t="str" cm="1">
        <f t="array" ref="J160">Common_InputFunctions.Utility_DisplayArrayInTable(Fertiliser_SourceData.Fertiliser_Products_Data3(), FertiliserProducts[[#Headers],[Company]],61)</f>
        <v/>
      </c>
      <c r="K160" s="148" cm="1">
        <f t="array" ref="K160">Common_InputFunctions.Utility_DisplayArrayInTable(Fertiliser_SourceData.Fertiliser_Products_Data3(), FertiliserProducts[[#Headers],[Company]],61)</f>
        <v>10</v>
      </c>
      <c r="L160" s="148" cm="1">
        <f t="array" ref="L160">Common_InputFunctions.Utility_DisplayArrayInTable(Fertiliser_SourceData.Fertiliser_Products_Data3(), FertiliserProducts[[#Headers],[Company]],61)</f>
        <v>21.9</v>
      </c>
      <c r="M160" s="148" cm="1">
        <f t="array" ref="M160">Common_InputFunctions.Utility_DisplayArrayInTable(Fertiliser_SourceData.Fertiliser_Products_Data3(), FertiliserProducts[[#Headers],[Company]],61)</f>
        <v>0</v>
      </c>
      <c r="N160" s="148" cm="1">
        <f t="array" ref="N160">Common_InputFunctions.Utility_DisplayArrayInTable(Fertiliser_SourceData.Fertiliser_Products_Data3(), FertiliserProducts[[#Headers],[Company]],61)</f>
        <v>2</v>
      </c>
      <c r="O160" s="148" t="str" cm="1">
        <f t="array" ref="O160">Common_InputFunctions.Utility_DisplayArrayInTable(Fertiliser_SourceData.Fertiliser_Products_Data3(), FertiliserProducts[[#Headers],[Company]],61)</f>
        <v>Monoammonium phosphate (MAP)</v>
      </c>
      <c r="P160" s="148" cm="1">
        <f t="array" ref="P160">Common_InputFunctions.Utility_DisplayArrayInTable(Fertiliser_SourceData.Fertiliser_Products_Data3(), FertiliserProducts[[#Headers],[Company]],61)</f>
        <v>1</v>
      </c>
      <c r="Q160" s="148" t="str" cm="1">
        <f t="array" ref="Q160">Common_InputFunctions.Utility_DisplayArrayInTable(Fertiliser_SourceData.Fertiliser_Products_Data3(), FertiliserProducts[[#Headers],[Company]],61)</f>
        <v>Zinc</v>
      </c>
      <c r="R160" s="148" cm="1">
        <f t="array" ref="R160">Common_InputFunctions.Utility_DisplayArrayInTable(Fertiliser_SourceData.Fertiliser_Products_Data3(), FertiliserProducts[[#Headers],[Company]],61)</f>
        <v>0.01</v>
      </c>
      <c r="S160" s="148" t="str" cm="1">
        <f t="array" ref="S160">Common_InputFunctions.Utility_DisplayArrayInTable(Fertiliser_SourceData.Fertiliser_Products_Data3(), FertiliserProducts[[#Headers],[Company]],61)</f>
        <v/>
      </c>
      <c r="T160" s="148" t="str" cm="1">
        <f t="array" ref="T160">Common_InputFunctions.Utility_DisplayArrayInTable(Fertiliser_SourceData.Fertiliser_Products_Data3(), FertiliserProducts[[#Headers],[Company]],61)</f>
        <v/>
      </c>
      <c r="U160" s="148" t="str" cm="1">
        <f t="array" ref="U160">Common_InputFunctions.Utility_DisplayArrayInTable(Fertiliser_SourceData.Fertiliser_Products_Data3(), FertiliserProducts[[#Headers],[Company]],61)</f>
        <v/>
      </c>
      <c r="V160" s="148" t="str" cm="1">
        <f t="array" ref="V160">Common_InputFunctions.Utility_DisplayArrayInTable(Fertiliser_SourceData.Fertiliser_Products_Data3(), FertiliserProducts[[#Headers],[Company]],61)</f>
        <v/>
      </c>
      <c r="W160" s="148" t="str" cm="1">
        <f t="array" ref="W160">Common_InputFunctions.Utility_DisplayArrayInTable(Fertiliser_SourceData.Fertiliser_Products_Data3(), FertiliserProducts[[#Headers],[Company]],61)</f>
        <v/>
      </c>
      <c r="X160" s="148" t="str" cm="1">
        <f t="array" ref="X160">Common_InputFunctions.Utility_DisplayArrayInTable(Fertiliser_SourceData.Fertiliser_Products_Data3(), FertiliserProducts[[#Headers],[Company]],61)</f>
        <v/>
      </c>
      <c r="Y160" s="148" t="str" cm="1">
        <f t="array" ref="Y160">Common_InputFunctions.Utility_DisplayArrayInTable(Fertiliser_SourceData.Fertiliser_Products_Data3(), FertiliserProducts[[#Headers],[Company]],61)</f>
        <v/>
      </c>
      <c r="Z160" s="148" t="str" cm="1">
        <f t="array" ref="Z160">Common_InputFunctions.Utility_DisplayArrayInTable(Fertiliser_SourceData.Fertiliser_Products_Data3(), FertiliserProducts[[#Headers],[Company]],61)</f>
        <v/>
      </c>
      <c r="AA160" s="148" t="str" cm="1">
        <f t="array" ref="AA160">Common_InputFunctions.Utility_DisplayArrayInTable(Fertiliser_SourceData.Fertiliser_Products_Data3(), FertiliserProducts[[#Headers],[Company]],61)</f>
        <v/>
      </c>
      <c r="AB160" s="148" t="str" cm="1">
        <f t="array" ref="AB160">Common_InputFunctions.Utility_DisplayArrayInTable(Fertiliser_SourceData.Fertiliser_Products_Data3(), FertiliserProducts[[#Headers],[Company]],61)</f>
        <v/>
      </c>
      <c r="AC160" s="148" t="str" cm="1">
        <f t="array" ref="AC160">Common_InputFunctions.Utility_DisplayArrayInTable(Fertiliser_SourceData.Fertiliser_Products_Data3(), FertiliserProducts[[#Headers],[Company]],61)</f>
        <v/>
      </c>
      <c r="AD160" s="148" t="str" cm="1">
        <f t="array" ref="AD160">Common_InputFunctions.Utility_DisplayArrayInTable(Fertiliser_SourceData.Fertiliser_Products_Data3(), FertiliserProducts[[#Headers],[Company]],61)</f>
        <v/>
      </c>
      <c r="AE160" s="148" t="str" cm="1">
        <f t="array" ref="AE160">Common_InputFunctions.Utility_DisplayArrayInTable(Fertiliser_SourceData.Fertiliser_Products_Data3(), FertiliserProducts[[#Headers],[Company]],61)</f>
        <v/>
      </c>
      <c r="AF160" s="148" t="str" cm="1">
        <f t="array" ref="AF160">Common_InputFunctions.Utility_DisplayArrayInTable(Fertiliser_SourceData.Fertiliser_Products_Data3(), FertiliserProducts[[#Headers],[Company]],61)</f>
        <v/>
      </c>
      <c r="AG160" s="148" t="str" cm="1">
        <f t="array" ref="AG160">Common_InputFunctions.Utility_DisplayArrayInTable(Fertiliser_SourceData.Fertiliser_Products_Data3(), FertiliserProducts[[#Headers],[Company]],61)</f>
        <v/>
      </c>
      <c r="AH160" s="148" t="str" cm="1">
        <f t="array" ref="AH160">Common_InputFunctions.Utility_DisplayArrayInTable(Fertiliser_SourceData.Fertiliser_Products_Data3(), FertiliserProducts[[#Headers],[Company]],61)</f>
        <v/>
      </c>
      <c r="AK160" s="1"/>
    </row>
    <row r="161" spans="4:37" ht="20.100000000000001" customHeight="1" x14ac:dyDescent="0.2">
      <c r="D161" s="148" t="str" cm="1">
        <f t="array" ref="D161">Common_InputFunctions.Utility_DisplayArrayInTable(Fertiliser_SourceData.Fertiliser_Products_Data3(), FertiliserProducts[[#Headers],[Company]],61)</f>
        <v>Baileys (Simplot) [listed as Impact]</v>
      </c>
      <c r="E161" s="148" t="str" cm="1">
        <f t="array" ref="E161">Common_InputFunctions.Utility_DisplayArrayInTable(Fertiliser_SourceData.Fertiliser_Products_Data3(), FertiliserProducts[[#Headers],[Company]],61)</f>
        <v>Apex GaIXe Low P 21-1-6</v>
      </c>
      <c r="F161" s="148" t="str" cm="1">
        <f t="array" ref="F161">Common_InputFunctions.Utility_DisplayArrayInTable(Fertiliser_SourceData.Fertiliser_Products_Data3(), FertiliserProducts[[#Headers],[Company]],61)</f>
        <v>kg</v>
      </c>
      <c r="G161" s="148" cm="1">
        <f t="array" ref="G161">Common_InputFunctions.Utility_DisplayArrayInTable(Fertiliser_SourceData.Fertiliser_Products_Data3(), FertiliserProducts[[#Headers],[Company]],61)</f>
        <v>1</v>
      </c>
      <c r="H161" s="148" t="str" cm="1">
        <f t="array" ref="H161">Common_InputFunctions.Utility_DisplayArrayInTable(Fertiliser_SourceData.Fertiliser_Products_Data3(), FertiliserProducts[[#Headers],[Company]],61)</f>
        <v/>
      </c>
      <c r="I161" s="148" t="str" cm="1">
        <f t="array" ref="I161">Common_InputFunctions.Utility_DisplayArrayInTable(Fertiliser_SourceData.Fertiliser_Products_Data3(), FertiliserProducts[[#Headers],[Company]],61)</f>
        <v/>
      </c>
      <c r="J161" s="148" t="str" cm="1">
        <f t="array" ref="J161">Common_InputFunctions.Utility_DisplayArrayInTable(Fertiliser_SourceData.Fertiliser_Products_Data3(), FertiliserProducts[[#Headers],[Company]],61)</f>
        <v/>
      </c>
      <c r="K161" s="148" cm="1">
        <f t="array" ref="K161">Common_InputFunctions.Utility_DisplayArrayInTable(Fertiliser_SourceData.Fertiliser_Products_Data3(), FertiliserProducts[[#Headers],[Company]],61)</f>
        <v>21</v>
      </c>
      <c r="L161" s="148" cm="1">
        <f t="array" ref="L161">Common_InputFunctions.Utility_DisplayArrayInTable(Fertiliser_SourceData.Fertiliser_Products_Data3(), FertiliserProducts[[#Headers],[Company]],61)</f>
        <v>0.86</v>
      </c>
      <c r="M161" s="148" cm="1">
        <f t="array" ref="M161">Common_InputFunctions.Utility_DisplayArrayInTable(Fertiliser_SourceData.Fertiliser_Products_Data3(), FertiliserProducts[[#Headers],[Company]],61)</f>
        <v>5.8</v>
      </c>
      <c r="N161" s="148" cm="1">
        <f t="array" ref="N161">Common_InputFunctions.Utility_DisplayArrayInTable(Fertiliser_SourceData.Fertiliser_Products_Data3(), FertiliserProducts[[#Headers],[Company]],61)</f>
        <v>4.2</v>
      </c>
      <c r="O161" s="148" t="str" cm="1">
        <f t="array" ref="O161">Common_InputFunctions.Utility_DisplayArrayInTable(Fertiliser_SourceData.Fertiliser_Products_Data3(), FertiliserProducts[[#Headers],[Company]],61)</f>
        <v>Nitrogen - Generic</v>
      </c>
      <c r="P161" s="148" cm="1">
        <f t="array" ref="P161">Common_InputFunctions.Utility_DisplayArrayInTable(Fertiliser_SourceData.Fertiliser_Products_Data3(), FertiliserProducts[[#Headers],[Company]],61)</f>
        <v>0.21</v>
      </c>
      <c r="Q161" s="148" t="str" cm="1">
        <f t="array" ref="Q161">Common_InputFunctions.Utility_DisplayArrayInTable(Fertiliser_SourceData.Fertiliser_Products_Data3(), FertiliserProducts[[#Headers],[Company]],61)</f>
        <v>Potassium - Generic</v>
      </c>
      <c r="R161" s="148" cm="1">
        <f t="array" ref="R161">Common_InputFunctions.Utility_DisplayArrayInTable(Fertiliser_SourceData.Fertiliser_Products_Data3(), FertiliserProducts[[#Headers],[Company]],61)</f>
        <v>5.8000000000000003E-2</v>
      </c>
      <c r="S161" s="148" t="str" cm="1">
        <f t="array" ref="S161">Common_InputFunctions.Utility_DisplayArrayInTable(Fertiliser_SourceData.Fertiliser_Products_Data3(), FertiliserProducts[[#Headers],[Company]],61)</f>
        <v>Sulfur - Generic</v>
      </c>
      <c r="T161" s="148" cm="1">
        <f t="array" ref="T161">Common_InputFunctions.Utility_DisplayArrayInTable(Fertiliser_SourceData.Fertiliser_Products_Data3(), FertiliserProducts[[#Headers],[Company]],61)</f>
        <v>4.2000000000000003E-2</v>
      </c>
      <c r="U161" s="148" t="str" cm="1">
        <f t="array" ref="U161">Common_InputFunctions.Utility_DisplayArrayInTable(Fertiliser_SourceData.Fertiliser_Products_Data3(), FertiliserProducts[[#Headers],[Company]],61)</f>
        <v>Phosphorus - Generic</v>
      </c>
      <c r="V161" s="148" cm="1">
        <f t="array" ref="V161">Common_InputFunctions.Utility_DisplayArrayInTable(Fertiliser_SourceData.Fertiliser_Products_Data3(), FertiliserProducts[[#Headers],[Company]],61)</f>
        <v>8.6E-3</v>
      </c>
      <c r="W161" s="148" t="str" cm="1">
        <f t="array" ref="W161">Common_InputFunctions.Utility_DisplayArrayInTable(Fertiliser_SourceData.Fertiliser_Products_Data3(), FertiliserProducts[[#Headers],[Company]],61)</f>
        <v/>
      </c>
      <c r="X161" s="148" t="str" cm="1">
        <f t="array" ref="X161">Common_InputFunctions.Utility_DisplayArrayInTable(Fertiliser_SourceData.Fertiliser_Products_Data3(), FertiliserProducts[[#Headers],[Company]],61)</f>
        <v/>
      </c>
      <c r="Y161" s="148" t="str" cm="1">
        <f t="array" ref="Y161">Common_InputFunctions.Utility_DisplayArrayInTable(Fertiliser_SourceData.Fertiliser_Products_Data3(), FertiliserProducts[[#Headers],[Company]],61)</f>
        <v/>
      </c>
      <c r="Z161" s="148" t="str" cm="1">
        <f t="array" ref="Z161">Common_InputFunctions.Utility_DisplayArrayInTable(Fertiliser_SourceData.Fertiliser_Products_Data3(), FertiliserProducts[[#Headers],[Company]],61)</f>
        <v/>
      </c>
      <c r="AA161" s="148" t="str" cm="1">
        <f t="array" ref="AA161">Common_InputFunctions.Utility_DisplayArrayInTable(Fertiliser_SourceData.Fertiliser_Products_Data3(), FertiliserProducts[[#Headers],[Company]],61)</f>
        <v/>
      </c>
      <c r="AB161" s="148" t="str" cm="1">
        <f t="array" ref="AB161">Common_InputFunctions.Utility_DisplayArrayInTable(Fertiliser_SourceData.Fertiliser_Products_Data3(), FertiliserProducts[[#Headers],[Company]],61)</f>
        <v/>
      </c>
      <c r="AC161" s="148" t="str" cm="1">
        <f t="array" ref="AC161">Common_InputFunctions.Utility_DisplayArrayInTable(Fertiliser_SourceData.Fertiliser_Products_Data3(), FertiliserProducts[[#Headers],[Company]],61)</f>
        <v/>
      </c>
      <c r="AD161" s="148" t="str" cm="1">
        <f t="array" ref="AD161">Common_InputFunctions.Utility_DisplayArrayInTable(Fertiliser_SourceData.Fertiliser_Products_Data3(), FertiliserProducts[[#Headers],[Company]],61)</f>
        <v/>
      </c>
      <c r="AE161" s="148" t="str" cm="1">
        <f t="array" ref="AE161">Common_InputFunctions.Utility_DisplayArrayInTable(Fertiliser_SourceData.Fertiliser_Products_Data3(), FertiliserProducts[[#Headers],[Company]],61)</f>
        <v/>
      </c>
      <c r="AF161" s="148" t="str" cm="1">
        <f t="array" ref="AF161">Common_InputFunctions.Utility_DisplayArrayInTable(Fertiliser_SourceData.Fertiliser_Products_Data3(), FertiliserProducts[[#Headers],[Company]],61)</f>
        <v/>
      </c>
      <c r="AG161" s="148" t="str" cm="1">
        <f t="array" ref="AG161">Common_InputFunctions.Utility_DisplayArrayInTable(Fertiliser_SourceData.Fertiliser_Products_Data3(), FertiliserProducts[[#Headers],[Company]],61)</f>
        <v/>
      </c>
      <c r="AH161" s="148" t="str" cm="1">
        <f t="array" ref="AH161">Common_InputFunctions.Utility_DisplayArrayInTable(Fertiliser_SourceData.Fertiliser_Products_Data3(), FertiliserProducts[[#Headers],[Company]],61)</f>
        <v/>
      </c>
      <c r="AK161" s="1"/>
    </row>
    <row r="162" spans="4:37" ht="20.100000000000001" customHeight="1" x14ac:dyDescent="0.2">
      <c r="D162" s="148" t="str" cm="1">
        <f t="array" ref="D162">Common_InputFunctions.Utility_DisplayArrayInTable(Fertiliser_SourceData.Fertiliser_Products_Data3(), FertiliserProducts[[#Headers],[Company]],61)</f>
        <v>Incitec Pivot Fertilisers</v>
      </c>
      <c r="E162" s="148" t="str" cm="1">
        <f t="array" ref="E162">Common_InputFunctions.Utility_DisplayArrayInTable(Fertiliser_SourceData.Fertiliser_Products_Data3(), FertiliserProducts[[#Headers],[Company]],61)</f>
        <v>SuPerfect</v>
      </c>
      <c r="F162" s="148" t="str" cm="1">
        <f t="array" ref="F162">Common_InputFunctions.Utility_DisplayArrayInTable(Fertiliser_SourceData.Fertiliser_Products_Data3(), FertiliserProducts[[#Headers],[Company]],61)</f>
        <v>kg</v>
      </c>
      <c r="G162" s="148" cm="1">
        <f t="array" ref="G162">Common_InputFunctions.Utility_DisplayArrayInTable(Fertiliser_SourceData.Fertiliser_Products_Data3(), FertiliserProducts[[#Headers],[Company]],61)</f>
        <v>1</v>
      </c>
      <c r="H162" s="148" t="str" cm="1">
        <f t="array" ref="H162">Common_InputFunctions.Utility_DisplayArrayInTable(Fertiliser_SourceData.Fertiliser_Products_Data3(), FertiliserProducts[[#Headers],[Company]],61)</f>
        <v/>
      </c>
      <c r="I162" s="148" t="str" cm="1">
        <f t="array" ref="I162">Common_InputFunctions.Utility_DisplayArrayInTable(Fertiliser_SourceData.Fertiliser_Products_Data3(), FertiliserProducts[[#Headers],[Company]],61)</f>
        <v/>
      </c>
      <c r="J162" s="148" t="str" cm="1">
        <f t="array" ref="J162">Common_InputFunctions.Utility_DisplayArrayInTable(Fertiliser_SourceData.Fertiliser_Products_Data3(), FertiliserProducts[[#Headers],[Company]],61)</f>
        <v/>
      </c>
      <c r="K162" s="148" t="str" cm="1">
        <f t="array" ref="K162">Common_InputFunctions.Utility_DisplayArrayInTable(Fertiliser_SourceData.Fertiliser_Products_Data3(), FertiliserProducts[[#Headers],[Company]],61)</f>
        <v/>
      </c>
      <c r="L162" s="148" cm="1">
        <f t="array" ref="L162">Common_InputFunctions.Utility_DisplayArrayInTable(Fertiliser_SourceData.Fertiliser_Products_Data3(), FertiliserProducts[[#Headers],[Company]],61)</f>
        <v>8.8000000000000007</v>
      </c>
      <c r="M162" s="148" t="str" cm="1">
        <f t="array" ref="M162">Common_InputFunctions.Utility_DisplayArrayInTable(Fertiliser_SourceData.Fertiliser_Products_Data3(), FertiliserProducts[[#Headers],[Company]],61)</f>
        <v/>
      </c>
      <c r="N162" s="148" cm="1">
        <f t="array" ref="N162">Common_InputFunctions.Utility_DisplayArrayInTable(Fertiliser_SourceData.Fertiliser_Products_Data3(), FertiliserProducts[[#Headers],[Company]],61)</f>
        <v>11</v>
      </c>
      <c r="O162" s="148" t="str" cm="1">
        <f t="array" ref="O162">Common_InputFunctions.Utility_DisplayArrayInTable(Fertiliser_SourceData.Fertiliser_Products_Data3(), FertiliserProducts[[#Headers],[Company]],61)</f>
        <v>Single superphosphate (SSP)</v>
      </c>
      <c r="P162" s="148" cm="1">
        <f t="array" ref="P162">Common_InputFunctions.Utility_DisplayArrayInTable(Fertiliser_SourceData.Fertiliser_Products_Data3(), FertiliserProducts[[#Headers],[Company]],61)</f>
        <v>1</v>
      </c>
      <c r="Q162" s="148" t="str" cm="1">
        <f t="array" ref="Q162">Common_InputFunctions.Utility_DisplayArrayInTable(Fertiliser_SourceData.Fertiliser_Products_Data3(), FertiliserProducts[[#Headers],[Company]],61)</f>
        <v/>
      </c>
      <c r="R162" s="148" t="str" cm="1">
        <f t="array" ref="R162">Common_InputFunctions.Utility_DisplayArrayInTable(Fertiliser_SourceData.Fertiliser_Products_Data3(), FertiliserProducts[[#Headers],[Company]],61)</f>
        <v/>
      </c>
      <c r="S162" s="148" t="str" cm="1">
        <f t="array" ref="S162">Common_InputFunctions.Utility_DisplayArrayInTable(Fertiliser_SourceData.Fertiliser_Products_Data3(), FertiliserProducts[[#Headers],[Company]],61)</f>
        <v/>
      </c>
      <c r="T162" s="148" t="str" cm="1">
        <f t="array" ref="T162">Common_InputFunctions.Utility_DisplayArrayInTable(Fertiliser_SourceData.Fertiliser_Products_Data3(), FertiliserProducts[[#Headers],[Company]],61)</f>
        <v/>
      </c>
      <c r="U162" s="148" t="str" cm="1">
        <f t="array" ref="U162">Common_InputFunctions.Utility_DisplayArrayInTable(Fertiliser_SourceData.Fertiliser_Products_Data3(), FertiliserProducts[[#Headers],[Company]],61)</f>
        <v/>
      </c>
      <c r="V162" s="148" t="str" cm="1">
        <f t="array" ref="V162">Common_InputFunctions.Utility_DisplayArrayInTable(Fertiliser_SourceData.Fertiliser_Products_Data3(), FertiliserProducts[[#Headers],[Company]],61)</f>
        <v/>
      </c>
      <c r="W162" s="148" t="str" cm="1">
        <f t="array" ref="W162">Common_InputFunctions.Utility_DisplayArrayInTable(Fertiliser_SourceData.Fertiliser_Products_Data3(), FertiliserProducts[[#Headers],[Company]],61)</f>
        <v/>
      </c>
      <c r="X162" s="148" t="str" cm="1">
        <f t="array" ref="X162">Common_InputFunctions.Utility_DisplayArrayInTable(Fertiliser_SourceData.Fertiliser_Products_Data3(), FertiliserProducts[[#Headers],[Company]],61)</f>
        <v/>
      </c>
      <c r="Y162" s="148" t="str" cm="1">
        <f t="array" ref="Y162">Common_InputFunctions.Utility_DisplayArrayInTable(Fertiliser_SourceData.Fertiliser_Products_Data3(), FertiliserProducts[[#Headers],[Company]],61)</f>
        <v/>
      </c>
      <c r="Z162" s="148" t="str" cm="1">
        <f t="array" ref="Z162">Common_InputFunctions.Utility_DisplayArrayInTable(Fertiliser_SourceData.Fertiliser_Products_Data3(), FertiliserProducts[[#Headers],[Company]],61)</f>
        <v/>
      </c>
      <c r="AA162" s="148" t="str" cm="1">
        <f t="array" ref="AA162">Common_InputFunctions.Utility_DisplayArrayInTable(Fertiliser_SourceData.Fertiliser_Products_Data3(), FertiliserProducts[[#Headers],[Company]],61)</f>
        <v/>
      </c>
      <c r="AB162" s="148" t="str" cm="1">
        <f t="array" ref="AB162">Common_InputFunctions.Utility_DisplayArrayInTable(Fertiliser_SourceData.Fertiliser_Products_Data3(), FertiliserProducts[[#Headers],[Company]],61)</f>
        <v/>
      </c>
      <c r="AC162" s="148" t="str" cm="1">
        <f t="array" ref="AC162">Common_InputFunctions.Utility_DisplayArrayInTable(Fertiliser_SourceData.Fertiliser_Products_Data3(), FertiliserProducts[[#Headers],[Company]],61)</f>
        <v/>
      </c>
      <c r="AD162" s="148" t="str" cm="1">
        <f t="array" ref="AD162">Common_InputFunctions.Utility_DisplayArrayInTable(Fertiliser_SourceData.Fertiliser_Products_Data3(), FertiliserProducts[[#Headers],[Company]],61)</f>
        <v/>
      </c>
      <c r="AE162" s="148" t="str" cm="1">
        <f t="array" ref="AE162">Common_InputFunctions.Utility_DisplayArrayInTable(Fertiliser_SourceData.Fertiliser_Products_Data3(), FertiliserProducts[[#Headers],[Company]],61)</f>
        <v/>
      </c>
      <c r="AF162" s="148" t="str" cm="1">
        <f t="array" ref="AF162">Common_InputFunctions.Utility_DisplayArrayInTable(Fertiliser_SourceData.Fertiliser_Products_Data3(), FertiliserProducts[[#Headers],[Company]],61)</f>
        <v/>
      </c>
      <c r="AG162" s="148" t="str" cm="1">
        <f t="array" ref="AG162">Common_InputFunctions.Utility_DisplayArrayInTable(Fertiliser_SourceData.Fertiliser_Products_Data3(), FertiliserProducts[[#Headers],[Company]],61)</f>
        <v/>
      </c>
      <c r="AH162" s="148" t="str" cm="1">
        <f t="array" ref="AH162">Common_InputFunctions.Utility_DisplayArrayInTable(Fertiliser_SourceData.Fertiliser_Products_Data3(), FertiliserProducts[[#Headers],[Company]],61)</f>
        <v/>
      </c>
      <c r="AK162" s="1"/>
    </row>
    <row r="163" spans="4:37" ht="20.100000000000001" customHeight="1" x14ac:dyDescent="0.2">
      <c r="D163" s="148" t="str" cm="1">
        <f t="array" ref="D163">Common_InputFunctions.Utility_DisplayArrayInTable(Fertiliser_SourceData.Fertiliser_Products_Data3(), FertiliserProducts[[#Headers],[Company]],61)</f>
        <v>Incitec Pivot Fertilisers [listed as Summit]</v>
      </c>
      <c r="E163" s="148" t="str" cm="1">
        <f t="array" ref="E163">Common_InputFunctions.Utility_DisplayArrayInTable(Fertiliser_SourceData.Fertiliser_Products_Data3(), FertiliserProducts[[#Headers],[Company]],61)</f>
        <v>Big N</v>
      </c>
      <c r="F163" s="148" t="str" cm="1">
        <f t="array" ref="F163">Common_InputFunctions.Utility_DisplayArrayInTable(Fertiliser_SourceData.Fertiliser_Products_Data3(), FertiliserProducts[[#Headers],[Company]],61)</f>
        <v>kg</v>
      </c>
      <c r="G163" s="148" cm="1">
        <f t="array" ref="G163">Common_InputFunctions.Utility_DisplayArrayInTable(Fertiliser_SourceData.Fertiliser_Products_Data3(), FertiliserProducts[[#Headers],[Company]],61)</f>
        <v>1</v>
      </c>
      <c r="H163" s="148" t="str" cm="1">
        <f t="array" ref="H163">Common_InputFunctions.Utility_DisplayArrayInTable(Fertiliser_SourceData.Fertiliser_Products_Data3(), FertiliserProducts[[#Headers],[Company]],61)</f>
        <v/>
      </c>
      <c r="I163" s="148" t="str" cm="1">
        <f t="array" ref="I163">Common_InputFunctions.Utility_DisplayArrayInTable(Fertiliser_SourceData.Fertiliser_Products_Data3(), FertiliserProducts[[#Headers],[Company]],61)</f>
        <v/>
      </c>
      <c r="J163" s="148" t="str" cm="1">
        <f t="array" ref="J163">Common_InputFunctions.Utility_DisplayArrayInTable(Fertiliser_SourceData.Fertiliser_Products_Data3(), FertiliserProducts[[#Headers],[Company]],61)</f>
        <v/>
      </c>
      <c r="K163" s="148" cm="1">
        <f t="array" ref="K163">Common_InputFunctions.Utility_DisplayArrayInTable(Fertiliser_SourceData.Fertiliser_Products_Data3(), FertiliserProducts[[#Headers],[Company]],61)</f>
        <v>82.35</v>
      </c>
      <c r="L163" s="148" t="str" cm="1">
        <f t="array" ref="L163">Common_InputFunctions.Utility_DisplayArrayInTable(Fertiliser_SourceData.Fertiliser_Products_Data3(), FertiliserProducts[[#Headers],[Company]],61)</f>
        <v/>
      </c>
      <c r="M163" s="148" t="str" cm="1">
        <f t="array" ref="M163">Common_InputFunctions.Utility_DisplayArrayInTable(Fertiliser_SourceData.Fertiliser_Products_Data3(), FertiliserProducts[[#Headers],[Company]],61)</f>
        <v/>
      </c>
      <c r="N163" s="148" t="str" cm="1">
        <f t="array" ref="N163">Common_InputFunctions.Utility_DisplayArrayInTable(Fertiliser_SourceData.Fertiliser_Products_Data3(), FertiliserProducts[[#Headers],[Company]],61)</f>
        <v/>
      </c>
      <c r="O163" s="148" t="str" cm="1">
        <f t="array" ref="O163">Common_InputFunctions.Utility_DisplayArrayInTable(Fertiliser_SourceData.Fertiliser_Products_Data3(), FertiliserProducts[[#Headers],[Company]],61)</f>
        <v>Ammonia</v>
      </c>
      <c r="P163" s="148" cm="1">
        <f t="array" ref="P163">Common_InputFunctions.Utility_DisplayArrayInTable(Fertiliser_SourceData.Fertiliser_Products_Data3(), FertiliserProducts[[#Headers],[Company]],61)</f>
        <v>1</v>
      </c>
      <c r="Q163" s="148" t="str" cm="1">
        <f t="array" ref="Q163">Common_InputFunctions.Utility_DisplayArrayInTable(Fertiliser_SourceData.Fertiliser_Products_Data3(), FertiliserProducts[[#Headers],[Company]],61)</f>
        <v/>
      </c>
      <c r="R163" s="148" t="str" cm="1">
        <f t="array" ref="R163">Common_InputFunctions.Utility_DisplayArrayInTable(Fertiliser_SourceData.Fertiliser_Products_Data3(), FertiliserProducts[[#Headers],[Company]],61)</f>
        <v/>
      </c>
      <c r="S163" s="148" t="str" cm="1">
        <f t="array" ref="S163">Common_InputFunctions.Utility_DisplayArrayInTable(Fertiliser_SourceData.Fertiliser_Products_Data3(), FertiliserProducts[[#Headers],[Company]],61)</f>
        <v/>
      </c>
      <c r="T163" s="148" t="str" cm="1">
        <f t="array" ref="T163">Common_InputFunctions.Utility_DisplayArrayInTable(Fertiliser_SourceData.Fertiliser_Products_Data3(), FertiliserProducts[[#Headers],[Company]],61)</f>
        <v/>
      </c>
      <c r="U163" s="148" t="str" cm="1">
        <f t="array" ref="U163">Common_InputFunctions.Utility_DisplayArrayInTable(Fertiliser_SourceData.Fertiliser_Products_Data3(), FertiliserProducts[[#Headers],[Company]],61)</f>
        <v/>
      </c>
      <c r="V163" s="148" t="str" cm="1">
        <f t="array" ref="V163">Common_InputFunctions.Utility_DisplayArrayInTable(Fertiliser_SourceData.Fertiliser_Products_Data3(), FertiliserProducts[[#Headers],[Company]],61)</f>
        <v/>
      </c>
      <c r="W163" s="148" t="str" cm="1">
        <f t="array" ref="W163">Common_InputFunctions.Utility_DisplayArrayInTable(Fertiliser_SourceData.Fertiliser_Products_Data3(), FertiliserProducts[[#Headers],[Company]],61)</f>
        <v/>
      </c>
      <c r="X163" s="148" t="str" cm="1">
        <f t="array" ref="X163">Common_InputFunctions.Utility_DisplayArrayInTable(Fertiliser_SourceData.Fertiliser_Products_Data3(), FertiliserProducts[[#Headers],[Company]],61)</f>
        <v/>
      </c>
      <c r="Y163" s="148" t="str" cm="1">
        <f t="array" ref="Y163">Common_InputFunctions.Utility_DisplayArrayInTable(Fertiliser_SourceData.Fertiliser_Products_Data3(), FertiliserProducts[[#Headers],[Company]],61)</f>
        <v/>
      </c>
      <c r="Z163" s="148" t="str" cm="1">
        <f t="array" ref="Z163">Common_InputFunctions.Utility_DisplayArrayInTable(Fertiliser_SourceData.Fertiliser_Products_Data3(), FertiliserProducts[[#Headers],[Company]],61)</f>
        <v/>
      </c>
      <c r="AA163" s="148" t="str" cm="1">
        <f t="array" ref="AA163">Common_InputFunctions.Utility_DisplayArrayInTable(Fertiliser_SourceData.Fertiliser_Products_Data3(), FertiliserProducts[[#Headers],[Company]],61)</f>
        <v/>
      </c>
      <c r="AB163" s="148" t="str" cm="1">
        <f t="array" ref="AB163">Common_InputFunctions.Utility_DisplayArrayInTable(Fertiliser_SourceData.Fertiliser_Products_Data3(), FertiliserProducts[[#Headers],[Company]],61)</f>
        <v/>
      </c>
      <c r="AC163" s="148" t="str" cm="1">
        <f t="array" ref="AC163">Common_InputFunctions.Utility_DisplayArrayInTable(Fertiliser_SourceData.Fertiliser_Products_Data3(), FertiliserProducts[[#Headers],[Company]],61)</f>
        <v/>
      </c>
      <c r="AD163" s="148" t="str" cm="1">
        <f t="array" ref="AD163">Common_InputFunctions.Utility_DisplayArrayInTable(Fertiliser_SourceData.Fertiliser_Products_Data3(), FertiliserProducts[[#Headers],[Company]],61)</f>
        <v/>
      </c>
      <c r="AE163" s="148" t="str" cm="1">
        <f t="array" ref="AE163">Common_InputFunctions.Utility_DisplayArrayInTable(Fertiliser_SourceData.Fertiliser_Products_Data3(), FertiliserProducts[[#Headers],[Company]],61)</f>
        <v/>
      </c>
      <c r="AF163" s="148" t="str" cm="1">
        <f t="array" ref="AF163">Common_InputFunctions.Utility_DisplayArrayInTable(Fertiliser_SourceData.Fertiliser_Products_Data3(), FertiliserProducts[[#Headers],[Company]],61)</f>
        <v/>
      </c>
      <c r="AG163" s="148" t="str" cm="1">
        <f t="array" ref="AG163">Common_InputFunctions.Utility_DisplayArrayInTable(Fertiliser_SourceData.Fertiliser_Products_Data3(), FertiliserProducts[[#Headers],[Company]],61)</f>
        <v/>
      </c>
      <c r="AH163" s="148" t="str" cm="1">
        <f t="array" ref="AH163">Common_InputFunctions.Utility_DisplayArrayInTable(Fertiliser_SourceData.Fertiliser_Products_Data3(), FertiliserProducts[[#Headers],[Company]],61)</f>
        <v/>
      </c>
      <c r="AK163" s="1"/>
    </row>
    <row r="164" spans="4:37" ht="20.100000000000001" customHeight="1" x14ac:dyDescent="0.2">
      <c r="D164" s="148" t="str" cm="1">
        <f t="array" ref="D164">Common_InputFunctions.Utility_DisplayArrayInTable(Fertiliser_SourceData.Fertiliser_Products_Data3(), FertiliserProducts[[#Headers],[Company]],61)</f>
        <v>Incitec Pivot Fertilisers</v>
      </c>
      <c r="E164" s="148" t="str" cm="1">
        <f t="array" ref="E164">Common_InputFunctions.Utility_DisplayArrayInTable(Fertiliser_SourceData.Fertiliser_Products_Data3(), FertiliserProducts[[#Headers],[Company]],61)</f>
        <v>Entec Urea</v>
      </c>
      <c r="F164" s="148" t="str" cm="1">
        <f t="array" ref="F164">Common_InputFunctions.Utility_DisplayArrayInTable(Fertiliser_SourceData.Fertiliser_Products_Data3(), FertiliserProducts[[#Headers],[Company]],61)</f>
        <v>kg</v>
      </c>
      <c r="G164" s="148" cm="1">
        <f t="array" ref="G164">Common_InputFunctions.Utility_DisplayArrayInTable(Fertiliser_SourceData.Fertiliser_Products_Data3(), FertiliserProducts[[#Headers],[Company]],61)</f>
        <v>1</v>
      </c>
      <c r="H164" s="148" t="str" cm="1">
        <f t="array" ref="H164">Common_InputFunctions.Utility_DisplayArrayInTable(Fertiliser_SourceData.Fertiliser_Products_Data3(), FertiliserProducts[[#Headers],[Company]],61)</f>
        <v>Yes</v>
      </c>
      <c r="I164" s="148" t="str" cm="1">
        <f t="array" ref="I164">Common_InputFunctions.Utility_DisplayArrayInTable(Fertiliser_SourceData.Fertiliser_Products_Data3(), FertiliserProducts[[#Headers],[Company]],61)</f>
        <v/>
      </c>
      <c r="J164" s="148" t="str" cm="1">
        <f t="array" ref="J164">Common_InputFunctions.Utility_DisplayArrayInTable(Fertiliser_SourceData.Fertiliser_Products_Data3(), FertiliserProducts[[#Headers],[Company]],61)</f>
        <v/>
      </c>
      <c r="K164" s="148" cm="1">
        <f t="array" ref="K164">Common_InputFunctions.Utility_DisplayArrayInTable(Fertiliser_SourceData.Fertiliser_Products_Data3(), FertiliserProducts[[#Headers],[Company]],61)</f>
        <v>46</v>
      </c>
      <c r="L164" s="148" t="str" cm="1">
        <f t="array" ref="L164">Common_InputFunctions.Utility_DisplayArrayInTable(Fertiliser_SourceData.Fertiliser_Products_Data3(), FertiliserProducts[[#Headers],[Company]],61)</f>
        <v/>
      </c>
      <c r="M164" s="148" t="str" cm="1">
        <f t="array" ref="M164">Common_InputFunctions.Utility_DisplayArrayInTable(Fertiliser_SourceData.Fertiliser_Products_Data3(), FertiliserProducts[[#Headers],[Company]],61)</f>
        <v/>
      </c>
      <c r="N164" s="148" t="str" cm="1">
        <f t="array" ref="N164">Common_InputFunctions.Utility_DisplayArrayInTable(Fertiliser_SourceData.Fertiliser_Products_Data3(), FertiliserProducts[[#Headers],[Company]],61)</f>
        <v/>
      </c>
      <c r="O164" s="148" t="str" cm="1">
        <f t="array" ref="O164">Common_InputFunctions.Utility_DisplayArrayInTable(Fertiliser_SourceData.Fertiliser_Products_Data3(), FertiliserProducts[[#Headers],[Company]],61)</f>
        <v>Urea</v>
      </c>
      <c r="P164" s="148" cm="1">
        <f t="array" ref="P164">Common_InputFunctions.Utility_DisplayArrayInTable(Fertiliser_SourceData.Fertiliser_Products_Data3(), FertiliserProducts[[#Headers],[Company]],61)</f>
        <v>1</v>
      </c>
      <c r="Q164" s="148" t="str" cm="1">
        <f t="array" ref="Q164">Common_InputFunctions.Utility_DisplayArrayInTable(Fertiliser_SourceData.Fertiliser_Products_Data3(), FertiliserProducts[[#Headers],[Company]],61)</f>
        <v/>
      </c>
      <c r="R164" s="148" t="str" cm="1">
        <f t="array" ref="R164">Common_InputFunctions.Utility_DisplayArrayInTable(Fertiliser_SourceData.Fertiliser_Products_Data3(), FertiliserProducts[[#Headers],[Company]],61)</f>
        <v/>
      </c>
      <c r="S164" s="148" t="str" cm="1">
        <f t="array" ref="S164">Common_InputFunctions.Utility_DisplayArrayInTable(Fertiliser_SourceData.Fertiliser_Products_Data3(), FertiliserProducts[[#Headers],[Company]],61)</f>
        <v/>
      </c>
      <c r="T164" s="148" t="str" cm="1">
        <f t="array" ref="T164">Common_InputFunctions.Utility_DisplayArrayInTable(Fertiliser_SourceData.Fertiliser_Products_Data3(), FertiliserProducts[[#Headers],[Company]],61)</f>
        <v/>
      </c>
      <c r="U164" s="148" t="str" cm="1">
        <f t="array" ref="U164">Common_InputFunctions.Utility_DisplayArrayInTable(Fertiliser_SourceData.Fertiliser_Products_Data3(), FertiliserProducts[[#Headers],[Company]],61)</f>
        <v/>
      </c>
      <c r="V164" s="148" t="str" cm="1">
        <f t="array" ref="V164">Common_InputFunctions.Utility_DisplayArrayInTable(Fertiliser_SourceData.Fertiliser_Products_Data3(), FertiliserProducts[[#Headers],[Company]],61)</f>
        <v/>
      </c>
      <c r="W164" s="148" t="str" cm="1">
        <f t="array" ref="W164">Common_InputFunctions.Utility_DisplayArrayInTable(Fertiliser_SourceData.Fertiliser_Products_Data3(), FertiliserProducts[[#Headers],[Company]],61)</f>
        <v/>
      </c>
      <c r="X164" s="148" t="str" cm="1">
        <f t="array" ref="X164">Common_InputFunctions.Utility_DisplayArrayInTable(Fertiliser_SourceData.Fertiliser_Products_Data3(), FertiliserProducts[[#Headers],[Company]],61)</f>
        <v/>
      </c>
      <c r="Y164" s="148" t="str" cm="1">
        <f t="array" ref="Y164">Common_InputFunctions.Utility_DisplayArrayInTable(Fertiliser_SourceData.Fertiliser_Products_Data3(), FertiliserProducts[[#Headers],[Company]],61)</f>
        <v/>
      </c>
      <c r="Z164" s="148" t="str" cm="1">
        <f t="array" ref="Z164">Common_InputFunctions.Utility_DisplayArrayInTable(Fertiliser_SourceData.Fertiliser_Products_Data3(), FertiliserProducts[[#Headers],[Company]],61)</f>
        <v/>
      </c>
      <c r="AA164" s="148" t="str" cm="1">
        <f t="array" ref="AA164">Common_InputFunctions.Utility_DisplayArrayInTable(Fertiliser_SourceData.Fertiliser_Products_Data3(), FertiliserProducts[[#Headers],[Company]],61)</f>
        <v/>
      </c>
      <c r="AB164" s="148" t="str" cm="1">
        <f t="array" ref="AB164">Common_InputFunctions.Utility_DisplayArrayInTable(Fertiliser_SourceData.Fertiliser_Products_Data3(), FertiliserProducts[[#Headers],[Company]],61)</f>
        <v/>
      </c>
      <c r="AC164" s="148" t="str" cm="1">
        <f t="array" ref="AC164">Common_InputFunctions.Utility_DisplayArrayInTable(Fertiliser_SourceData.Fertiliser_Products_Data3(), FertiliserProducts[[#Headers],[Company]],61)</f>
        <v/>
      </c>
      <c r="AD164" s="148" t="str" cm="1">
        <f t="array" ref="AD164">Common_InputFunctions.Utility_DisplayArrayInTable(Fertiliser_SourceData.Fertiliser_Products_Data3(), FertiliserProducts[[#Headers],[Company]],61)</f>
        <v/>
      </c>
      <c r="AE164" s="148" t="str" cm="1">
        <f t="array" ref="AE164">Common_InputFunctions.Utility_DisplayArrayInTable(Fertiliser_SourceData.Fertiliser_Products_Data3(), FertiliserProducts[[#Headers],[Company]],61)</f>
        <v/>
      </c>
      <c r="AF164" s="148" t="str" cm="1">
        <f t="array" ref="AF164">Common_InputFunctions.Utility_DisplayArrayInTable(Fertiliser_SourceData.Fertiliser_Products_Data3(), FertiliserProducts[[#Headers],[Company]],61)</f>
        <v/>
      </c>
      <c r="AG164" s="148" t="str" cm="1">
        <f t="array" ref="AG164">Common_InputFunctions.Utility_DisplayArrayInTable(Fertiliser_SourceData.Fertiliser_Products_Data3(), FertiliserProducts[[#Headers],[Company]],61)</f>
        <v/>
      </c>
      <c r="AH164" s="148" t="str" cm="1">
        <f t="array" ref="AH164">Common_InputFunctions.Utility_DisplayArrayInTable(Fertiliser_SourceData.Fertiliser_Products_Data3(), FertiliserProducts[[#Headers],[Company]],61)</f>
        <v/>
      </c>
      <c r="AK164" s="1"/>
    </row>
    <row r="165" spans="4:37" ht="20.100000000000001" customHeight="1" x14ac:dyDescent="0.2">
      <c r="D165" s="148" t="str" cm="1">
        <f t="array" ref="D165">Common_InputFunctions.Utility_DisplayArrayInTable(Fertiliser_SourceData.Fertiliser_Products_Data3(), FertiliserProducts[[#Headers],[Company]],61)</f>
        <v>Incitec Pivot Fertilisers (or Ravensdown - see note)</v>
      </c>
      <c r="E165" s="148" t="str" cm="1">
        <f t="array" ref="E165">Common_InputFunctions.Utility_DisplayArrayInTable(Fertiliser_SourceData.Fertiliser_Products_Data3(), FertiliserProducts[[#Headers],[Company]],61)</f>
        <v>Flexi-N NI only</v>
      </c>
      <c r="F165" s="148" t="str" cm="1">
        <f t="array" ref="F165">Common_InputFunctions.Utility_DisplayArrayInTable(Fertiliser_SourceData.Fertiliser_Products_Data3(), FertiliserProducts[[#Headers],[Company]],61)</f>
        <v>kg</v>
      </c>
      <c r="G165" s="148" cm="1">
        <f t="array" ref="G165">Common_InputFunctions.Utility_DisplayArrayInTable(Fertiliser_SourceData.Fertiliser_Products_Data3(), FertiliserProducts[[#Headers],[Company]],61)</f>
        <v>1</v>
      </c>
      <c r="H165" s="148" t="str" cm="1">
        <f t="array" ref="H165">Common_InputFunctions.Utility_DisplayArrayInTable(Fertiliser_SourceData.Fertiliser_Products_Data3(), FertiliserProducts[[#Headers],[Company]],61)</f>
        <v>Yes</v>
      </c>
      <c r="I165" s="148" t="str" cm="1">
        <f t="array" ref="I165">Common_InputFunctions.Utility_DisplayArrayInTable(Fertiliser_SourceData.Fertiliser_Products_Data3(), FertiliserProducts[[#Headers],[Company]],61)</f>
        <v/>
      </c>
      <c r="J165" s="148" t="str" cm="1">
        <f t="array" ref="J165">Common_InputFunctions.Utility_DisplayArrayInTable(Fertiliser_SourceData.Fertiliser_Products_Data3(), FertiliserProducts[[#Headers],[Company]],61)</f>
        <v/>
      </c>
      <c r="K165" s="148" cm="1">
        <f t="array" ref="K165">Common_InputFunctions.Utility_DisplayArrayInTable(Fertiliser_SourceData.Fertiliser_Products_Data3(), FertiliserProducts[[#Headers],[Company]],61)</f>
        <v>45.54</v>
      </c>
      <c r="L165" s="148" t="str" cm="1">
        <f t="array" ref="L165">Common_InputFunctions.Utility_DisplayArrayInTable(Fertiliser_SourceData.Fertiliser_Products_Data3(), FertiliserProducts[[#Headers],[Company]],61)</f>
        <v/>
      </c>
      <c r="M165" s="148" t="str" cm="1">
        <f t="array" ref="M165">Common_InputFunctions.Utility_DisplayArrayInTable(Fertiliser_SourceData.Fertiliser_Products_Data3(), FertiliserProducts[[#Headers],[Company]],61)</f>
        <v/>
      </c>
      <c r="N165" s="148" t="str" cm="1">
        <f t="array" ref="N165">Common_InputFunctions.Utility_DisplayArrayInTable(Fertiliser_SourceData.Fertiliser_Products_Data3(), FertiliserProducts[[#Headers],[Company]],61)</f>
        <v/>
      </c>
      <c r="O165" s="148" t="str" cm="1">
        <f t="array" ref="O165">Common_InputFunctions.Utility_DisplayArrayInTable(Fertiliser_SourceData.Fertiliser_Products_Data3(), FertiliserProducts[[#Headers],[Company]],61)</f>
        <v>Urea</v>
      </c>
      <c r="P165" s="148" cm="1">
        <f t="array" ref="P165">Common_InputFunctions.Utility_DisplayArrayInTable(Fertiliser_SourceData.Fertiliser_Products_Data3(), FertiliserProducts[[#Headers],[Company]],61)</f>
        <v>0.99</v>
      </c>
      <c r="Q165" s="148" t="str" cm="1">
        <f t="array" ref="Q165">Common_InputFunctions.Utility_DisplayArrayInTable(Fertiliser_SourceData.Fertiliser_Products_Data3(), FertiliserProducts[[#Headers],[Company]],61)</f>
        <v>Urease/nitrification inhibitor</v>
      </c>
      <c r="R165" s="148" cm="1">
        <f t="array" ref="R165">Common_InputFunctions.Utility_DisplayArrayInTable(Fertiliser_SourceData.Fertiliser_Products_Data3(), FertiliserProducts[[#Headers],[Company]],61)</f>
        <v>0.01</v>
      </c>
      <c r="S165" s="148" t="str" cm="1">
        <f t="array" ref="S165">Common_InputFunctions.Utility_DisplayArrayInTable(Fertiliser_SourceData.Fertiliser_Products_Data3(), FertiliserProducts[[#Headers],[Company]],61)</f>
        <v/>
      </c>
      <c r="T165" s="148" t="str" cm="1">
        <f t="array" ref="T165">Common_InputFunctions.Utility_DisplayArrayInTable(Fertiliser_SourceData.Fertiliser_Products_Data3(), FertiliserProducts[[#Headers],[Company]],61)</f>
        <v/>
      </c>
      <c r="U165" s="148" t="str" cm="1">
        <f t="array" ref="U165">Common_InputFunctions.Utility_DisplayArrayInTable(Fertiliser_SourceData.Fertiliser_Products_Data3(), FertiliserProducts[[#Headers],[Company]],61)</f>
        <v/>
      </c>
      <c r="V165" s="148" t="str" cm="1">
        <f t="array" ref="V165">Common_InputFunctions.Utility_DisplayArrayInTable(Fertiliser_SourceData.Fertiliser_Products_Data3(), FertiliserProducts[[#Headers],[Company]],61)</f>
        <v/>
      </c>
      <c r="W165" s="148" t="str" cm="1">
        <f t="array" ref="W165">Common_InputFunctions.Utility_DisplayArrayInTable(Fertiliser_SourceData.Fertiliser_Products_Data3(), FertiliserProducts[[#Headers],[Company]],61)</f>
        <v/>
      </c>
      <c r="X165" s="148" t="str" cm="1">
        <f t="array" ref="X165">Common_InputFunctions.Utility_DisplayArrayInTable(Fertiliser_SourceData.Fertiliser_Products_Data3(), FertiliserProducts[[#Headers],[Company]],61)</f>
        <v/>
      </c>
      <c r="Y165" s="148" t="str" cm="1">
        <f t="array" ref="Y165">Common_InputFunctions.Utility_DisplayArrayInTable(Fertiliser_SourceData.Fertiliser_Products_Data3(), FertiliserProducts[[#Headers],[Company]],61)</f>
        <v/>
      </c>
      <c r="Z165" s="148" t="str" cm="1">
        <f t="array" ref="Z165">Common_InputFunctions.Utility_DisplayArrayInTable(Fertiliser_SourceData.Fertiliser_Products_Data3(), FertiliserProducts[[#Headers],[Company]],61)</f>
        <v/>
      </c>
      <c r="AA165" s="148" t="str" cm="1">
        <f t="array" ref="AA165">Common_InputFunctions.Utility_DisplayArrayInTable(Fertiliser_SourceData.Fertiliser_Products_Data3(), FertiliserProducts[[#Headers],[Company]],61)</f>
        <v/>
      </c>
      <c r="AB165" s="148" t="str" cm="1">
        <f t="array" ref="AB165">Common_InputFunctions.Utility_DisplayArrayInTable(Fertiliser_SourceData.Fertiliser_Products_Data3(), FertiliserProducts[[#Headers],[Company]],61)</f>
        <v/>
      </c>
      <c r="AC165" s="148" t="str" cm="1">
        <f t="array" ref="AC165">Common_InputFunctions.Utility_DisplayArrayInTable(Fertiliser_SourceData.Fertiliser_Products_Data3(), FertiliserProducts[[#Headers],[Company]],61)</f>
        <v/>
      </c>
      <c r="AD165" s="148" t="str" cm="1">
        <f t="array" ref="AD165">Common_InputFunctions.Utility_DisplayArrayInTable(Fertiliser_SourceData.Fertiliser_Products_Data3(), FertiliserProducts[[#Headers],[Company]],61)</f>
        <v/>
      </c>
      <c r="AE165" s="148" t="str" cm="1">
        <f t="array" ref="AE165">Common_InputFunctions.Utility_DisplayArrayInTable(Fertiliser_SourceData.Fertiliser_Products_Data3(), FertiliserProducts[[#Headers],[Company]],61)</f>
        <v/>
      </c>
      <c r="AF165" s="148" t="str" cm="1">
        <f t="array" ref="AF165">Common_InputFunctions.Utility_DisplayArrayInTable(Fertiliser_SourceData.Fertiliser_Products_Data3(), FertiliserProducts[[#Headers],[Company]],61)</f>
        <v/>
      </c>
      <c r="AG165" s="148" t="str" cm="1">
        <f t="array" ref="AG165">Common_InputFunctions.Utility_DisplayArrayInTable(Fertiliser_SourceData.Fertiliser_Products_Data3(), FertiliserProducts[[#Headers],[Company]],61)</f>
        <v/>
      </c>
      <c r="AH165" s="148" t="str" cm="1">
        <f t="array" ref="AH165">Common_InputFunctions.Utility_DisplayArrayInTable(Fertiliser_SourceData.Fertiliser_Products_Data3(), FertiliserProducts[[#Headers],[Company]],61)</f>
        <v/>
      </c>
      <c r="AK165" s="1"/>
    </row>
    <row r="166" spans="4:37" ht="20.100000000000001" customHeight="1" x14ac:dyDescent="0.2">
      <c r="D166" s="148" t="str" cm="1">
        <f t="array" ref="D166">Common_InputFunctions.Utility_DisplayArrayInTable(Fertiliser_SourceData.Fertiliser_Products_Data3(), FertiliserProducts[[#Headers],[Company]],61)</f>
        <v>Nutri-Tech Solutions (NTS)</v>
      </c>
      <c r="E166" s="148" t="str" cm="1">
        <f t="array" ref="E166">Common_InputFunctions.Utility_DisplayArrayInTable(Fertiliser_SourceData.Fertiliser_Products_Data3(), FertiliserProducts[[#Headers],[Company]],61)</f>
        <v>Muriate Of Potash MOP</v>
      </c>
      <c r="F166" s="148" t="str" cm="1">
        <f t="array" ref="F166">Common_InputFunctions.Utility_DisplayArrayInTable(Fertiliser_SourceData.Fertiliser_Products_Data3(), FertiliserProducts[[#Headers],[Company]],61)</f>
        <v>kg</v>
      </c>
      <c r="G166" s="148" cm="1">
        <f t="array" ref="G166">Common_InputFunctions.Utility_DisplayArrayInTable(Fertiliser_SourceData.Fertiliser_Products_Data3(), FertiliserProducts[[#Headers],[Company]],61)</f>
        <v>1</v>
      </c>
      <c r="H166" s="148" t="str" cm="1">
        <f t="array" ref="H166">Common_InputFunctions.Utility_DisplayArrayInTable(Fertiliser_SourceData.Fertiliser_Products_Data3(), FertiliserProducts[[#Headers],[Company]],61)</f>
        <v/>
      </c>
      <c r="I166" s="148" t="str" cm="1">
        <f t="array" ref="I166">Common_InputFunctions.Utility_DisplayArrayInTable(Fertiliser_SourceData.Fertiliser_Products_Data3(), FertiliserProducts[[#Headers],[Company]],61)</f>
        <v/>
      </c>
      <c r="J166" s="148" t="str" cm="1">
        <f t="array" ref="J166">Common_InputFunctions.Utility_DisplayArrayInTable(Fertiliser_SourceData.Fertiliser_Products_Data3(), FertiliserProducts[[#Headers],[Company]],61)</f>
        <v/>
      </c>
      <c r="K166" s="148" t="str" cm="1">
        <f t="array" ref="K166">Common_InputFunctions.Utility_DisplayArrayInTable(Fertiliser_SourceData.Fertiliser_Products_Data3(), FertiliserProducts[[#Headers],[Company]],61)</f>
        <v/>
      </c>
      <c r="L166" s="148" t="str" cm="1">
        <f t="array" ref="L166">Common_InputFunctions.Utility_DisplayArrayInTable(Fertiliser_SourceData.Fertiliser_Products_Data3(), FertiliserProducts[[#Headers],[Company]],61)</f>
        <v/>
      </c>
      <c r="M166" s="148" cm="1">
        <f t="array" ref="M166">Common_InputFunctions.Utility_DisplayArrayInTable(Fertiliser_SourceData.Fertiliser_Products_Data3(), FertiliserProducts[[#Headers],[Company]],61)</f>
        <v>50</v>
      </c>
      <c r="N166" s="148" t="str" cm="1">
        <f t="array" ref="N166">Common_InputFunctions.Utility_DisplayArrayInTable(Fertiliser_SourceData.Fertiliser_Products_Data3(), FertiliserProducts[[#Headers],[Company]],61)</f>
        <v/>
      </c>
      <c r="O166" s="148" t="str" cm="1">
        <f t="array" ref="O166">Common_InputFunctions.Utility_DisplayArrayInTable(Fertiliser_SourceData.Fertiliser_Products_Data3(), FertiliserProducts[[#Headers],[Company]],61)</f>
        <v>Muriate of potash (MOP)</v>
      </c>
      <c r="P166" s="148" cm="1">
        <f t="array" ref="P166">Common_InputFunctions.Utility_DisplayArrayInTable(Fertiliser_SourceData.Fertiliser_Products_Data3(), FertiliserProducts[[#Headers],[Company]],61)</f>
        <v>1</v>
      </c>
      <c r="Q166" s="148" t="str" cm="1">
        <f t="array" ref="Q166">Common_InputFunctions.Utility_DisplayArrayInTable(Fertiliser_SourceData.Fertiliser_Products_Data3(), FertiliserProducts[[#Headers],[Company]],61)</f>
        <v/>
      </c>
      <c r="R166" s="148" t="str" cm="1">
        <f t="array" ref="R166">Common_InputFunctions.Utility_DisplayArrayInTable(Fertiliser_SourceData.Fertiliser_Products_Data3(), FertiliserProducts[[#Headers],[Company]],61)</f>
        <v/>
      </c>
      <c r="S166" s="148" t="str" cm="1">
        <f t="array" ref="S166">Common_InputFunctions.Utility_DisplayArrayInTable(Fertiliser_SourceData.Fertiliser_Products_Data3(), FertiliserProducts[[#Headers],[Company]],61)</f>
        <v/>
      </c>
      <c r="T166" s="148" t="str" cm="1">
        <f t="array" ref="T166">Common_InputFunctions.Utility_DisplayArrayInTable(Fertiliser_SourceData.Fertiliser_Products_Data3(), FertiliserProducts[[#Headers],[Company]],61)</f>
        <v/>
      </c>
      <c r="U166" s="148" t="str" cm="1">
        <f t="array" ref="U166">Common_InputFunctions.Utility_DisplayArrayInTable(Fertiliser_SourceData.Fertiliser_Products_Data3(), FertiliserProducts[[#Headers],[Company]],61)</f>
        <v/>
      </c>
      <c r="V166" s="148" t="str" cm="1">
        <f t="array" ref="V166">Common_InputFunctions.Utility_DisplayArrayInTable(Fertiliser_SourceData.Fertiliser_Products_Data3(), FertiliserProducts[[#Headers],[Company]],61)</f>
        <v/>
      </c>
      <c r="W166" s="148" t="str" cm="1">
        <f t="array" ref="W166">Common_InputFunctions.Utility_DisplayArrayInTable(Fertiliser_SourceData.Fertiliser_Products_Data3(), FertiliserProducts[[#Headers],[Company]],61)</f>
        <v/>
      </c>
      <c r="X166" s="148" t="str" cm="1">
        <f t="array" ref="X166">Common_InputFunctions.Utility_DisplayArrayInTable(Fertiliser_SourceData.Fertiliser_Products_Data3(), FertiliserProducts[[#Headers],[Company]],61)</f>
        <v/>
      </c>
      <c r="Y166" s="148" t="str" cm="1">
        <f t="array" ref="Y166">Common_InputFunctions.Utility_DisplayArrayInTable(Fertiliser_SourceData.Fertiliser_Products_Data3(), FertiliserProducts[[#Headers],[Company]],61)</f>
        <v/>
      </c>
      <c r="Z166" s="148" t="str" cm="1">
        <f t="array" ref="Z166">Common_InputFunctions.Utility_DisplayArrayInTable(Fertiliser_SourceData.Fertiliser_Products_Data3(), FertiliserProducts[[#Headers],[Company]],61)</f>
        <v/>
      </c>
      <c r="AA166" s="148" t="str" cm="1">
        <f t="array" ref="AA166">Common_InputFunctions.Utility_DisplayArrayInTable(Fertiliser_SourceData.Fertiliser_Products_Data3(), FertiliserProducts[[#Headers],[Company]],61)</f>
        <v/>
      </c>
      <c r="AB166" s="148" t="str" cm="1">
        <f t="array" ref="AB166">Common_InputFunctions.Utility_DisplayArrayInTable(Fertiliser_SourceData.Fertiliser_Products_Data3(), FertiliserProducts[[#Headers],[Company]],61)</f>
        <v/>
      </c>
      <c r="AC166" s="148" t="str" cm="1">
        <f t="array" ref="AC166">Common_InputFunctions.Utility_DisplayArrayInTable(Fertiliser_SourceData.Fertiliser_Products_Data3(), FertiliserProducts[[#Headers],[Company]],61)</f>
        <v/>
      </c>
      <c r="AD166" s="148" t="str" cm="1">
        <f t="array" ref="AD166">Common_InputFunctions.Utility_DisplayArrayInTable(Fertiliser_SourceData.Fertiliser_Products_Data3(), FertiliserProducts[[#Headers],[Company]],61)</f>
        <v/>
      </c>
      <c r="AE166" s="148" t="str" cm="1">
        <f t="array" ref="AE166">Common_InputFunctions.Utility_DisplayArrayInTable(Fertiliser_SourceData.Fertiliser_Products_Data3(), FertiliserProducts[[#Headers],[Company]],61)</f>
        <v/>
      </c>
      <c r="AF166" s="148" t="str" cm="1">
        <f t="array" ref="AF166">Common_InputFunctions.Utility_DisplayArrayInTable(Fertiliser_SourceData.Fertiliser_Products_Data3(), FertiliserProducts[[#Headers],[Company]],61)</f>
        <v/>
      </c>
      <c r="AG166" s="148" t="str" cm="1">
        <f t="array" ref="AG166">Common_InputFunctions.Utility_DisplayArrayInTable(Fertiliser_SourceData.Fertiliser_Products_Data3(), FertiliserProducts[[#Headers],[Company]],61)</f>
        <v/>
      </c>
      <c r="AH166" s="148" t="str" cm="1">
        <f t="array" ref="AH166">Common_InputFunctions.Utility_DisplayArrayInTable(Fertiliser_SourceData.Fertiliser_Products_Data3(), FertiliserProducts[[#Headers],[Company]],61)</f>
        <v/>
      </c>
      <c r="AK166" s="1"/>
    </row>
    <row r="167" spans="4:37" ht="20.100000000000001" customHeight="1" x14ac:dyDescent="0.2">
      <c r="D167" s="148" t="str" cm="1">
        <f t="array" ref="D167">Common_InputFunctions.Utility_DisplayArrayInTable(Fertiliser_SourceData.Fertiliser_Products_Data3(), FertiliserProducts[[#Headers],[Company]],61)</f>
        <v>Nuturf</v>
      </c>
      <c r="E167" s="148" t="str" cm="1">
        <f t="array" ref="E167">Common_InputFunctions.Utility_DisplayArrayInTable(Fertiliser_SourceData.Fertiliser_Products_Data3(), FertiliserProducts[[#Headers],[Company]],61)</f>
        <v>MAP NUTURF</v>
      </c>
      <c r="F167" s="148" t="str" cm="1">
        <f t="array" ref="F167">Common_InputFunctions.Utility_DisplayArrayInTable(Fertiliser_SourceData.Fertiliser_Products_Data3(), FertiliserProducts[[#Headers],[Company]],61)</f>
        <v>kg</v>
      </c>
      <c r="G167" s="148" cm="1">
        <f t="array" ref="G167">Common_InputFunctions.Utility_DisplayArrayInTable(Fertiliser_SourceData.Fertiliser_Products_Data3(), FertiliserProducts[[#Headers],[Company]],61)</f>
        <v>1</v>
      </c>
      <c r="H167" s="148" t="str" cm="1">
        <f t="array" ref="H167">Common_InputFunctions.Utility_DisplayArrayInTable(Fertiliser_SourceData.Fertiliser_Products_Data3(), FertiliserProducts[[#Headers],[Company]],61)</f>
        <v/>
      </c>
      <c r="I167" s="148" t="str" cm="1">
        <f t="array" ref="I167">Common_InputFunctions.Utility_DisplayArrayInTable(Fertiliser_SourceData.Fertiliser_Products_Data3(), FertiliserProducts[[#Headers],[Company]],61)</f>
        <v/>
      </c>
      <c r="J167" s="148" t="str" cm="1">
        <f t="array" ref="J167">Common_InputFunctions.Utility_DisplayArrayInTable(Fertiliser_SourceData.Fertiliser_Products_Data3(), FertiliserProducts[[#Headers],[Company]],61)</f>
        <v/>
      </c>
      <c r="K167" s="148" cm="1">
        <f t="array" ref="K167">Common_InputFunctions.Utility_DisplayArrayInTable(Fertiliser_SourceData.Fertiliser_Products_Data3(), FertiliserProducts[[#Headers],[Company]],61)</f>
        <v>10</v>
      </c>
      <c r="L167" s="148" cm="1">
        <f t="array" ref="L167">Common_InputFunctions.Utility_DisplayArrayInTable(Fertiliser_SourceData.Fertiliser_Products_Data3(), FertiliserProducts[[#Headers],[Company]],61)</f>
        <v>21.9</v>
      </c>
      <c r="M167" s="148" t="str" cm="1">
        <f t="array" ref="M167">Common_InputFunctions.Utility_DisplayArrayInTable(Fertiliser_SourceData.Fertiliser_Products_Data3(), FertiliserProducts[[#Headers],[Company]],61)</f>
        <v/>
      </c>
      <c r="N167" s="148" t="str" cm="1">
        <f t="array" ref="N167">Common_InputFunctions.Utility_DisplayArrayInTable(Fertiliser_SourceData.Fertiliser_Products_Data3(), FertiliserProducts[[#Headers],[Company]],61)</f>
        <v/>
      </c>
      <c r="O167" s="148" t="str" cm="1">
        <f t="array" ref="O167">Common_InputFunctions.Utility_DisplayArrayInTable(Fertiliser_SourceData.Fertiliser_Products_Data3(), FertiliserProducts[[#Headers],[Company]],61)</f>
        <v>Monoammonium phosphate (MAP)</v>
      </c>
      <c r="P167" s="148" cm="1">
        <f t="array" ref="P167">Common_InputFunctions.Utility_DisplayArrayInTable(Fertiliser_SourceData.Fertiliser_Products_Data3(), FertiliserProducts[[#Headers],[Company]],61)</f>
        <v>1</v>
      </c>
      <c r="Q167" s="148" t="str" cm="1">
        <f t="array" ref="Q167">Common_InputFunctions.Utility_DisplayArrayInTable(Fertiliser_SourceData.Fertiliser_Products_Data3(), FertiliserProducts[[#Headers],[Company]],61)</f>
        <v/>
      </c>
      <c r="R167" s="148" t="str" cm="1">
        <f t="array" ref="R167">Common_InputFunctions.Utility_DisplayArrayInTable(Fertiliser_SourceData.Fertiliser_Products_Data3(), FertiliserProducts[[#Headers],[Company]],61)</f>
        <v/>
      </c>
      <c r="S167" s="148" t="str" cm="1">
        <f t="array" ref="S167">Common_InputFunctions.Utility_DisplayArrayInTable(Fertiliser_SourceData.Fertiliser_Products_Data3(), FertiliserProducts[[#Headers],[Company]],61)</f>
        <v/>
      </c>
      <c r="T167" s="148" t="str" cm="1">
        <f t="array" ref="T167">Common_InputFunctions.Utility_DisplayArrayInTable(Fertiliser_SourceData.Fertiliser_Products_Data3(), FertiliserProducts[[#Headers],[Company]],61)</f>
        <v/>
      </c>
      <c r="U167" s="148" t="str" cm="1">
        <f t="array" ref="U167">Common_InputFunctions.Utility_DisplayArrayInTable(Fertiliser_SourceData.Fertiliser_Products_Data3(), FertiliserProducts[[#Headers],[Company]],61)</f>
        <v/>
      </c>
      <c r="V167" s="148" t="str" cm="1">
        <f t="array" ref="V167">Common_InputFunctions.Utility_DisplayArrayInTable(Fertiliser_SourceData.Fertiliser_Products_Data3(), FertiliserProducts[[#Headers],[Company]],61)</f>
        <v/>
      </c>
      <c r="W167" s="148" t="str" cm="1">
        <f t="array" ref="W167">Common_InputFunctions.Utility_DisplayArrayInTable(Fertiliser_SourceData.Fertiliser_Products_Data3(), FertiliserProducts[[#Headers],[Company]],61)</f>
        <v/>
      </c>
      <c r="X167" s="148" t="str" cm="1">
        <f t="array" ref="X167">Common_InputFunctions.Utility_DisplayArrayInTable(Fertiliser_SourceData.Fertiliser_Products_Data3(), FertiliserProducts[[#Headers],[Company]],61)</f>
        <v/>
      </c>
      <c r="Y167" s="148" t="str" cm="1">
        <f t="array" ref="Y167">Common_InputFunctions.Utility_DisplayArrayInTable(Fertiliser_SourceData.Fertiliser_Products_Data3(), FertiliserProducts[[#Headers],[Company]],61)</f>
        <v/>
      </c>
      <c r="Z167" s="148" t="str" cm="1">
        <f t="array" ref="Z167">Common_InputFunctions.Utility_DisplayArrayInTable(Fertiliser_SourceData.Fertiliser_Products_Data3(), FertiliserProducts[[#Headers],[Company]],61)</f>
        <v/>
      </c>
      <c r="AA167" s="148" t="str" cm="1">
        <f t="array" ref="AA167">Common_InputFunctions.Utility_DisplayArrayInTable(Fertiliser_SourceData.Fertiliser_Products_Data3(), FertiliserProducts[[#Headers],[Company]],61)</f>
        <v/>
      </c>
      <c r="AB167" s="148" t="str" cm="1">
        <f t="array" ref="AB167">Common_InputFunctions.Utility_DisplayArrayInTable(Fertiliser_SourceData.Fertiliser_Products_Data3(), FertiliserProducts[[#Headers],[Company]],61)</f>
        <v/>
      </c>
      <c r="AC167" s="148" t="str" cm="1">
        <f t="array" ref="AC167">Common_InputFunctions.Utility_DisplayArrayInTable(Fertiliser_SourceData.Fertiliser_Products_Data3(), FertiliserProducts[[#Headers],[Company]],61)</f>
        <v/>
      </c>
      <c r="AD167" s="148" t="str" cm="1">
        <f t="array" ref="AD167">Common_InputFunctions.Utility_DisplayArrayInTable(Fertiliser_SourceData.Fertiliser_Products_Data3(), FertiliserProducts[[#Headers],[Company]],61)</f>
        <v/>
      </c>
      <c r="AE167" s="148" t="str" cm="1">
        <f t="array" ref="AE167">Common_InputFunctions.Utility_DisplayArrayInTable(Fertiliser_SourceData.Fertiliser_Products_Data3(), FertiliserProducts[[#Headers],[Company]],61)</f>
        <v/>
      </c>
      <c r="AF167" s="148" t="str" cm="1">
        <f t="array" ref="AF167">Common_InputFunctions.Utility_DisplayArrayInTable(Fertiliser_SourceData.Fertiliser_Products_Data3(), FertiliserProducts[[#Headers],[Company]],61)</f>
        <v/>
      </c>
      <c r="AG167" s="148" t="str" cm="1">
        <f t="array" ref="AG167">Common_InputFunctions.Utility_DisplayArrayInTable(Fertiliser_SourceData.Fertiliser_Products_Data3(), FertiliserProducts[[#Headers],[Company]],61)</f>
        <v/>
      </c>
      <c r="AH167" s="148" t="str" cm="1">
        <f t="array" ref="AH167">Common_InputFunctions.Utility_DisplayArrayInTable(Fertiliser_SourceData.Fertiliser_Products_Data3(), FertiliserProducts[[#Headers],[Company]],61)</f>
        <v/>
      </c>
      <c r="AK167" s="1"/>
    </row>
    <row r="168" spans="4:37" ht="20.100000000000001" customHeight="1" x14ac:dyDescent="0.2">
      <c r="D168" s="148" t="str" cm="1">
        <f t="array" ref="D168">Common_InputFunctions.Utility_DisplayArrayInTable(Fertiliser_SourceData.Fertiliser_Products_Data3(), FertiliserProducts[[#Headers],[Company]],61)</f>
        <v>Campbells fertilisers Australia</v>
      </c>
      <c r="E168" s="148" t="str" cm="1">
        <f t="array" ref="E168">Common_InputFunctions.Utility_DisplayArrayInTable(Fertiliser_SourceData.Fertiliser_Products_Data3(), FertiliserProducts[[#Headers],[Company]],61)</f>
        <v>Quick-N</v>
      </c>
      <c r="F168" s="148" t="str" cm="1">
        <f t="array" ref="F168">Common_InputFunctions.Utility_DisplayArrayInTable(Fertiliser_SourceData.Fertiliser_Products_Data3(), FertiliserProducts[[#Headers],[Company]],61)</f>
        <v>kg</v>
      </c>
      <c r="G168" s="148" cm="1">
        <f t="array" ref="G168">Common_InputFunctions.Utility_DisplayArrayInTable(Fertiliser_SourceData.Fertiliser_Products_Data3(), FertiliserProducts[[#Headers],[Company]],61)</f>
        <v>1</v>
      </c>
      <c r="H168" s="148" t="str" cm="1">
        <f t="array" ref="H168">Common_InputFunctions.Utility_DisplayArrayInTable(Fertiliser_SourceData.Fertiliser_Products_Data3(), FertiliserProducts[[#Headers],[Company]],61)</f>
        <v/>
      </c>
      <c r="I168" s="148" t="str" cm="1">
        <f t="array" ref="I168">Common_InputFunctions.Utility_DisplayArrayInTable(Fertiliser_SourceData.Fertiliser_Products_Data3(), FertiliserProducts[[#Headers],[Company]],61)</f>
        <v/>
      </c>
      <c r="J168" s="148" t="str" cm="1">
        <f t="array" ref="J168">Common_InputFunctions.Utility_DisplayArrayInTable(Fertiliser_SourceData.Fertiliser_Products_Data3(), FertiliserProducts[[#Headers],[Company]],61)</f>
        <v/>
      </c>
      <c r="K168" s="148" cm="1">
        <f t="array" ref="K168">Common_InputFunctions.Utility_DisplayArrayInTable(Fertiliser_SourceData.Fertiliser_Products_Data3(), FertiliserProducts[[#Headers],[Company]],61)</f>
        <v>26</v>
      </c>
      <c r="L168" s="148" t="str" cm="1">
        <f t="array" ref="L168">Common_InputFunctions.Utility_DisplayArrayInTable(Fertiliser_SourceData.Fertiliser_Products_Data3(), FertiliserProducts[[#Headers],[Company]],61)</f>
        <v/>
      </c>
      <c r="M168" s="148" t="str" cm="1">
        <f t="array" ref="M168">Common_InputFunctions.Utility_DisplayArrayInTable(Fertiliser_SourceData.Fertiliser_Products_Data3(), FertiliserProducts[[#Headers],[Company]],61)</f>
        <v/>
      </c>
      <c r="N168" s="148" cm="1">
        <f t="array" ref="N168">Common_InputFunctions.Utility_DisplayArrayInTable(Fertiliser_SourceData.Fertiliser_Products_Data3(), FertiliserProducts[[#Headers],[Company]],61)</f>
        <v>13</v>
      </c>
      <c r="O168" s="148" t="str" cm="1">
        <f t="array" ref="O168">Common_InputFunctions.Utility_DisplayArrayInTable(Fertiliser_SourceData.Fertiliser_Products_Data3(), FertiliserProducts[[#Headers],[Company]],61)</f>
        <v>Sulphate of ammonia (SOA)</v>
      </c>
      <c r="P168" s="148" cm="1">
        <f t="array" ref="P168">Common_InputFunctions.Utility_DisplayArrayInTable(Fertiliser_SourceData.Fertiliser_Products_Data3(), FertiliserProducts[[#Headers],[Company]],61)</f>
        <v>0.54166700000000001</v>
      </c>
      <c r="Q168" s="148" t="str" cm="1">
        <f t="array" ref="Q168">Common_InputFunctions.Utility_DisplayArrayInTable(Fertiliser_SourceData.Fertiliser_Products_Data3(), FertiliserProducts[[#Headers],[Company]],61)</f>
        <v>Ammonium nitrate (AN)</v>
      </c>
      <c r="R168" s="148" cm="1">
        <f t="array" ref="R168">Common_InputFunctions.Utility_DisplayArrayInTable(Fertiliser_SourceData.Fertiliser_Products_Data3(), FertiliserProducts[[#Headers],[Company]],61)</f>
        <v>0.43397599999999997</v>
      </c>
      <c r="S168" s="148" t="str" cm="1">
        <f t="array" ref="S168">Common_InputFunctions.Utility_DisplayArrayInTable(Fertiliser_SourceData.Fertiliser_Products_Data3(), FertiliserProducts[[#Headers],[Company]],61)</f>
        <v/>
      </c>
      <c r="T168" s="148" t="str" cm="1">
        <f t="array" ref="T168">Common_InputFunctions.Utility_DisplayArrayInTable(Fertiliser_SourceData.Fertiliser_Products_Data3(), FertiliserProducts[[#Headers],[Company]],61)</f>
        <v/>
      </c>
      <c r="U168" s="148" t="str" cm="1">
        <f t="array" ref="U168">Common_InputFunctions.Utility_DisplayArrayInTable(Fertiliser_SourceData.Fertiliser_Products_Data3(), FertiliserProducts[[#Headers],[Company]],61)</f>
        <v/>
      </c>
      <c r="V168" s="148" t="str" cm="1">
        <f t="array" ref="V168">Common_InputFunctions.Utility_DisplayArrayInTable(Fertiliser_SourceData.Fertiliser_Products_Data3(), FertiliserProducts[[#Headers],[Company]],61)</f>
        <v/>
      </c>
      <c r="W168" s="148" t="str" cm="1">
        <f t="array" ref="W168">Common_InputFunctions.Utility_DisplayArrayInTable(Fertiliser_SourceData.Fertiliser_Products_Data3(), FertiliserProducts[[#Headers],[Company]],61)</f>
        <v/>
      </c>
      <c r="X168" s="148" t="str" cm="1">
        <f t="array" ref="X168">Common_InputFunctions.Utility_DisplayArrayInTable(Fertiliser_SourceData.Fertiliser_Products_Data3(), FertiliserProducts[[#Headers],[Company]],61)</f>
        <v/>
      </c>
      <c r="Y168" s="148" t="str" cm="1">
        <f t="array" ref="Y168">Common_InputFunctions.Utility_DisplayArrayInTable(Fertiliser_SourceData.Fertiliser_Products_Data3(), FertiliserProducts[[#Headers],[Company]],61)</f>
        <v/>
      </c>
      <c r="Z168" s="148" t="str" cm="1">
        <f t="array" ref="Z168">Common_InputFunctions.Utility_DisplayArrayInTable(Fertiliser_SourceData.Fertiliser_Products_Data3(), FertiliserProducts[[#Headers],[Company]],61)</f>
        <v/>
      </c>
      <c r="AA168" s="148" t="str" cm="1">
        <f t="array" ref="AA168">Common_InputFunctions.Utility_DisplayArrayInTable(Fertiliser_SourceData.Fertiliser_Products_Data3(), FertiliserProducts[[#Headers],[Company]],61)</f>
        <v/>
      </c>
      <c r="AB168" s="148" t="str" cm="1">
        <f t="array" ref="AB168">Common_InputFunctions.Utility_DisplayArrayInTable(Fertiliser_SourceData.Fertiliser_Products_Data3(), FertiliserProducts[[#Headers],[Company]],61)</f>
        <v/>
      </c>
      <c r="AC168" s="148" t="str" cm="1">
        <f t="array" ref="AC168">Common_InputFunctions.Utility_DisplayArrayInTable(Fertiliser_SourceData.Fertiliser_Products_Data3(), FertiliserProducts[[#Headers],[Company]],61)</f>
        <v/>
      </c>
      <c r="AD168" s="148" t="str" cm="1">
        <f t="array" ref="AD168">Common_InputFunctions.Utility_DisplayArrayInTable(Fertiliser_SourceData.Fertiliser_Products_Data3(), FertiliserProducts[[#Headers],[Company]],61)</f>
        <v/>
      </c>
      <c r="AE168" s="148" t="str" cm="1">
        <f t="array" ref="AE168">Common_InputFunctions.Utility_DisplayArrayInTable(Fertiliser_SourceData.Fertiliser_Products_Data3(), FertiliserProducts[[#Headers],[Company]],61)</f>
        <v/>
      </c>
      <c r="AF168" s="148" t="str" cm="1">
        <f t="array" ref="AF168">Common_InputFunctions.Utility_DisplayArrayInTable(Fertiliser_SourceData.Fertiliser_Products_Data3(), FertiliserProducts[[#Headers],[Company]],61)</f>
        <v/>
      </c>
      <c r="AG168" s="148" t="str" cm="1">
        <f t="array" ref="AG168">Common_InputFunctions.Utility_DisplayArrayInTable(Fertiliser_SourceData.Fertiliser_Products_Data3(), FertiliserProducts[[#Headers],[Company]],61)</f>
        <v/>
      </c>
      <c r="AH168" s="148" t="str" cm="1">
        <f t="array" ref="AH168">Common_InputFunctions.Utility_DisplayArrayInTable(Fertiliser_SourceData.Fertiliser_Products_Data3(), FertiliserProducts[[#Headers],[Company]],61)</f>
        <v/>
      </c>
      <c r="AK168" s="1"/>
    </row>
    <row r="169" spans="4:37" ht="20.100000000000001" customHeight="1" x14ac:dyDescent="0.2">
      <c r="D169" s="148" t="str" cm="1">
        <f t="array" ref="D169">Common_InputFunctions.Utility_DisplayArrayInTable(Fertiliser_SourceData.Fertiliser_Products_Data3(), FertiliserProducts[[#Headers],[Company]],61)</f>
        <v>SLTEC Fertilizers</v>
      </c>
      <c r="E169" s="148" t="str" cm="1">
        <f t="array" ref="E169">Common_InputFunctions.Utility_DisplayArrayInTable(Fertiliser_SourceData.Fertiliser_Products_Data3(), FertiliserProducts[[#Headers],[Company]],61)</f>
        <v>UAS</v>
      </c>
      <c r="F169" s="148" t="str" cm="1">
        <f t="array" ref="F169">Common_InputFunctions.Utility_DisplayArrayInTable(Fertiliser_SourceData.Fertiliser_Products_Data3(), FertiliserProducts[[#Headers],[Company]],61)</f>
        <v>L</v>
      </c>
      <c r="G169" s="148" cm="1">
        <f t="array" ref="G169">Common_InputFunctions.Utility_DisplayArrayInTable(Fertiliser_SourceData.Fertiliser_Products_Data3(), FertiliserProducts[[#Headers],[Company]],61)</f>
        <v>1.2350000000000001</v>
      </c>
      <c r="H169" s="148" t="str" cm="1">
        <f t="array" ref="H169">Common_InputFunctions.Utility_DisplayArrayInTable(Fertiliser_SourceData.Fertiliser_Products_Data3(), FertiliserProducts[[#Headers],[Company]],61)</f>
        <v/>
      </c>
      <c r="I169" s="148" t="str" cm="1">
        <f t="array" ref="I169">Common_InputFunctions.Utility_DisplayArrayInTable(Fertiliser_SourceData.Fertiliser_Products_Data3(), FertiliserProducts[[#Headers],[Company]],61)</f>
        <v/>
      </c>
      <c r="J169" s="148" t="str" cm="1">
        <f t="array" ref="J169">Common_InputFunctions.Utility_DisplayArrayInTable(Fertiliser_SourceData.Fertiliser_Products_Data3(), FertiliserProducts[[#Headers],[Company]],61)</f>
        <v/>
      </c>
      <c r="K169" s="148" cm="1">
        <f t="array" ref="K169">Common_InputFunctions.Utility_DisplayArrayInTable(Fertiliser_SourceData.Fertiliser_Products_Data3(), FertiliserProducts[[#Headers],[Company]],61)</f>
        <v>26.6</v>
      </c>
      <c r="L169" s="148" t="str" cm="1">
        <f t="array" ref="L169">Common_InputFunctions.Utility_DisplayArrayInTable(Fertiliser_SourceData.Fertiliser_Products_Data3(), FertiliserProducts[[#Headers],[Company]],61)</f>
        <v/>
      </c>
      <c r="M169" s="148" t="str" cm="1">
        <f t="array" ref="M169">Common_InputFunctions.Utility_DisplayArrayInTable(Fertiliser_SourceData.Fertiliser_Products_Data3(), FertiliserProducts[[#Headers],[Company]],61)</f>
        <v/>
      </c>
      <c r="N169" s="148" cm="1">
        <f t="array" ref="N169">Common_InputFunctions.Utility_DisplayArrayInTable(Fertiliser_SourceData.Fertiliser_Products_Data3(), FertiliserProducts[[#Headers],[Company]],61)</f>
        <v>6.7</v>
      </c>
      <c r="O169" s="148" t="str" cm="1">
        <f t="array" ref="O169">Common_InputFunctions.Utility_DisplayArrayInTable(Fertiliser_SourceData.Fertiliser_Products_Data3(), FertiliserProducts[[#Headers],[Company]],61)</f>
        <v>Urea</v>
      </c>
      <c r="P169" s="148" cm="1">
        <f t="array" ref="P169">Common_InputFunctions.Utility_DisplayArrayInTable(Fertiliser_SourceData.Fertiliser_Products_Data3(), FertiliserProducts[[#Headers],[Company]],61)</f>
        <v>0.45081500000000002</v>
      </c>
      <c r="Q169" s="148" t="str" cm="1">
        <f t="array" ref="Q169">Common_InputFunctions.Utility_DisplayArrayInTable(Fertiliser_SourceData.Fertiliser_Products_Data3(), FertiliserProducts[[#Headers],[Company]],61)</f>
        <v>Sulphate of ammonia (SOA)</v>
      </c>
      <c r="R169" s="148" cm="1">
        <f t="array" ref="R169">Common_InputFunctions.Utility_DisplayArrayInTable(Fertiliser_SourceData.Fertiliser_Products_Data3(), FertiliserProducts[[#Headers],[Company]],61)</f>
        <v>0.279167</v>
      </c>
      <c r="S169" s="148" t="str" cm="1">
        <f t="array" ref="S169">Common_InputFunctions.Utility_DisplayArrayInTable(Fertiliser_SourceData.Fertiliser_Products_Data3(), FertiliserProducts[[#Headers],[Company]],61)</f>
        <v/>
      </c>
      <c r="T169" s="148" t="str" cm="1">
        <f t="array" ref="T169">Common_InputFunctions.Utility_DisplayArrayInTable(Fertiliser_SourceData.Fertiliser_Products_Data3(), FertiliserProducts[[#Headers],[Company]],61)</f>
        <v/>
      </c>
      <c r="U169" s="148" t="str" cm="1">
        <f t="array" ref="U169">Common_InputFunctions.Utility_DisplayArrayInTable(Fertiliser_SourceData.Fertiliser_Products_Data3(), FertiliserProducts[[#Headers],[Company]],61)</f>
        <v/>
      </c>
      <c r="V169" s="148" t="str" cm="1">
        <f t="array" ref="V169">Common_InputFunctions.Utility_DisplayArrayInTable(Fertiliser_SourceData.Fertiliser_Products_Data3(), FertiliserProducts[[#Headers],[Company]],61)</f>
        <v/>
      </c>
      <c r="W169" s="148" t="str" cm="1">
        <f t="array" ref="W169">Common_InputFunctions.Utility_DisplayArrayInTable(Fertiliser_SourceData.Fertiliser_Products_Data3(), FertiliserProducts[[#Headers],[Company]],61)</f>
        <v/>
      </c>
      <c r="X169" s="148" t="str" cm="1">
        <f t="array" ref="X169">Common_InputFunctions.Utility_DisplayArrayInTable(Fertiliser_SourceData.Fertiliser_Products_Data3(), FertiliserProducts[[#Headers],[Company]],61)</f>
        <v/>
      </c>
      <c r="Y169" s="148" t="str" cm="1">
        <f t="array" ref="Y169">Common_InputFunctions.Utility_DisplayArrayInTable(Fertiliser_SourceData.Fertiliser_Products_Data3(), FertiliserProducts[[#Headers],[Company]],61)</f>
        <v/>
      </c>
      <c r="Z169" s="148" t="str" cm="1">
        <f t="array" ref="Z169">Common_InputFunctions.Utility_DisplayArrayInTable(Fertiliser_SourceData.Fertiliser_Products_Data3(), FertiliserProducts[[#Headers],[Company]],61)</f>
        <v/>
      </c>
      <c r="AA169" s="148" t="str" cm="1">
        <f t="array" ref="AA169">Common_InputFunctions.Utility_DisplayArrayInTable(Fertiliser_SourceData.Fertiliser_Products_Data3(), FertiliserProducts[[#Headers],[Company]],61)</f>
        <v/>
      </c>
      <c r="AB169" s="148" t="str" cm="1">
        <f t="array" ref="AB169">Common_InputFunctions.Utility_DisplayArrayInTable(Fertiliser_SourceData.Fertiliser_Products_Data3(), FertiliserProducts[[#Headers],[Company]],61)</f>
        <v/>
      </c>
      <c r="AC169" s="148" t="str" cm="1">
        <f t="array" ref="AC169">Common_InputFunctions.Utility_DisplayArrayInTable(Fertiliser_SourceData.Fertiliser_Products_Data3(), FertiliserProducts[[#Headers],[Company]],61)</f>
        <v/>
      </c>
      <c r="AD169" s="148" t="str" cm="1">
        <f t="array" ref="AD169">Common_InputFunctions.Utility_DisplayArrayInTable(Fertiliser_SourceData.Fertiliser_Products_Data3(), FertiliserProducts[[#Headers],[Company]],61)</f>
        <v/>
      </c>
      <c r="AE169" s="148" t="str" cm="1">
        <f t="array" ref="AE169">Common_InputFunctions.Utility_DisplayArrayInTable(Fertiliser_SourceData.Fertiliser_Products_Data3(), FertiliserProducts[[#Headers],[Company]],61)</f>
        <v/>
      </c>
      <c r="AF169" s="148" t="str" cm="1">
        <f t="array" ref="AF169">Common_InputFunctions.Utility_DisplayArrayInTable(Fertiliser_SourceData.Fertiliser_Products_Data3(), FertiliserProducts[[#Headers],[Company]],61)</f>
        <v/>
      </c>
      <c r="AG169" s="148" t="str" cm="1">
        <f t="array" ref="AG169">Common_InputFunctions.Utility_DisplayArrayInTable(Fertiliser_SourceData.Fertiliser_Products_Data3(), FertiliserProducts[[#Headers],[Company]],61)</f>
        <v/>
      </c>
      <c r="AH169" s="148" t="str" cm="1">
        <f t="array" ref="AH169">Common_InputFunctions.Utility_DisplayArrayInTable(Fertiliser_SourceData.Fertiliser_Products_Data3(), FertiliserProducts[[#Headers],[Company]],61)</f>
        <v/>
      </c>
      <c r="AK169" s="1"/>
    </row>
    <row r="170" spans="4:37" ht="20.100000000000001" customHeight="1" x14ac:dyDescent="0.2">
      <c r="D170" s="148" t="str" cm="1">
        <f t="array" ref="D170">Common_InputFunctions.Utility_DisplayArrayInTable(Fertiliser_SourceData.Fertiliser_Products_Data3(), FertiliserProducts[[#Headers],[Company]],61)</f>
        <v>SLTEC Fertilizers</v>
      </c>
      <c r="E170" s="148" t="str" cm="1">
        <f t="array" ref="E170">Common_InputFunctions.Utility_DisplayArrayInTable(Fertiliser_SourceData.Fertiliser_Products_Data3(), FertiliserProducts[[#Headers],[Company]],61)</f>
        <v>Triazone Urea</v>
      </c>
      <c r="F170" s="148" t="str" cm="1">
        <f t="array" ref="F170">Common_InputFunctions.Utility_DisplayArrayInTable(Fertiliser_SourceData.Fertiliser_Products_Data3(), FertiliserProducts[[#Headers],[Company]],61)</f>
        <v>L</v>
      </c>
      <c r="G170" s="148" cm="1">
        <f t="array" ref="G170">Common_InputFunctions.Utility_DisplayArrayInTable(Fertiliser_SourceData.Fertiliser_Products_Data3(), FertiliserProducts[[#Headers],[Company]],61)</f>
        <v>1.28</v>
      </c>
      <c r="H170" s="148" t="str" cm="1">
        <f t="array" ref="H170">Common_InputFunctions.Utility_DisplayArrayInTable(Fertiliser_SourceData.Fertiliser_Products_Data3(), FertiliserProducts[[#Headers],[Company]],61)</f>
        <v/>
      </c>
      <c r="I170" s="148" t="str" cm="1">
        <f t="array" ref="I170">Common_InputFunctions.Utility_DisplayArrayInTable(Fertiliser_SourceData.Fertiliser_Products_Data3(), FertiliserProducts[[#Headers],[Company]],61)</f>
        <v/>
      </c>
      <c r="J170" s="148" t="str" cm="1">
        <f t="array" ref="J170">Common_InputFunctions.Utility_DisplayArrayInTable(Fertiliser_SourceData.Fertiliser_Products_Data3(), FertiliserProducts[[#Headers],[Company]],61)</f>
        <v/>
      </c>
      <c r="K170" s="148" cm="1">
        <f t="array" ref="K170">Common_InputFunctions.Utility_DisplayArrayInTable(Fertiliser_SourceData.Fertiliser_Products_Data3(), FertiliserProducts[[#Headers],[Company]],61)</f>
        <v>0</v>
      </c>
      <c r="L170" s="148" t="str" cm="1">
        <f t="array" ref="L170">Common_InputFunctions.Utility_DisplayArrayInTable(Fertiliser_SourceData.Fertiliser_Products_Data3(), FertiliserProducts[[#Headers],[Company]],61)</f>
        <v/>
      </c>
      <c r="M170" s="148" t="str" cm="1">
        <f t="array" ref="M170">Common_InputFunctions.Utility_DisplayArrayInTable(Fertiliser_SourceData.Fertiliser_Products_Data3(), FertiliserProducts[[#Headers],[Company]],61)</f>
        <v/>
      </c>
      <c r="N170" s="148" t="str" cm="1">
        <f t="array" ref="N170">Common_InputFunctions.Utility_DisplayArrayInTable(Fertiliser_SourceData.Fertiliser_Products_Data3(), FertiliserProducts[[#Headers],[Company]],61)</f>
        <v/>
      </c>
      <c r="O170" s="148" t="str" cm="1">
        <f t="array" ref="O170">Common_InputFunctions.Utility_DisplayArrayInTable(Fertiliser_SourceData.Fertiliser_Products_Data3(), FertiliserProducts[[#Headers],[Company]],61)</f>
        <v>Urea</v>
      </c>
      <c r="P170" s="148" cm="1">
        <f t="array" ref="P170">Common_InputFunctions.Utility_DisplayArrayInTable(Fertiliser_SourceData.Fertiliser_Products_Data3(), FertiliserProducts[[#Headers],[Company]],61)</f>
        <v>0.65217400000000003</v>
      </c>
      <c r="Q170" s="148" t="str" cm="1">
        <f t="array" ref="Q170">Common_InputFunctions.Utility_DisplayArrayInTable(Fertiliser_SourceData.Fertiliser_Products_Data3(), FertiliserProducts[[#Headers],[Company]],61)</f>
        <v/>
      </c>
      <c r="R170" s="148" t="str" cm="1">
        <f t="array" ref="R170">Common_InputFunctions.Utility_DisplayArrayInTable(Fertiliser_SourceData.Fertiliser_Products_Data3(), FertiliserProducts[[#Headers],[Company]],61)</f>
        <v/>
      </c>
      <c r="S170" s="148" t="str" cm="1">
        <f t="array" ref="S170">Common_InputFunctions.Utility_DisplayArrayInTable(Fertiliser_SourceData.Fertiliser_Products_Data3(), FertiliserProducts[[#Headers],[Company]],61)</f>
        <v/>
      </c>
      <c r="T170" s="148" t="str" cm="1">
        <f t="array" ref="T170">Common_InputFunctions.Utility_DisplayArrayInTable(Fertiliser_SourceData.Fertiliser_Products_Data3(), FertiliserProducts[[#Headers],[Company]],61)</f>
        <v/>
      </c>
      <c r="U170" s="148" t="str" cm="1">
        <f t="array" ref="U170">Common_InputFunctions.Utility_DisplayArrayInTable(Fertiliser_SourceData.Fertiliser_Products_Data3(), FertiliserProducts[[#Headers],[Company]],61)</f>
        <v/>
      </c>
      <c r="V170" s="148" t="str" cm="1">
        <f t="array" ref="V170">Common_InputFunctions.Utility_DisplayArrayInTable(Fertiliser_SourceData.Fertiliser_Products_Data3(), FertiliserProducts[[#Headers],[Company]],61)</f>
        <v/>
      </c>
      <c r="W170" s="148" t="str" cm="1">
        <f t="array" ref="W170">Common_InputFunctions.Utility_DisplayArrayInTable(Fertiliser_SourceData.Fertiliser_Products_Data3(), FertiliserProducts[[#Headers],[Company]],61)</f>
        <v/>
      </c>
      <c r="X170" s="148" t="str" cm="1">
        <f t="array" ref="X170">Common_InputFunctions.Utility_DisplayArrayInTable(Fertiliser_SourceData.Fertiliser_Products_Data3(), FertiliserProducts[[#Headers],[Company]],61)</f>
        <v/>
      </c>
      <c r="Y170" s="148" t="str" cm="1">
        <f t="array" ref="Y170">Common_InputFunctions.Utility_DisplayArrayInTable(Fertiliser_SourceData.Fertiliser_Products_Data3(), FertiliserProducts[[#Headers],[Company]],61)</f>
        <v/>
      </c>
      <c r="Z170" s="148" t="str" cm="1">
        <f t="array" ref="Z170">Common_InputFunctions.Utility_DisplayArrayInTable(Fertiliser_SourceData.Fertiliser_Products_Data3(), FertiliserProducts[[#Headers],[Company]],61)</f>
        <v/>
      </c>
      <c r="AA170" s="148" t="str" cm="1">
        <f t="array" ref="AA170">Common_InputFunctions.Utility_DisplayArrayInTable(Fertiliser_SourceData.Fertiliser_Products_Data3(), FertiliserProducts[[#Headers],[Company]],61)</f>
        <v/>
      </c>
      <c r="AB170" s="148" t="str" cm="1">
        <f t="array" ref="AB170">Common_InputFunctions.Utility_DisplayArrayInTable(Fertiliser_SourceData.Fertiliser_Products_Data3(), FertiliserProducts[[#Headers],[Company]],61)</f>
        <v/>
      </c>
      <c r="AC170" s="148" t="str" cm="1">
        <f t="array" ref="AC170">Common_InputFunctions.Utility_DisplayArrayInTable(Fertiliser_SourceData.Fertiliser_Products_Data3(), FertiliserProducts[[#Headers],[Company]],61)</f>
        <v/>
      </c>
      <c r="AD170" s="148" t="str" cm="1">
        <f t="array" ref="AD170">Common_InputFunctions.Utility_DisplayArrayInTable(Fertiliser_SourceData.Fertiliser_Products_Data3(), FertiliserProducts[[#Headers],[Company]],61)</f>
        <v/>
      </c>
      <c r="AE170" s="148" t="str" cm="1">
        <f t="array" ref="AE170">Common_InputFunctions.Utility_DisplayArrayInTable(Fertiliser_SourceData.Fertiliser_Products_Data3(), FertiliserProducts[[#Headers],[Company]],61)</f>
        <v/>
      </c>
      <c r="AF170" s="148" t="str" cm="1">
        <f t="array" ref="AF170">Common_InputFunctions.Utility_DisplayArrayInTable(Fertiliser_SourceData.Fertiliser_Products_Data3(), FertiliserProducts[[#Headers],[Company]],61)</f>
        <v/>
      </c>
      <c r="AG170" s="148" t="str" cm="1">
        <f t="array" ref="AG170">Common_InputFunctions.Utility_DisplayArrayInTable(Fertiliser_SourceData.Fertiliser_Products_Data3(), FertiliserProducts[[#Headers],[Company]],61)</f>
        <v/>
      </c>
      <c r="AH170" s="148" t="str" cm="1">
        <f t="array" ref="AH170">Common_InputFunctions.Utility_DisplayArrayInTable(Fertiliser_SourceData.Fertiliser_Products_Data3(), FertiliserProducts[[#Headers],[Company]],61)</f>
        <v/>
      </c>
      <c r="AK170" s="1"/>
    </row>
    <row r="171" spans="4:37" ht="20.100000000000001" customHeight="1" x14ac:dyDescent="0.2">
      <c r="D171" s="148" t="str" cm="1">
        <f t="array" ref="D171">Common_InputFunctions.Utility_DisplayArrayInTable(Fertiliser_SourceData.Fertiliser_Products_Data3(), FertiliserProducts[[#Headers],[Company]],61)</f>
        <v>Marnco [listed as SLTEC]</v>
      </c>
      <c r="E171" s="148" t="str" cm="1">
        <f t="array" ref="E171">Common_InputFunctions.Utility_DisplayArrayInTable(Fertiliser_SourceData.Fertiliser_Products_Data3(), FertiliserProducts[[#Headers],[Company]],61)</f>
        <v>Ammo 36N</v>
      </c>
      <c r="F171" s="148" t="str" cm="1">
        <f t="array" ref="F171">Common_InputFunctions.Utility_DisplayArrayInTable(Fertiliser_SourceData.Fertiliser_Products_Data3(), FertiliserProducts[[#Headers],[Company]],61)</f>
        <v>kg</v>
      </c>
      <c r="G171" s="148" cm="1">
        <f t="array" ref="G171">Common_InputFunctions.Utility_DisplayArrayInTable(Fertiliser_SourceData.Fertiliser_Products_Data3(), FertiliserProducts[[#Headers],[Company]],61)</f>
        <v>1</v>
      </c>
      <c r="H171" s="148" t="str" cm="1">
        <f t="array" ref="H171">Common_InputFunctions.Utility_DisplayArrayInTable(Fertiliser_SourceData.Fertiliser_Products_Data3(), FertiliserProducts[[#Headers],[Company]],61)</f>
        <v/>
      </c>
      <c r="I171" s="148" t="str" cm="1">
        <f t="array" ref="I171">Common_InputFunctions.Utility_DisplayArrayInTable(Fertiliser_SourceData.Fertiliser_Products_Data3(), FertiliserProducts[[#Headers],[Company]],61)</f>
        <v/>
      </c>
      <c r="J171" s="148" t="str" cm="1">
        <f t="array" ref="J171">Common_InputFunctions.Utility_DisplayArrayInTable(Fertiliser_SourceData.Fertiliser_Products_Data3(), FertiliserProducts[[#Headers],[Company]],61)</f>
        <v/>
      </c>
      <c r="K171" s="148" cm="1">
        <f t="array" ref="K171">Common_InputFunctions.Utility_DisplayArrayInTable(Fertiliser_SourceData.Fertiliser_Products_Data3(), FertiliserProducts[[#Headers],[Company]],61)</f>
        <v>36</v>
      </c>
      <c r="L171" s="148" t="str" cm="1">
        <f t="array" ref="L171">Common_InputFunctions.Utility_DisplayArrayInTable(Fertiliser_SourceData.Fertiliser_Products_Data3(), FertiliserProducts[[#Headers],[Company]],61)</f>
        <v/>
      </c>
      <c r="M171" s="148" t="str" cm="1">
        <f t="array" ref="M171">Common_InputFunctions.Utility_DisplayArrayInTable(Fertiliser_SourceData.Fertiliser_Products_Data3(), FertiliserProducts[[#Headers],[Company]],61)</f>
        <v/>
      </c>
      <c r="N171" s="148" cm="1">
        <f t="array" ref="N171">Common_InputFunctions.Utility_DisplayArrayInTable(Fertiliser_SourceData.Fertiliser_Products_Data3(), FertiliserProducts[[#Headers],[Company]],61)</f>
        <v>9.6</v>
      </c>
      <c r="O171" s="148" t="str" cm="1">
        <f t="array" ref="O171">Common_InputFunctions.Utility_DisplayArrayInTable(Fertiliser_SourceData.Fertiliser_Products_Data3(), FertiliserProducts[[#Headers],[Company]],61)</f>
        <v>Nitrogen - Generic</v>
      </c>
      <c r="P171" s="148" cm="1">
        <f t="array" ref="P171">Common_InputFunctions.Utility_DisplayArrayInTable(Fertiliser_SourceData.Fertiliser_Products_Data3(), FertiliserProducts[[#Headers],[Company]],61)</f>
        <v>0.36</v>
      </c>
      <c r="Q171" s="148" t="str" cm="1">
        <f t="array" ref="Q171">Common_InputFunctions.Utility_DisplayArrayInTable(Fertiliser_SourceData.Fertiliser_Products_Data3(), FertiliserProducts[[#Headers],[Company]],61)</f>
        <v>Sulfur - Generic</v>
      </c>
      <c r="R171" s="148" cm="1">
        <f t="array" ref="R171">Common_InputFunctions.Utility_DisplayArrayInTable(Fertiliser_SourceData.Fertiliser_Products_Data3(), FertiliserProducts[[#Headers],[Company]],61)</f>
        <v>9.6000000000000002E-2</v>
      </c>
      <c r="S171" s="148" t="str" cm="1">
        <f t="array" ref="S171">Common_InputFunctions.Utility_DisplayArrayInTable(Fertiliser_SourceData.Fertiliser_Products_Data3(), FertiliserProducts[[#Headers],[Company]],61)</f>
        <v/>
      </c>
      <c r="T171" s="148" t="str" cm="1">
        <f t="array" ref="T171">Common_InputFunctions.Utility_DisplayArrayInTable(Fertiliser_SourceData.Fertiliser_Products_Data3(), FertiliserProducts[[#Headers],[Company]],61)</f>
        <v/>
      </c>
      <c r="U171" s="148" t="str" cm="1">
        <f t="array" ref="U171">Common_InputFunctions.Utility_DisplayArrayInTable(Fertiliser_SourceData.Fertiliser_Products_Data3(), FertiliserProducts[[#Headers],[Company]],61)</f>
        <v/>
      </c>
      <c r="V171" s="148" t="str" cm="1">
        <f t="array" ref="V171">Common_InputFunctions.Utility_DisplayArrayInTable(Fertiliser_SourceData.Fertiliser_Products_Data3(), FertiliserProducts[[#Headers],[Company]],61)</f>
        <v/>
      </c>
      <c r="W171" s="148" t="str" cm="1">
        <f t="array" ref="W171">Common_InputFunctions.Utility_DisplayArrayInTable(Fertiliser_SourceData.Fertiliser_Products_Data3(), FertiliserProducts[[#Headers],[Company]],61)</f>
        <v/>
      </c>
      <c r="X171" s="148" t="str" cm="1">
        <f t="array" ref="X171">Common_InputFunctions.Utility_DisplayArrayInTable(Fertiliser_SourceData.Fertiliser_Products_Data3(), FertiliserProducts[[#Headers],[Company]],61)</f>
        <v/>
      </c>
      <c r="Y171" s="148" t="str" cm="1">
        <f t="array" ref="Y171">Common_InputFunctions.Utility_DisplayArrayInTable(Fertiliser_SourceData.Fertiliser_Products_Data3(), FertiliserProducts[[#Headers],[Company]],61)</f>
        <v/>
      </c>
      <c r="Z171" s="148" t="str" cm="1">
        <f t="array" ref="Z171">Common_InputFunctions.Utility_DisplayArrayInTable(Fertiliser_SourceData.Fertiliser_Products_Data3(), FertiliserProducts[[#Headers],[Company]],61)</f>
        <v/>
      </c>
      <c r="AA171" s="148" t="str" cm="1">
        <f t="array" ref="AA171">Common_InputFunctions.Utility_DisplayArrayInTable(Fertiliser_SourceData.Fertiliser_Products_Data3(), FertiliserProducts[[#Headers],[Company]],61)</f>
        <v/>
      </c>
      <c r="AB171" s="148" t="str" cm="1">
        <f t="array" ref="AB171">Common_InputFunctions.Utility_DisplayArrayInTable(Fertiliser_SourceData.Fertiliser_Products_Data3(), FertiliserProducts[[#Headers],[Company]],61)</f>
        <v/>
      </c>
      <c r="AC171" s="148" t="str" cm="1">
        <f t="array" ref="AC171">Common_InputFunctions.Utility_DisplayArrayInTable(Fertiliser_SourceData.Fertiliser_Products_Data3(), FertiliserProducts[[#Headers],[Company]],61)</f>
        <v/>
      </c>
      <c r="AD171" s="148" t="str" cm="1">
        <f t="array" ref="AD171">Common_InputFunctions.Utility_DisplayArrayInTable(Fertiliser_SourceData.Fertiliser_Products_Data3(), FertiliserProducts[[#Headers],[Company]],61)</f>
        <v/>
      </c>
      <c r="AE171" s="148" t="str" cm="1">
        <f t="array" ref="AE171">Common_InputFunctions.Utility_DisplayArrayInTable(Fertiliser_SourceData.Fertiliser_Products_Data3(), FertiliserProducts[[#Headers],[Company]],61)</f>
        <v/>
      </c>
      <c r="AF171" s="148" t="str" cm="1">
        <f t="array" ref="AF171">Common_InputFunctions.Utility_DisplayArrayInTable(Fertiliser_SourceData.Fertiliser_Products_Data3(), FertiliserProducts[[#Headers],[Company]],61)</f>
        <v/>
      </c>
      <c r="AG171" s="148" t="str" cm="1">
        <f t="array" ref="AG171">Common_InputFunctions.Utility_DisplayArrayInTable(Fertiliser_SourceData.Fertiliser_Products_Data3(), FertiliserProducts[[#Headers],[Company]],61)</f>
        <v/>
      </c>
      <c r="AH171" s="148" t="str" cm="1">
        <f t="array" ref="AH171">Common_InputFunctions.Utility_DisplayArrayInTable(Fertiliser_SourceData.Fertiliser_Products_Data3(), FertiliserProducts[[#Headers],[Company]],61)</f>
        <v/>
      </c>
      <c r="AK171" s="1"/>
    </row>
    <row r="172" spans="4:37" ht="20.100000000000001" customHeight="1" x14ac:dyDescent="0.2">
      <c r="D172" s="148" t="str" cm="1">
        <f t="array" ref="D172">Common_InputFunctions.Utility_DisplayArrayInTable(Fertiliser_SourceData.Fertiliser_Products_Data3(), FertiliserProducts[[#Headers],[Company]],61)</f>
        <v>Risso-Chemical</v>
      </c>
      <c r="E172" s="148" t="str" cm="1">
        <f t="array" ref="E172">Common_InputFunctions.Utility_DisplayArrayInTable(Fertiliser_SourceData.Fertiliser_Products_Data3(), FertiliserProducts[[#Headers],[Company]],61)</f>
        <v>Risso Liquid NPK (200-200-200)</v>
      </c>
      <c r="F172" s="148" t="str" cm="1">
        <f t="array" ref="F172">Common_InputFunctions.Utility_DisplayArrayInTable(Fertiliser_SourceData.Fertiliser_Products_Data3(), FertiliserProducts[[#Headers],[Company]],61)</f>
        <v>L</v>
      </c>
      <c r="G172" s="148" cm="1">
        <f t="array" ref="G172">Common_InputFunctions.Utility_DisplayArrayInTable(Fertiliser_SourceData.Fertiliser_Products_Data3(), FertiliserProducts[[#Headers],[Company]],61)</f>
        <v>1.3</v>
      </c>
      <c r="H172" s="148" t="str" cm="1">
        <f t="array" ref="H172">Common_InputFunctions.Utility_DisplayArrayInTable(Fertiliser_SourceData.Fertiliser_Products_Data3(), FertiliserProducts[[#Headers],[Company]],61)</f>
        <v/>
      </c>
      <c r="I172" s="148" t="str" cm="1">
        <f t="array" ref="I172">Common_InputFunctions.Utility_DisplayArrayInTable(Fertiliser_SourceData.Fertiliser_Products_Data3(), FertiliserProducts[[#Headers],[Company]],61)</f>
        <v/>
      </c>
      <c r="J172" s="148" t="str" cm="1">
        <f t="array" ref="J172">Common_InputFunctions.Utility_DisplayArrayInTable(Fertiliser_SourceData.Fertiliser_Products_Data3(), FertiliserProducts[[#Headers],[Company]],61)</f>
        <v/>
      </c>
      <c r="K172" s="148" cm="1">
        <f t="array" ref="K172">Common_InputFunctions.Utility_DisplayArrayInTable(Fertiliser_SourceData.Fertiliser_Products_Data3(), FertiliserProducts[[#Headers],[Company]],61)</f>
        <v>20</v>
      </c>
      <c r="L172" s="148" cm="1">
        <f t="array" ref="L172">Common_InputFunctions.Utility_DisplayArrayInTable(Fertiliser_SourceData.Fertiliser_Products_Data3(), FertiliserProducts[[#Headers],[Company]],61)</f>
        <v>8.73</v>
      </c>
      <c r="M172" s="148" cm="1">
        <f t="array" ref="M172">Common_InputFunctions.Utility_DisplayArrayInTable(Fertiliser_SourceData.Fertiliser_Products_Data3(), FertiliserProducts[[#Headers],[Company]],61)</f>
        <v>16.600000000000001</v>
      </c>
      <c r="N172" s="148" t="str" cm="1">
        <f t="array" ref="N172">Common_InputFunctions.Utility_DisplayArrayInTable(Fertiliser_SourceData.Fertiliser_Products_Data3(), FertiliserProducts[[#Headers],[Company]],61)</f>
        <v/>
      </c>
      <c r="O172" s="148" t="str" cm="1">
        <f t="array" ref="O172">Common_InputFunctions.Utility_DisplayArrayInTable(Fertiliser_SourceData.Fertiliser_Products_Data3(), FertiliserProducts[[#Headers],[Company]],61)</f>
        <v>Nitrogen - Generic</v>
      </c>
      <c r="P172" s="148" cm="1">
        <f t="array" ref="P172">Common_InputFunctions.Utility_DisplayArrayInTable(Fertiliser_SourceData.Fertiliser_Products_Data3(), FertiliserProducts[[#Headers],[Company]],61)</f>
        <v>0.2</v>
      </c>
      <c r="Q172" s="148" t="str" cm="1">
        <f t="array" ref="Q172">Common_InputFunctions.Utility_DisplayArrayInTable(Fertiliser_SourceData.Fertiliser_Products_Data3(), FertiliserProducts[[#Headers],[Company]],61)</f>
        <v>Phosphorus - Generic</v>
      </c>
      <c r="R172" s="148" cm="1">
        <f t="array" ref="R172">Common_InputFunctions.Utility_DisplayArrayInTable(Fertiliser_SourceData.Fertiliser_Products_Data3(), FertiliserProducts[[#Headers],[Company]],61)</f>
        <v>8.7279999999999996E-2</v>
      </c>
      <c r="S172" s="148" t="str" cm="1">
        <f t="array" ref="S172">Common_InputFunctions.Utility_DisplayArrayInTable(Fertiliser_SourceData.Fertiliser_Products_Data3(), FertiliserProducts[[#Headers],[Company]],61)</f>
        <v>Potassium - Generic</v>
      </c>
      <c r="T172" s="148" cm="1">
        <f t="array" ref="T172">Common_InputFunctions.Utility_DisplayArrayInTable(Fertiliser_SourceData.Fertiliser_Products_Data3(), FertiliserProducts[[#Headers],[Company]],61)</f>
        <v>0.16602</v>
      </c>
      <c r="U172" s="148" t="str" cm="1">
        <f t="array" ref="U172">Common_InputFunctions.Utility_DisplayArrayInTable(Fertiliser_SourceData.Fertiliser_Products_Data3(), FertiliserProducts[[#Headers],[Company]],61)</f>
        <v/>
      </c>
      <c r="V172" s="148" t="str" cm="1">
        <f t="array" ref="V172">Common_InputFunctions.Utility_DisplayArrayInTable(Fertiliser_SourceData.Fertiliser_Products_Data3(), FertiliserProducts[[#Headers],[Company]],61)</f>
        <v/>
      </c>
      <c r="W172" s="148" t="str" cm="1">
        <f t="array" ref="W172">Common_InputFunctions.Utility_DisplayArrayInTable(Fertiliser_SourceData.Fertiliser_Products_Data3(), FertiliserProducts[[#Headers],[Company]],61)</f>
        <v/>
      </c>
      <c r="X172" s="148" t="str" cm="1">
        <f t="array" ref="X172">Common_InputFunctions.Utility_DisplayArrayInTable(Fertiliser_SourceData.Fertiliser_Products_Data3(), FertiliserProducts[[#Headers],[Company]],61)</f>
        <v/>
      </c>
      <c r="Y172" s="148" t="str" cm="1">
        <f t="array" ref="Y172">Common_InputFunctions.Utility_DisplayArrayInTable(Fertiliser_SourceData.Fertiliser_Products_Data3(), FertiliserProducts[[#Headers],[Company]],61)</f>
        <v/>
      </c>
      <c r="Z172" s="148" t="str" cm="1">
        <f t="array" ref="Z172">Common_InputFunctions.Utility_DisplayArrayInTable(Fertiliser_SourceData.Fertiliser_Products_Data3(), FertiliserProducts[[#Headers],[Company]],61)</f>
        <v/>
      </c>
      <c r="AA172" s="148" t="str" cm="1">
        <f t="array" ref="AA172">Common_InputFunctions.Utility_DisplayArrayInTable(Fertiliser_SourceData.Fertiliser_Products_Data3(), FertiliserProducts[[#Headers],[Company]],61)</f>
        <v/>
      </c>
      <c r="AB172" s="148" t="str" cm="1">
        <f t="array" ref="AB172">Common_InputFunctions.Utility_DisplayArrayInTable(Fertiliser_SourceData.Fertiliser_Products_Data3(), FertiliserProducts[[#Headers],[Company]],61)</f>
        <v/>
      </c>
      <c r="AC172" s="148" t="str" cm="1">
        <f t="array" ref="AC172">Common_InputFunctions.Utility_DisplayArrayInTable(Fertiliser_SourceData.Fertiliser_Products_Data3(), FertiliserProducts[[#Headers],[Company]],61)</f>
        <v/>
      </c>
      <c r="AD172" s="148" t="str" cm="1">
        <f t="array" ref="AD172">Common_InputFunctions.Utility_DisplayArrayInTable(Fertiliser_SourceData.Fertiliser_Products_Data3(), FertiliserProducts[[#Headers],[Company]],61)</f>
        <v/>
      </c>
      <c r="AE172" s="148" t="str" cm="1">
        <f t="array" ref="AE172">Common_InputFunctions.Utility_DisplayArrayInTable(Fertiliser_SourceData.Fertiliser_Products_Data3(), FertiliserProducts[[#Headers],[Company]],61)</f>
        <v/>
      </c>
      <c r="AF172" s="148" t="str" cm="1">
        <f t="array" ref="AF172">Common_InputFunctions.Utility_DisplayArrayInTable(Fertiliser_SourceData.Fertiliser_Products_Data3(), FertiliserProducts[[#Headers],[Company]],61)</f>
        <v/>
      </c>
      <c r="AG172" s="148" t="str" cm="1">
        <f t="array" ref="AG172">Common_InputFunctions.Utility_DisplayArrayInTable(Fertiliser_SourceData.Fertiliser_Products_Data3(), FertiliserProducts[[#Headers],[Company]],61)</f>
        <v/>
      </c>
      <c r="AH172" s="148" t="str" cm="1">
        <f t="array" ref="AH172">Common_InputFunctions.Utility_DisplayArrayInTable(Fertiliser_SourceData.Fertiliser_Products_Data3(), FertiliserProducts[[#Headers],[Company]],61)</f>
        <v/>
      </c>
      <c r="AK172" s="1"/>
    </row>
    <row r="173" spans="4:37" ht="20.100000000000001" customHeight="1" x14ac:dyDescent="0.2">
      <c r="D173" s="148" t="str" cm="1">
        <f t="array" ref="D173">Common_InputFunctions.Utility_DisplayArrayInTable(Fertiliser_SourceData.Fertiliser_Products_Data3(), FertiliserProducts[[#Headers],[Company]],61)</f>
        <v>Turf Group Australia (Simplot)</v>
      </c>
      <c r="E173" s="148" t="str" cm="1">
        <f t="array" ref="E173">Common_InputFunctions.Utility_DisplayArrayInTable(Fertiliser_SourceData.Fertiliser_Products_Data3(), FertiliserProducts[[#Headers],[Company]],61)</f>
        <v>Super Cal 15-0-12</v>
      </c>
      <c r="F173" s="148" t="str" cm="1">
        <f t="array" ref="F173">Common_InputFunctions.Utility_DisplayArrayInTable(Fertiliser_SourceData.Fertiliser_Products_Data3(), FertiliserProducts[[#Headers],[Company]],61)</f>
        <v>kg</v>
      </c>
      <c r="G173" s="148" cm="1">
        <f t="array" ref="G173">Common_InputFunctions.Utility_DisplayArrayInTable(Fertiliser_SourceData.Fertiliser_Products_Data3(), FertiliserProducts[[#Headers],[Company]],61)</f>
        <v>1</v>
      </c>
      <c r="H173" s="148" t="str" cm="1">
        <f t="array" ref="H173">Common_InputFunctions.Utility_DisplayArrayInTable(Fertiliser_SourceData.Fertiliser_Products_Data3(), FertiliserProducts[[#Headers],[Company]],61)</f>
        <v/>
      </c>
      <c r="I173" s="148" t="str" cm="1">
        <f t="array" ref="I173">Common_InputFunctions.Utility_DisplayArrayInTable(Fertiliser_SourceData.Fertiliser_Products_Data3(), FertiliserProducts[[#Headers],[Company]],61)</f>
        <v/>
      </c>
      <c r="J173" s="148" t="str" cm="1">
        <f t="array" ref="J173">Common_InputFunctions.Utility_DisplayArrayInTable(Fertiliser_SourceData.Fertiliser_Products_Data3(), FertiliserProducts[[#Headers],[Company]],61)</f>
        <v/>
      </c>
      <c r="K173" s="148" cm="1">
        <f t="array" ref="K173">Common_InputFunctions.Utility_DisplayArrayInTable(Fertiliser_SourceData.Fertiliser_Products_Data3(), FertiliserProducts[[#Headers],[Company]],61)</f>
        <v>15</v>
      </c>
      <c r="L173" s="148" t="str" cm="1">
        <f t="array" ref="L173">Common_InputFunctions.Utility_DisplayArrayInTable(Fertiliser_SourceData.Fertiliser_Products_Data3(), FertiliserProducts[[#Headers],[Company]],61)</f>
        <v/>
      </c>
      <c r="M173" s="148" cm="1">
        <f t="array" ref="M173">Common_InputFunctions.Utility_DisplayArrayInTable(Fertiliser_SourceData.Fertiliser_Products_Data3(), FertiliserProducts[[#Headers],[Company]],61)</f>
        <v>9.9600000000000009</v>
      </c>
      <c r="N173" s="148" t="str" cm="1">
        <f t="array" ref="N173">Common_InputFunctions.Utility_DisplayArrayInTable(Fertiliser_SourceData.Fertiliser_Products_Data3(), FertiliserProducts[[#Headers],[Company]],61)</f>
        <v/>
      </c>
      <c r="O173" s="148" t="str" cm="1">
        <f t="array" ref="O173">Common_InputFunctions.Utility_DisplayArrayInTable(Fertiliser_SourceData.Fertiliser_Products_Data3(), FertiliserProducts[[#Headers],[Company]],61)</f>
        <v>Nitrogen - Nitrate</v>
      </c>
      <c r="P173" s="148" cm="1">
        <f t="array" ref="P173">Common_InputFunctions.Utility_DisplayArrayInTable(Fertiliser_SourceData.Fertiliser_Products_Data3(), FertiliserProducts[[#Headers],[Company]],61)</f>
        <v>8.4737000000000007E-2</v>
      </c>
      <c r="Q173" s="148" t="str" cm="1">
        <f t="array" ref="Q173">Common_InputFunctions.Utility_DisplayArrayInTable(Fertiliser_SourceData.Fertiliser_Products_Data3(), FertiliserProducts[[#Headers],[Company]],61)</f>
        <v>Potassium - Generic</v>
      </c>
      <c r="R173" s="148" cm="1">
        <f t="array" ref="R173">Common_InputFunctions.Utility_DisplayArrayInTable(Fertiliser_SourceData.Fertiliser_Products_Data3(), FertiliserProducts[[#Headers],[Company]],61)</f>
        <v>9.9612000000000006E-2</v>
      </c>
      <c r="S173" s="148" t="str" cm="1">
        <f t="array" ref="S173">Common_InputFunctions.Utility_DisplayArrayInTable(Fertiliser_SourceData.Fertiliser_Products_Data3(), FertiliserProducts[[#Headers],[Company]],61)</f>
        <v>Calcium nitrate</v>
      </c>
      <c r="T173" s="148" cm="1">
        <f t="array" ref="T173">Common_InputFunctions.Utility_DisplayArrayInTable(Fertiliser_SourceData.Fertiliser_Products_Data3(), FertiliserProducts[[#Headers],[Company]],61)</f>
        <v>0.42105300000000001</v>
      </c>
      <c r="U173" s="148" t="str" cm="1">
        <f t="array" ref="U173">Common_InputFunctions.Utility_DisplayArrayInTable(Fertiliser_SourceData.Fertiliser_Products_Data3(), FertiliserProducts[[#Headers],[Company]],61)</f>
        <v>Magnesium</v>
      </c>
      <c r="V173" s="148" cm="1">
        <f t="array" ref="V173">Common_InputFunctions.Utility_DisplayArrayInTable(Fertiliser_SourceData.Fertiliser_Products_Data3(), FertiliserProducts[[#Headers],[Company]],61)</f>
        <v>5.0000000000000001E-3</v>
      </c>
      <c r="W173" s="148" t="str" cm="1">
        <f t="array" ref="W173">Common_InputFunctions.Utility_DisplayArrayInTable(Fertiliser_SourceData.Fertiliser_Products_Data3(), FertiliserProducts[[#Headers],[Company]],61)</f>
        <v>Boron</v>
      </c>
      <c r="X173" s="148" cm="1">
        <f t="array" ref="X173">Common_InputFunctions.Utility_DisplayArrayInTable(Fertiliser_SourceData.Fertiliser_Products_Data3(), FertiliserProducts[[#Headers],[Company]],61)</f>
        <v>2.0000000000000001E-4</v>
      </c>
      <c r="Y173" s="148" t="str" cm="1">
        <f t="array" ref="Y173">Common_InputFunctions.Utility_DisplayArrayInTable(Fertiliser_SourceData.Fertiliser_Products_Data3(), FertiliserProducts[[#Headers],[Company]],61)</f>
        <v/>
      </c>
      <c r="Z173" s="148" t="str" cm="1">
        <f t="array" ref="Z173">Common_InputFunctions.Utility_DisplayArrayInTable(Fertiliser_SourceData.Fertiliser_Products_Data3(), FertiliserProducts[[#Headers],[Company]],61)</f>
        <v/>
      </c>
      <c r="AA173" s="148" t="str" cm="1">
        <f t="array" ref="AA173">Common_InputFunctions.Utility_DisplayArrayInTable(Fertiliser_SourceData.Fertiliser_Products_Data3(), FertiliserProducts[[#Headers],[Company]],61)</f>
        <v/>
      </c>
      <c r="AB173" s="148" t="str" cm="1">
        <f t="array" ref="AB173">Common_InputFunctions.Utility_DisplayArrayInTable(Fertiliser_SourceData.Fertiliser_Products_Data3(), FertiliserProducts[[#Headers],[Company]],61)</f>
        <v/>
      </c>
      <c r="AC173" s="148" t="str" cm="1">
        <f t="array" ref="AC173">Common_InputFunctions.Utility_DisplayArrayInTable(Fertiliser_SourceData.Fertiliser_Products_Data3(), FertiliserProducts[[#Headers],[Company]],61)</f>
        <v/>
      </c>
      <c r="AD173" s="148" t="str" cm="1">
        <f t="array" ref="AD173">Common_InputFunctions.Utility_DisplayArrayInTable(Fertiliser_SourceData.Fertiliser_Products_Data3(), FertiliserProducts[[#Headers],[Company]],61)</f>
        <v/>
      </c>
      <c r="AE173" s="148" t="str" cm="1">
        <f t="array" ref="AE173">Common_InputFunctions.Utility_DisplayArrayInTable(Fertiliser_SourceData.Fertiliser_Products_Data3(), FertiliserProducts[[#Headers],[Company]],61)</f>
        <v/>
      </c>
      <c r="AF173" s="148" t="str" cm="1">
        <f t="array" ref="AF173">Common_InputFunctions.Utility_DisplayArrayInTable(Fertiliser_SourceData.Fertiliser_Products_Data3(), FertiliserProducts[[#Headers],[Company]],61)</f>
        <v/>
      </c>
      <c r="AG173" s="148" t="str" cm="1">
        <f t="array" ref="AG173">Common_InputFunctions.Utility_DisplayArrayInTable(Fertiliser_SourceData.Fertiliser_Products_Data3(), FertiliserProducts[[#Headers],[Company]],61)</f>
        <v/>
      </c>
      <c r="AH173" s="148" t="str" cm="1">
        <f t="array" ref="AH173">Common_InputFunctions.Utility_DisplayArrayInTable(Fertiliser_SourceData.Fertiliser_Products_Data3(), FertiliserProducts[[#Headers],[Company]],61)</f>
        <v/>
      </c>
      <c r="AK173" s="1"/>
    </row>
    <row r="174" spans="4:37" ht="20.100000000000001" customHeight="1" x14ac:dyDescent="0.2">
      <c r="D174" s="148" t="str" cm="1">
        <f t="array" ref="D174">Common_InputFunctions.Utility_DisplayArrayInTable(Fertiliser_SourceData.Fertiliser_Products_Data3(), FertiliserProducts[[#Headers],[Company]],61)</f>
        <v>Incitec Pivot Fertilisers</v>
      </c>
      <c r="E174" s="148" t="str" cm="1">
        <f t="array" ref="E174">Common_InputFunctions.Utility_DisplayArrayInTable(Fertiliser_SourceData.Fertiliser_Products_Data3(), FertiliserProducts[[#Headers],[Company]],61)</f>
        <v>CK 88</v>
      </c>
      <c r="F174" s="148" t="str" cm="1">
        <f t="array" ref="F174">Common_InputFunctions.Utility_DisplayArrayInTable(Fertiliser_SourceData.Fertiliser_Products_Data3(), FertiliserProducts[[#Headers],[Company]],61)</f>
        <v>kg</v>
      </c>
      <c r="G174" s="148" cm="1">
        <f t="array" ref="G174">Common_InputFunctions.Utility_DisplayArrayInTable(Fertiliser_SourceData.Fertiliser_Products_Data3(), FertiliserProducts[[#Headers],[Company]],61)</f>
        <v>1</v>
      </c>
      <c r="H174" s="148" t="str" cm="1">
        <f t="array" ref="H174">Common_InputFunctions.Utility_DisplayArrayInTable(Fertiliser_SourceData.Fertiliser_Products_Data3(), FertiliserProducts[[#Headers],[Company]],61)</f>
        <v/>
      </c>
      <c r="I174" s="148" t="str" cm="1">
        <f t="array" ref="I174">Common_InputFunctions.Utility_DisplayArrayInTable(Fertiliser_SourceData.Fertiliser_Products_Data3(), FertiliserProducts[[#Headers],[Company]],61)</f>
        <v/>
      </c>
      <c r="J174" s="148" t="str" cm="1">
        <f t="array" ref="J174">Common_InputFunctions.Utility_DisplayArrayInTable(Fertiliser_SourceData.Fertiliser_Products_Data3(), FertiliserProducts[[#Headers],[Company]],61)</f>
        <v/>
      </c>
      <c r="K174" s="148" cm="1">
        <f t="array" ref="K174">Common_InputFunctions.Utility_DisplayArrayInTable(Fertiliser_SourceData.Fertiliser_Products_Data3(), FertiliserProducts[[#Headers],[Company]],61)</f>
        <v>15.1</v>
      </c>
      <c r="L174" s="148" cm="1">
        <f t="array" ref="L174">Common_InputFunctions.Utility_DisplayArrayInTable(Fertiliser_SourceData.Fertiliser_Products_Data3(), FertiliserProducts[[#Headers],[Company]],61)</f>
        <v>4.4000000000000004</v>
      </c>
      <c r="M174" s="148" cm="1">
        <f t="array" ref="M174">Common_InputFunctions.Utility_DisplayArrayInTable(Fertiliser_SourceData.Fertiliser_Products_Data3(), FertiliserProducts[[#Headers],[Company]],61)</f>
        <v>11.5</v>
      </c>
      <c r="N174" s="148" cm="1">
        <f t="array" ref="N174">Common_InputFunctions.Utility_DisplayArrayInTable(Fertiliser_SourceData.Fertiliser_Products_Data3(), FertiliserProducts[[#Headers],[Company]],61)</f>
        <v>13.6</v>
      </c>
      <c r="O174" s="148" t="str" cm="1">
        <f t="array" ref="O174">Common_InputFunctions.Utility_DisplayArrayInTable(Fertiliser_SourceData.Fertiliser_Products_Data3(), FertiliserProducts[[#Headers],[Company]],61)</f>
        <v>Nitrogen - Generic</v>
      </c>
      <c r="P174" s="148" cm="1">
        <f t="array" ref="P174">Common_InputFunctions.Utility_DisplayArrayInTable(Fertiliser_SourceData.Fertiliser_Products_Data3(), FertiliserProducts[[#Headers],[Company]],61)</f>
        <v>0.151</v>
      </c>
      <c r="Q174" s="148" t="str" cm="1">
        <f t="array" ref="Q174">Common_InputFunctions.Utility_DisplayArrayInTable(Fertiliser_SourceData.Fertiliser_Products_Data3(), FertiliserProducts[[#Headers],[Company]],61)</f>
        <v>Phosphorus - Generic</v>
      </c>
      <c r="R174" s="148" cm="1">
        <f t="array" ref="R174">Common_InputFunctions.Utility_DisplayArrayInTable(Fertiliser_SourceData.Fertiliser_Products_Data3(), FertiliserProducts[[#Headers],[Company]],61)</f>
        <v>4.3999999999999997E-2</v>
      </c>
      <c r="S174" s="148" t="str" cm="1">
        <f t="array" ref="S174">Common_InputFunctions.Utility_DisplayArrayInTable(Fertiliser_SourceData.Fertiliser_Products_Data3(), FertiliserProducts[[#Headers],[Company]],61)</f>
        <v>Potassium - Generic</v>
      </c>
      <c r="T174" s="148" cm="1">
        <f t="array" ref="T174">Common_InputFunctions.Utility_DisplayArrayInTable(Fertiliser_SourceData.Fertiliser_Products_Data3(), FertiliserProducts[[#Headers],[Company]],61)</f>
        <v>0.115</v>
      </c>
      <c r="U174" s="148" t="str" cm="1">
        <f t="array" ref="U174">Common_InputFunctions.Utility_DisplayArrayInTable(Fertiliser_SourceData.Fertiliser_Products_Data3(), FertiliserProducts[[#Headers],[Company]],61)</f>
        <v>Sulfur - Generic</v>
      </c>
      <c r="V174" s="148" cm="1">
        <f t="array" ref="V174">Common_InputFunctions.Utility_DisplayArrayInTable(Fertiliser_SourceData.Fertiliser_Products_Data3(), FertiliserProducts[[#Headers],[Company]],61)</f>
        <v>0.13600000000000001</v>
      </c>
      <c r="W174" s="148" t="str" cm="1">
        <f t="array" ref="W174">Common_InputFunctions.Utility_DisplayArrayInTable(Fertiliser_SourceData.Fertiliser_Products_Data3(), FertiliserProducts[[#Headers],[Company]],61)</f>
        <v/>
      </c>
      <c r="X174" s="148" t="str" cm="1">
        <f t="array" ref="X174">Common_InputFunctions.Utility_DisplayArrayInTable(Fertiliser_SourceData.Fertiliser_Products_Data3(), FertiliserProducts[[#Headers],[Company]],61)</f>
        <v/>
      </c>
      <c r="Y174" s="148" t="str" cm="1">
        <f t="array" ref="Y174">Common_InputFunctions.Utility_DisplayArrayInTable(Fertiliser_SourceData.Fertiliser_Products_Data3(), FertiliserProducts[[#Headers],[Company]],61)</f>
        <v/>
      </c>
      <c r="Z174" s="148" t="str" cm="1">
        <f t="array" ref="Z174">Common_InputFunctions.Utility_DisplayArrayInTable(Fertiliser_SourceData.Fertiliser_Products_Data3(), FertiliserProducts[[#Headers],[Company]],61)</f>
        <v/>
      </c>
      <c r="AA174" s="148" t="str" cm="1">
        <f t="array" ref="AA174">Common_InputFunctions.Utility_DisplayArrayInTable(Fertiliser_SourceData.Fertiliser_Products_Data3(), FertiliserProducts[[#Headers],[Company]],61)</f>
        <v/>
      </c>
      <c r="AB174" s="148" t="str" cm="1">
        <f t="array" ref="AB174">Common_InputFunctions.Utility_DisplayArrayInTable(Fertiliser_SourceData.Fertiliser_Products_Data3(), FertiliserProducts[[#Headers],[Company]],61)</f>
        <v/>
      </c>
      <c r="AC174" s="148" t="str" cm="1">
        <f t="array" ref="AC174">Common_InputFunctions.Utility_DisplayArrayInTable(Fertiliser_SourceData.Fertiliser_Products_Data3(), FertiliserProducts[[#Headers],[Company]],61)</f>
        <v/>
      </c>
      <c r="AD174" s="148" t="str" cm="1">
        <f t="array" ref="AD174">Common_InputFunctions.Utility_DisplayArrayInTable(Fertiliser_SourceData.Fertiliser_Products_Data3(), FertiliserProducts[[#Headers],[Company]],61)</f>
        <v/>
      </c>
      <c r="AE174" s="148" t="str" cm="1">
        <f t="array" ref="AE174">Common_InputFunctions.Utility_DisplayArrayInTable(Fertiliser_SourceData.Fertiliser_Products_Data3(), FertiliserProducts[[#Headers],[Company]],61)</f>
        <v/>
      </c>
      <c r="AF174" s="148" t="str" cm="1">
        <f t="array" ref="AF174">Common_InputFunctions.Utility_DisplayArrayInTable(Fertiliser_SourceData.Fertiliser_Products_Data3(), FertiliserProducts[[#Headers],[Company]],61)</f>
        <v/>
      </c>
      <c r="AG174" s="148" t="str" cm="1">
        <f t="array" ref="AG174">Common_InputFunctions.Utility_DisplayArrayInTable(Fertiliser_SourceData.Fertiliser_Products_Data3(), FertiliserProducts[[#Headers],[Company]],61)</f>
        <v/>
      </c>
      <c r="AH174" s="148" t="str" cm="1">
        <f t="array" ref="AH174">Common_InputFunctions.Utility_DisplayArrayInTable(Fertiliser_SourceData.Fertiliser_Products_Data3(), FertiliserProducts[[#Headers],[Company]],61)</f>
        <v/>
      </c>
      <c r="AK174" s="1"/>
    </row>
    <row r="175" spans="4:37" ht="20.100000000000001" customHeight="1" x14ac:dyDescent="0.2">
      <c r="D175" s="148" t="str" cm="1">
        <f t="array" ref="D175">Common_InputFunctions.Utility_DisplayArrayInTable(Fertiliser_SourceData.Fertiliser_Products_Data3(), FertiliserProducts[[#Headers],[Company]],61)</f>
        <v>Incitec Pivot Fertilisers</v>
      </c>
      <c r="E175" s="148" t="str" cm="1">
        <f t="array" ref="E175">Common_InputFunctions.Utility_DisplayArrayInTable(Fertiliser_SourceData.Fertiliser_Products_Data3(), FertiliserProducts[[#Headers],[Company]],61)</f>
        <v>CropLift 15</v>
      </c>
      <c r="F175" s="148" t="str" cm="1">
        <f t="array" ref="F175">Common_InputFunctions.Utility_DisplayArrayInTable(Fertiliser_SourceData.Fertiliser_Products_Data3(), FertiliserProducts[[#Headers],[Company]],61)</f>
        <v>kg</v>
      </c>
      <c r="G175" s="148" cm="1">
        <f t="array" ref="G175">Common_InputFunctions.Utility_DisplayArrayInTable(Fertiliser_SourceData.Fertiliser_Products_Data3(), FertiliserProducts[[#Headers],[Company]],61)</f>
        <v>1</v>
      </c>
      <c r="H175" s="148" t="str" cm="1">
        <f t="array" ref="H175">Common_InputFunctions.Utility_DisplayArrayInTable(Fertiliser_SourceData.Fertiliser_Products_Data3(), FertiliserProducts[[#Headers],[Company]],61)</f>
        <v/>
      </c>
      <c r="I175" s="148" t="str" cm="1">
        <f t="array" ref="I175">Common_InputFunctions.Utility_DisplayArrayInTable(Fertiliser_SourceData.Fertiliser_Products_Data3(), FertiliserProducts[[#Headers],[Company]],61)</f>
        <v/>
      </c>
      <c r="J175" s="148" t="str" cm="1">
        <f t="array" ref="J175">Common_InputFunctions.Utility_DisplayArrayInTable(Fertiliser_SourceData.Fertiliser_Products_Data3(), FertiliserProducts[[#Headers],[Company]],61)</f>
        <v/>
      </c>
      <c r="K175" s="148" cm="1">
        <f t="array" ref="K175">Common_InputFunctions.Utility_DisplayArrayInTable(Fertiliser_SourceData.Fertiliser_Products_Data3(), FertiliserProducts[[#Headers],[Company]],61)</f>
        <v>14.6</v>
      </c>
      <c r="L175" s="148" cm="1">
        <f t="array" ref="L175">Common_InputFunctions.Utility_DisplayArrayInTable(Fertiliser_SourceData.Fertiliser_Products_Data3(), FertiliserProducts[[#Headers],[Company]],61)</f>
        <v>12.1</v>
      </c>
      <c r="M175" s="148" t="str" cm="1">
        <f t="array" ref="M175">Common_InputFunctions.Utility_DisplayArrayInTable(Fertiliser_SourceData.Fertiliser_Products_Data3(), FertiliserProducts[[#Headers],[Company]],61)</f>
        <v/>
      </c>
      <c r="N175" s="148" cm="1">
        <f t="array" ref="N175">Common_InputFunctions.Utility_DisplayArrayInTable(Fertiliser_SourceData.Fertiliser_Products_Data3(), FertiliserProducts[[#Headers],[Company]],61)</f>
        <v>11.6</v>
      </c>
      <c r="O175" s="148" t="str" cm="1">
        <f t="array" ref="O175">Common_InputFunctions.Utility_DisplayArrayInTable(Fertiliser_SourceData.Fertiliser_Products_Data3(), FertiliserProducts[[#Headers],[Company]],61)</f>
        <v>Nitrogen - Generic</v>
      </c>
      <c r="P175" s="148" cm="1">
        <f t="array" ref="P175">Common_InputFunctions.Utility_DisplayArrayInTable(Fertiliser_SourceData.Fertiliser_Products_Data3(), FertiliserProducts[[#Headers],[Company]],61)</f>
        <v>0.14599999999999999</v>
      </c>
      <c r="Q175" s="148" t="str" cm="1">
        <f t="array" ref="Q175">Common_InputFunctions.Utility_DisplayArrayInTable(Fertiliser_SourceData.Fertiliser_Products_Data3(), FertiliserProducts[[#Headers],[Company]],61)</f>
        <v>Phosphorus - Generic</v>
      </c>
      <c r="R175" s="148" cm="1">
        <f t="array" ref="R175">Common_InputFunctions.Utility_DisplayArrayInTable(Fertiliser_SourceData.Fertiliser_Products_Data3(), FertiliserProducts[[#Headers],[Company]],61)</f>
        <v>0.121</v>
      </c>
      <c r="S175" s="148" t="str" cm="1">
        <f t="array" ref="S175">Common_InputFunctions.Utility_DisplayArrayInTable(Fertiliser_SourceData.Fertiliser_Products_Data3(), FertiliserProducts[[#Headers],[Company]],61)</f>
        <v>Sulfur - Generic</v>
      </c>
      <c r="T175" s="148" cm="1">
        <f t="array" ref="T175">Common_InputFunctions.Utility_DisplayArrayInTable(Fertiliser_SourceData.Fertiliser_Products_Data3(), FertiliserProducts[[#Headers],[Company]],61)</f>
        <v>0.11600000000000001</v>
      </c>
      <c r="U175" s="148" t="str" cm="1">
        <f t="array" ref="U175">Common_InputFunctions.Utility_DisplayArrayInTable(Fertiliser_SourceData.Fertiliser_Products_Data3(), FertiliserProducts[[#Headers],[Company]],61)</f>
        <v/>
      </c>
      <c r="V175" s="148" t="str" cm="1">
        <f t="array" ref="V175">Common_InputFunctions.Utility_DisplayArrayInTable(Fertiliser_SourceData.Fertiliser_Products_Data3(), FertiliserProducts[[#Headers],[Company]],61)</f>
        <v/>
      </c>
      <c r="W175" s="148" t="str" cm="1">
        <f t="array" ref="W175">Common_InputFunctions.Utility_DisplayArrayInTable(Fertiliser_SourceData.Fertiliser_Products_Data3(), FertiliserProducts[[#Headers],[Company]],61)</f>
        <v/>
      </c>
      <c r="X175" s="148" t="str" cm="1">
        <f t="array" ref="X175">Common_InputFunctions.Utility_DisplayArrayInTable(Fertiliser_SourceData.Fertiliser_Products_Data3(), FertiliserProducts[[#Headers],[Company]],61)</f>
        <v/>
      </c>
      <c r="Y175" s="148" t="str" cm="1">
        <f t="array" ref="Y175">Common_InputFunctions.Utility_DisplayArrayInTable(Fertiliser_SourceData.Fertiliser_Products_Data3(), FertiliserProducts[[#Headers],[Company]],61)</f>
        <v/>
      </c>
      <c r="Z175" s="148" t="str" cm="1">
        <f t="array" ref="Z175">Common_InputFunctions.Utility_DisplayArrayInTable(Fertiliser_SourceData.Fertiliser_Products_Data3(), FertiliserProducts[[#Headers],[Company]],61)</f>
        <v/>
      </c>
      <c r="AA175" s="148" t="str" cm="1">
        <f t="array" ref="AA175">Common_InputFunctions.Utility_DisplayArrayInTable(Fertiliser_SourceData.Fertiliser_Products_Data3(), FertiliserProducts[[#Headers],[Company]],61)</f>
        <v/>
      </c>
      <c r="AB175" s="148" t="str" cm="1">
        <f t="array" ref="AB175">Common_InputFunctions.Utility_DisplayArrayInTable(Fertiliser_SourceData.Fertiliser_Products_Data3(), FertiliserProducts[[#Headers],[Company]],61)</f>
        <v/>
      </c>
      <c r="AC175" s="148" t="str" cm="1">
        <f t="array" ref="AC175">Common_InputFunctions.Utility_DisplayArrayInTable(Fertiliser_SourceData.Fertiliser_Products_Data3(), FertiliserProducts[[#Headers],[Company]],61)</f>
        <v/>
      </c>
      <c r="AD175" s="148" t="str" cm="1">
        <f t="array" ref="AD175">Common_InputFunctions.Utility_DisplayArrayInTable(Fertiliser_SourceData.Fertiliser_Products_Data3(), FertiliserProducts[[#Headers],[Company]],61)</f>
        <v/>
      </c>
      <c r="AE175" s="148" t="str" cm="1">
        <f t="array" ref="AE175">Common_InputFunctions.Utility_DisplayArrayInTable(Fertiliser_SourceData.Fertiliser_Products_Data3(), FertiliserProducts[[#Headers],[Company]],61)</f>
        <v/>
      </c>
      <c r="AF175" s="148" t="str" cm="1">
        <f t="array" ref="AF175">Common_InputFunctions.Utility_DisplayArrayInTable(Fertiliser_SourceData.Fertiliser_Products_Data3(), FertiliserProducts[[#Headers],[Company]],61)</f>
        <v/>
      </c>
      <c r="AG175" s="148" t="str" cm="1">
        <f t="array" ref="AG175">Common_InputFunctions.Utility_DisplayArrayInTable(Fertiliser_SourceData.Fertiliser_Products_Data3(), FertiliserProducts[[#Headers],[Company]],61)</f>
        <v/>
      </c>
      <c r="AH175" s="148" t="str" cm="1">
        <f t="array" ref="AH175">Common_InputFunctions.Utility_DisplayArrayInTable(Fertiliser_SourceData.Fertiliser_Products_Data3(), FertiliserProducts[[#Headers],[Company]],61)</f>
        <v/>
      </c>
      <c r="AK175" s="1"/>
    </row>
    <row r="176" spans="4:37" ht="20.100000000000001" customHeight="1" x14ac:dyDescent="0.2">
      <c r="D176" s="148" t="str" cm="1">
        <f t="array" ref="D176">Common_InputFunctions.Utility_DisplayArrayInTable(Fertiliser_SourceData.Fertiliser_Products_Data3(), FertiliserProducts[[#Headers],[Company]],61)</f>
        <v>Incitec Pivot Fertilisers</v>
      </c>
      <c r="E176" s="148" t="str" cm="1">
        <f t="array" ref="E176">Common_InputFunctions.Utility_DisplayArrayInTable(Fertiliser_SourceData.Fertiliser_Products_Data3(), FertiliserProducts[[#Headers],[Company]],61)</f>
        <v>NPKS 19-13-0-9</v>
      </c>
      <c r="F176" s="148" t="str" cm="1">
        <f t="array" ref="F176">Common_InputFunctions.Utility_DisplayArrayInTable(Fertiliser_SourceData.Fertiliser_Products_Data3(), FertiliserProducts[[#Headers],[Company]],61)</f>
        <v>kg</v>
      </c>
      <c r="G176" s="148" cm="1">
        <f t="array" ref="G176">Common_InputFunctions.Utility_DisplayArrayInTable(Fertiliser_SourceData.Fertiliser_Products_Data3(), FertiliserProducts[[#Headers],[Company]],61)</f>
        <v>1</v>
      </c>
      <c r="H176" s="148" t="str" cm="1">
        <f t="array" ref="H176">Common_InputFunctions.Utility_DisplayArrayInTable(Fertiliser_SourceData.Fertiliser_Products_Data3(), FertiliserProducts[[#Headers],[Company]],61)</f>
        <v/>
      </c>
      <c r="I176" s="148" t="str" cm="1">
        <f t="array" ref="I176">Common_InputFunctions.Utility_DisplayArrayInTable(Fertiliser_SourceData.Fertiliser_Products_Data3(), FertiliserProducts[[#Headers],[Company]],61)</f>
        <v/>
      </c>
      <c r="J176" s="148" t="str" cm="1">
        <f t="array" ref="J176">Common_InputFunctions.Utility_DisplayArrayInTable(Fertiliser_SourceData.Fertiliser_Products_Data3(), FertiliserProducts[[#Headers],[Company]],61)</f>
        <v/>
      </c>
      <c r="K176" s="148" cm="1">
        <f t="array" ref="K176">Common_InputFunctions.Utility_DisplayArrayInTable(Fertiliser_SourceData.Fertiliser_Products_Data3(), FertiliserProducts[[#Headers],[Company]],61)</f>
        <v>19</v>
      </c>
      <c r="L176" s="148" cm="1">
        <f t="array" ref="L176">Common_InputFunctions.Utility_DisplayArrayInTable(Fertiliser_SourceData.Fertiliser_Products_Data3(), FertiliserProducts[[#Headers],[Company]],61)</f>
        <v>13</v>
      </c>
      <c r="M176" s="148" cm="1">
        <f t="array" ref="M176">Common_InputFunctions.Utility_DisplayArrayInTable(Fertiliser_SourceData.Fertiliser_Products_Data3(), FertiliserProducts[[#Headers],[Company]],61)</f>
        <v>0</v>
      </c>
      <c r="N176" s="148" cm="1">
        <f t="array" ref="N176">Common_InputFunctions.Utility_DisplayArrayInTable(Fertiliser_SourceData.Fertiliser_Products_Data3(), FertiliserProducts[[#Headers],[Company]],61)</f>
        <v>9</v>
      </c>
      <c r="O176" s="148" t="str" cm="1">
        <f t="array" ref="O176">Common_InputFunctions.Utility_DisplayArrayInTable(Fertiliser_SourceData.Fertiliser_Products_Data3(), FertiliserProducts[[#Headers],[Company]],61)</f>
        <v>Nitrogen - Generic</v>
      </c>
      <c r="P176" s="148" cm="1">
        <f t="array" ref="P176">Common_InputFunctions.Utility_DisplayArrayInTable(Fertiliser_SourceData.Fertiliser_Products_Data3(), FertiliserProducts[[#Headers],[Company]],61)</f>
        <v>0.19</v>
      </c>
      <c r="Q176" s="148" t="str" cm="1">
        <f t="array" ref="Q176">Common_InputFunctions.Utility_DisplayArrayInTable(Fertiliser_SourceData.Fertiliser_Products_Data3(), FertiliserProducts[[#Headers],[Company]],61)</f>
        <v>Phosphorus - Generic</v>
      </c>
      <c r="R176" s="148" cm="1">
        <f t="array" ref="R176">Common_InputFunctions.Utility_DisplayArrayInTable(Fertiliser_SourceData.Fertiliser_Products_Data3(), FertiliserProducts[[#Headers],[Company]],61)</f>
        <v>0.13</v>
      </c>
      <c r="S176" s="148" t="str" cm="1">
        <f t="array" ref="S176">Common_InputFunctions.Utility_DisplayArrayInTable(Fertiliser_SourceData.Fertiliser_Products_Data3(), FertiliserProducts[[#Headers],[Company]],61)</f>
        <v>Sulfur - Generic</v>
      </c>
      <c r="T176" s="148" cm="1">
        <f t="array" ref="T176">Common_InputFunctions.Utility_DisplayArrayInTable(Fertiliser_SourceData.Fertiliser_Products_Data3(), FertiliserProducts[[#Headers],[Company]],61)</f>
        <v>0.09</v>
      </c>
      <c r="U176" s="148" t="str" cm="1">
        <f t="array" ref="U176">Common_InputFunctions.Utility_DisplayArrayInTable(Fertiliser_SourceData.Fertiliser_Products_Data3(), FertiliserProducts[[#Headers],[Company]],61)</f>
        <v/>
      </c>
      <c r="V176" s="148" t="str" cm="1">
        <f t="array" ref="V176">Common_InputFunctions.Utility_DisplayArrayInTable(Fertiliser_SourceData.Fertiliser_Products_Data3(), FertiliserProducts[[#Headers],[Company]],61)</f>
        <v/>
      </c>
      <c r="W176" s="148" t="str" cm="1">
        <f t="array" ref="W176">Common_InputFunctions.Utility_DisplayArrayInTable(Fertiliser_SourceData.Fertiliser_Products_Data3(), FertiliserProducts[[#Headers],[Company]],61)</f>
        <v/>
      </c>
      <c r="X176" s="148" t="str" cm="1">
        <f t="array" ref="X176">Common_InputFunctions.Utility_DisplayArrayInTable(Fertiliser_SourceData.Fertiliser_Products_Data3(), FertiliserProducts[[#Headers],[Company]],61)</f>
        <v/>
      </c>
      <c r="Y176" s="148" t="str" cm="1">
        <f t="array" ref="Y176">Common_InputFunctions.Utility_DisplayArrayInTable(Fertiliser_SourceData.Fertiliser_Products_Data3(), FertiliserProducts[[#Headers],[Company]],61)</f>
        <v/>
      </c>
      <c r="Z176" s="148" t="str" cm="1">
        <f t="array" ref="Z176">Common_InputFunctions.Utility_DisplayArrayInTable(Fertiliser_SourceData.Fertiliser_Products_Data3(), FertiliserProducts[[#Headers],[Company]],61)</f>
        <v/>
      </c>
      <c r="AA176" s="148" t="str" cm="1">
        <f t="array" ref="AA176">Common_InputFunctions.Utility_DisplayArrayInTable(Fertiliser_SourceData.Fertiliser_Products_Data3(), FertiliserProducts[[#Headers],[Company]],61)</f>
        <v/>
      </c>
      <c r="AB176" s="148" t="str" cm="1">
        <f t="array" ref="AB176">Common_InputFunctions.Utility_DisplayArrayInTable(Fertiliser_SourceData.Fertiliser_Products_Data3(), FertiliserProducts[[#Headers],[Company]],61)</f>
        <v/>
      </c>
      <c r="AC176" s="148" t="str" cm="1">
        <f t="array" ref="AC176">Common_InputFunctions.Utility_DisplayArrayInTable(Fertiliser_SourceData.Fertiliser_Products_Data3(), FertiliserProducts[[#Headers],[Company]],61)</f>
        <v/>
      </c>
      <c r="AD176" s="148" t="str" cm="1">
        <f t="array" ref="AD176">Common_InputFunctions.Utility_DisplayArrayInTable(Fertiliser_SourceData.Fertiliser_Products_Data3(), FertiliserProducts[[#Headers],[Company]],61)</f>
        <v/>
      </c>
      <c r="AE176" s="148" t="str" cm="1">
        <f t="array" ref="AE176">Common_InputFunctions.Utility_DisplayArrayInTable(Fertiliser_SourceData.Fertiliser_Products_Data3(), FertiliserProducts[[#Headers],[Company]],61)</f>
        <v/>
      </c>
      <c r="AF176" s="148" t="str" cm="1">
        <f t="array" ref="AF176">Common_InputFunctions.Utility_DisplayArrayInTable(Fertiliser_SourceData.Fertiliser_Products_Data3(), FertiliserProducts[[#Headers],[Company]],61)</f>
        <v/>
      </c>
      <c r="AG176" s="148" t="str" cm="1">
        <f t="array" ref="AG176">Common_InputFunctions.Utility_DisplayArrayInTable(Fertiliser_SourceData.Fertiliser_Products_Data3(), FertiliserProducts[[#Headers],[Company]],61)</f>
        <v/>
      </c>
      <c r="AH176" s="148" t="str" cm="1">
        <f t="array" ref="AH176">Common_InputFunctions.Utility_DisplayArrayInTable(Fertiliser_SourceData.Fertiliser_Products_Data3(), FertiliserProducts[[#Headers],[Company]],61)</f>
        <v/>
      </c>
      <c r="AK176" s="1"/>
    </row>
    <row r="177" spans="1:37" ht="20.100000000000001" customHeight="1" x14ac:dyDescent="0.2">
      <c r="D177" s="148" t="str" cm="1">
        <f t="array" ref="D177">Common_InputFunctions.Utility_DisplayArrayInTable(Fertiliser_SourceData.Fertiliser_Products_Data3(), FertiliserProducts[[#Headers],[Company]],61)</f>
        <v>Incitec Pivot Fertilisers</v>
      </c>
      <c r="E177" s="148" t="str" cm="1">
        <f t="array" ref="E177">Common_InputFunctions.Utility_DisplayArrayInTable(Fertiliser_SourceData.Fertiliser_Products_Data3(), FertiliserProducts[[#Headers],[Company]],61)</f>
        <v>PastureBoosta</v>
      </c>
      <c r="F177" s="148" t="str" cm="1">
        <f t="array" ref="F177">Common_InputFunctions.Utility_DisplayArrayInTable(Fertiliser_SourceData.Fertiliser_Products_Data3(), FertiliserProducts[[#Headers],[Company]],61)</f>
        <v>kg</v>
      </c>
      <c r="G177" s="148" cm="1">
        <f t="array" ref="G177">Common_InputFunctions.Utility_DisplayArrayInTable(Fertiliser_SourceData.Fertiliser_Products_Data3(), FertiliserProducts[[#Headers],[Company]],61)</f>
        <v>1</v>
      </c>
      <c r="H177" s="148" t="str" cm="1">
        <f t="array" ref="H177">Common_InputFunctions.Utility_DisplayArrayInTable(Fertiliser_SourceData.Fertiliser_Products_Data3(), FertiliserProducts[[#Headers],[Company]],61)</f>
        <v/>
      </c>
      <c r="I177" s="148" t="str" cm="1">
        <f t="array" ref="I177">Common_InputFunctions.Utility_DisplayArrayInTable(Fertiliser_SourceData.Fertiliser_Products_Data3(), FertiliserProducts[[#Headers],[Company]],61)</f>
        <v/>
      </c>
      <c r="J177" s="148" t="str" cm="1">
        <f t="array" ref="J177">Common_InputFunctions.Utility_DisplayArrayInTable(Fertiliser_SourceData.Fertiliser_Products_Data3(), FertiliserProducts[[#Headers],[Company]],61)</f>
        <v/>
      </c>
      <c r="K177" s="148" cm="1">
        <f t="array" ref="K177">Common_InputFunctions.Utility_DisplayArrayInTable(Fertiliser_SourceData.Fertiliser_Products_Data3(), FertiliserProducts[[#Headers],[Company]],61)</f>
        <v>23.8</v>
      </c>
      <c r="L177" s="148" cm="1">
        <f t="array" ref="L177">Common_InputFunctions.Utility_DisplayArrayInTable(Fertiliser_SourceData.Fertiliser_Products_Data3(), FertiliserProducts[[#Headers],[Company]],61)</f>
        <v>3.7</v>
      </c>
      <c r="M177" s="148" cm="1">
        <f t="array" ref="M177">Common_InputFunctions.Utility_DisplayArrayInTable(Fertiliser_SourceData.Fertiliser_Products_Data3(), FertiliserProducts[[#Headers],[Company]],61)</f>
        <v>13</v>
      </c>
      <c r="N177" s="148" cm="1">
        <f t="array" ref="N177">Common_InputFunctions.Utility_DisplayArrayInTable(Fertiliser_SourceData.Fertiliser_Products_Data3(), FertiliserProducts[[#Headers],[Company]],61)</f>
        <v>4.0999999999999996</v>
      </c>
      <c r="O177" s="148" t="str" cm="1">
        <f t="array" ref="O177">Common_InputFunctions.Utility_DisplayArrayInTable(Fertiliser_SourceData.Fertiliser_Products_Data3(), FertiliserProducts[[#Headers],[Company]],61)</f>
        <v>Nitrogen - Generic</v>
      </c>
      <c r="P177" s="148" cm="1">
        <f t="array" ref="P177">Common_InputFunctions.Utility_DisplayArrayInTable(Fertiliser_SourceData.Fertiliser_Products_Data3(), FertiliserProducts[[#Headers],[Company]],61)</f>
        <v>0.23799999999999999</v>
      </c>
      <c r="Q177" s="148" t="str" cm="1">
        <f t="array" ref="Q177">Common_InputFunctions.Utility_DisplayArrayInTable(Fertiliser_SourceData.Fertiliser_Products_Data3(), FertiliserProducts[[#Headers],[Company]],61)</f>
        <v>Phosphorus - Generic</v>
      </c>
      <c r="R177" s="148" cm="1">
        <f t="array" ref="R177">Common_InputFunctions.Utility_DisplayArrayInTable(Fertiliser_SourceData.Fertiliser_Products_Data3(), FertiliserProducts[[#Headers],[Company]],61)</f>
        <v>3.6999999999999998E-2</v>
      </c>
      <c r="S177" s="148" t="str" cm="1">
        <f t="array" ref="S177">Common_InputFunctions.Utility_DisplayArrayInTable(Fertiliser_SourceData.Fertiliser_Products_Data3(), FertiliserProducts[[#Headers],[Company]],61)</f>
        <v>Potassium - Generic</v>
      </c>
      <c r="T177" s="148" cm="1">
        <f t="array" ref="T177">Common_InputFunctions.Utility_DisplayArrayInTable(Fertiliser_SourceData.Fertiliser_Products_Data3(), FertiliserProducts[[#Headers],[Company]],61)</f>
        <v>0.13</v>
      </c>
      <c r="U177" s="148" t="str" cm="1">
        <f t="array" ref="U177">Common_InputFunctions.Utility_DisplayArrayInTable(Fertiliser_SourceData.Fertiliser_Products_Data3(), FertiliserProducts[[#Headers],[Company]],61)</f>
        <v>Sulfur - Generic</v>
      </c>
      <c r="V177" s="148" cm="1">
        <f t="array" ref="V177">Common_InputFunctions.Utility_DisplayArrayInTable(Fertiliser_SourceData.Fertiliser_Products_Data3(), FertiliserProducts[[#Headers],[Company]],61)</f>
        <v>4.1000000000000002E-2</v>
      </c>
      <c r="W177" s="148" t="str" cm="1">
        <f t="array" ref="W177">Common_InputFunctions.Utility_DisplayArrayInTable(Fertiliser_SourceData.Fertiliser_Products_Data3(), FertiliserProducts[[#Headers],[Company]],61)</f>
        <v/>
      </c>
      <c r="X177" s="148" t="str" cm="1">
        <f t="array" ref="X177">Common_InputFunctions.Utility_DisplayArrayInTable(Fertiliser_SourceData.Fertiliser_Products_Data3(), FertiliserProducts[[#Headers],[Company]],61)</f>
        <v/>
      </c>
      <c r="Y177" s="148" t="str" cm="1">
        <f t="array" ref="Y177">Common_InputFunctions.Utility_DisplayArrayInTable(Fertiliser_SourceData.Fertiliser_Products_Data3(), FertiliserProducts[[#Headers],[Company]],61)</f>
        <v/>
      </c>
      <c r="Z177" s="148" t="str" cm="1">
        <f t="array" ref="Z177">Common_InputFunctions.Utility_DisplayArrayInTable(Fertiliser_SourceData.Fertiliser_Products_Data3(), FertiliserProducts[[#Headers],[Company]],61)</f>
        <v/>
      </c>
      <c r="AA177" s="148" t="str" cm="1">
        <f t="array" ref="AA177">Common_InputFunctions.Utility_DisplayArrayInTable(Fertiliser_SourceData.Fertiliser_Products_Data3(), FertiliserProducts[[#Headers],[Company]],61)</f>
        <v/>
      </c>
      <c r="AB177" s="148" t="str" cm="1">
        <f t="array" ref="AB177">Common_InputFunctions.Utility_DisplayArrayInTable(Fertiliser_SourceData.Fertiliser_Products_Data3(), FertiliserProducts[[#Headers],[Company]],61)</f>
        <v/>
      </c>
      <c r="AC177" s="148" t="str" cm="1">
        <f t="array" ref="AC177">Common_InputFunctions.Utility_DisplayArrayInTable(Fertiliser_SourceData.Fertiliser_Products_Data3(), FertiliserProducts[[#Headers],[Company]],61)</f>
        <v/>
      </c>
      <c r="AD177" s="148" t="str" cm="1">
        <f t="array" ref="AD177">Common_InputFunctions.Utility_DisplayArrayInTable(Fertiliser_SourceData.Fertiliser_Products_Data3(), FertiliserProducts[[#Headers],[Company]],61)</f>
        <v/>
      </c>
      <c r="AE177" s="148" t="str" cm="1">
        <f t="array" ref="AE177">Common_InputFunctions.Utility_DisplayArrayInTable(Fertiliser_SourceData.Fertiliser_Products_Data3(), FertiliserProducts[[#Headers],[Company]],61)</f>
        <v/>
      </c>
      <c r="AF177" s="148" t="str" cm="1">
        <f t="array" ref="AF177">Common_InputFunctions.Utility_DisplayArrayInTable(Fertiliser_SourceData.Fertiliser_Products_Data3(), FertiliserProducts[[#Headers],[Company]],61)</f>
        <v/>
      </c>
      <c r="AG177" s="148" t="str" cm="1">
        <f t="array" ref="AG177">Common_InputFunctions.Utility_DisplayArrayInTable(Fertiliser_SourceData.Fertiliser_Products_Data3(), FertiliserProducts[[#Headers],[Company]],61)</f>
        <v/>
      </c>
      <c r="AH177" s="148" t="str" cm="1">
        <f t="array" ref="AH177">Common_InputFunctions.Utility_DisplayArrayInTable(Fertiliser_SourceData.Fertiliser_Products_Data3(), FertiliserProducts[[#Headers],[Company]],61)</f>
        <v/>
      </c>
      <c r="AK177" s="1"/>
    </row>
    <row r="178" spans="1:37" ht="20.100000000000001" customHeight="1" x14ac:dyDescent="0.2">
      <c r="D178" s="148" t="str" cm="1">
        <f t="array" ref="D178">Common_InputFunctions.Utility_DisplayArrayInTable(Fertiliser_SourceData.Fertiliser_Products_Data3(), FertiliserProducts[[#Headers],[Company]],61)</f>
        <v>Incitec Pivot Fertilisers</v>
      </c>
      <c r="E178" s="148" t="str" cm="1">
        <f t="array" ref="E178">Common_InputFunctions.Utility_DisplayArrayInTable(Fertiliser_SourceData.Fertiliser_Products_Data3(), FertiliserProducts[[#Headers],[Company]],61)</f>
        <v>Greentop K</v>
      </c>
      <c r="F178" s="148" t="str" cm="1">
        <f t="array" ref="F178">Common_InputFunctions.Utility_DisplayArrayInTable(Fertiliser_SourceData.Fertiliser_Products_Data3(), FertiliserProducts[[#Headers],[Company]],61)</f>
        <v>kg</v>
      </c>
      <c r="G178" s="148" cm="1">
        <f t="array" ref="G178">Common_InputFunctions.Utility_DisplayArrayInTable(Fertiliser_SourceData.Fertiliser_Products_Data3(), FertiliserProducts[[#Headers],[Company]],61)</f>
        <v>1</v>
      </c>
      <c r="H178" s="148" t="str" cm="1">
        <f t="array" ref="H178">Common_InputFunctions.Utility_DisplayArrayInTable(Fertiliser_SourceData.Fertiliser_Products_Data3(), FertiliserProducts[[#Headers],[Company]],61)</f>
        <v/>
      </c>
      <c r="I178" s="148" t="str" cm="1">
        <f t="array" ref="I178">Common_InputFunctions.Utility_DisplayArrayInTable(Fertiliser_SourceData.Fertiliser_Products_Data3(), FertiliserProducts[[#Headers],[Company]],61)</f>
        <v/>
      </c>
      <c r="J178" s="148" t="str" cm="1">
        <f t="array" ref="J178">Common_InputFunctions.Utility_DisplayArrayInTable(Fertiliser_SourceData.Fertiliser_Products_Data3(), FertiliserProducts[[#Headers],[Company]],61)</f>
        <v/>
      </c>
      <c r="K178" s="148" cm="1">
        <f t="array" ref="K178">Common_InputFunctions.Utility_DisplayArrayInTable(Fertiliser_SourceData.Fertiliser_Products_Data3(), FertiliserProducts[[#Headers],[Company]],61)</f>
        <v>32.799999999999997</v>
      </c>
      <c r="L178" s="148" t="str" cm="1">
        <f t="array" ref="L178">Common_InputFunctions.Utility_DisplayArrayInTable(Fertiliser_SourceData.Fertiliser_Products_Data3(), FertiliserProducts[[#Headers],[Company]],61)</f>
        <v/>
      </c>
      <c r="M178" s="148" cm="1">
        <f t="array" ref="M178">Common_InputFunctions.Utility_DisplayArrayInTable(Fertiliser_SourceData.Fertiliser_Products_Data3(), FertiliserProducts[[#Headers],[Company]],61)</f>
        <v>11</v>
      </c>
      <c r="N178" s="148" cm="1">
        <f t="array" ref="N178">Common_InputFunctions.Utility_DisplayArrayInTable(Fertiliser_SourceData.Fertiliser_Products_Data3(), FertiliserProducts[[#Headers],[Company]],61)</f>
        <v>2.9</v>
      </c>
      <c r="O178" s="148" t="str" cm="1">
        <f t="array" ref="O178">Common_InputFunctions.Utility_DisplayArrayInTable(Fertiliser_SourceData.Fertiliser_Products_Data3(), FertiliserProducts[[#Headers],[Company]],61)</f>
        <v>Urea</v>
      </c>
      <c r="P178" s="148" cm="1">
        <f t="array" ref="P178">Common_InputFunctions.Utility_DisplayArrayInTable(Fertiliser_SourceData.Fertiliser_Products_Data3(), FertiliserProducts[[#Headers],[Company]],61)</f>
        <v>0.66086999999999996</v>
      </c>
      <c r="Q178" s="148" t="str" cm="1">
        <f t="array" ref="Q178">Common_InputFunctions.Utility_DisplayArrayInTable(Fertiliser_SourceData.Fertiliser_Products_Data3(), FertiliserProducts[[#Headers],[Company]],61)</f>
        <v>Nitrogen - Ammoniacal</v>
      </c>
      <c r="R178" s="148" cm="1">
        <f t="array" ref="R178">Common_InputFunctions.Utility_DisplayArrayInTable(Fertiliser_SourceData.Fertiliser_Products_Data3(), FertiliserProducts[[#Headers],[Company]],61)</f>
        <v>2.4E-2</v>
      </c>
      <c r="S178" s="148" t="str" cm="1">
        <f t="array" ref="S178">Common_InputFunctions.Utility_DisplayArrayInTable(Fertiliser_SourceData.Fertiliser_Products_Data3(), FertiliserProducts[[#Headers],[Company]],61)</f>
        <v>Potassium - Generic</v>
      </c>
      <c r="T178" s="148" cm="1">
        <f t="array" ref="T178">Common_InputFunctions.Utility_DisplayArrayInTable(Fertiliser_SourceData.Fertiliser_Products_Data3(), FertiliserProducts[[#Headers],[Company]],61)</f>
        <v>0.11</v>
      </c>
      <c r="U178" s="148" t="str" cm="1">
        <f t="array" ref="U178">Common_InputFunctions.Utility_DisplayArrayInTable(Fertiliser_SourceData.Fertiliser_Products_Data3(), FertiliserProducts[[#Headers],[Company]],61)</f>
        <v>Sulfur - Generic</v>
      </c>
      <c r="V178" s="148" cm="1">
        <f t="array" ref="V178">Common_InputFunctions.Utility_DisplayArrayInTable(Fertiliser_SourceData.Fertiliser_Products_Data3(), FertiliserProducts[[#Headers],[Company]],61)</f>
        <v>2.9000000000000001E-2</v>
      </c>
      <c r="W178" s="148" t="str" cm="1">
        <f t="array" ref="W178">Common_InputFunctions.Utility_DisplayArrayInTable(Fertiliser_SourceData.Fertiliser_Products_Data3(), FertiliserProducts[[#Headers],[Company]],61)</f>
        <v/>
      </c>
      <c r="X178" s="148" t="str" cm="1">
        <f t="array" ref="X178">Common_InputFunctions.Utility_DisplayArrayInTable(Fertiliser_SourceData.Fertiliser_Products_Data3(), FertiliserProducts[[#Headers],[Company]],61)</f>
        <v/>
      </c>
      <c r="Y178" s="148" t="str" cm="1">
        <f t="array" ref="Y178">Common_InputFunctions.Utility_DisplayArrayInTable(Fertiliser_SourceData.Fertiliser_Products_Data3(), FertiliserProducts[[#Headers],[Company]],61)</f>
        <v/>
      </c>
      <c r="Z178" s="148" t="str" cm="1">
        <f t="array" ref="Z178">Common_InputFunctions.Utility_DisplayArrayInTable(Fertiliser_SourceData.Fertiliser_Products_Data3(), FertiliserProducts[[#Headers],[Company]],61)</f>
        <v/>
      </c>
      <c r="AA178" s="148" t="str" cm="1">
        <f t="array" ref="AA178">Common_InputFunctions.Utility_DisplayArrayInTable(Fertiliser_SourceData.Fertiliser_Products_Data3(), FertiliserProducts[[#Headers],[Company]],61)</f>
        <v/>
      </c>
      <c r="AB178" s="148" t="str" cm="1">
        <f t="array" ref="AB178">Common_InputFunctions.Utility_DisplayArrayInTable(Fertiliser_SourceData.Fertiliser_Products_Data3(), FertiliserProducts[[#Headers],[Company]],61)</f>
        <v/>
      </c>
      <c r="AC178" s="148" t="str" cm="1">
        <f t="array" ref="AC178">Common_InputFunctions.Utility_DisplayArrayInTable(Fertiliser_SourceData.Fertiliser_Products_Data3(), FertiliserProducts[[#Headers],[Company]],61)</f>
        <v/>
      </c>
      <c r="AD178" s="148" t="str" cm="1">
        <f t="array" ref="AD178">Common_InputFunctions.Utility_DisplayArrayInTable(Fertiliser_SourceData.Fertiliser_Products_Data3(), FertiliserProducts[[#Headers],[Company]],61)</f>
        <v/>
      </c>
      <c r="AE178" s="148" t="str" cm="1">
        <f t="array" ref="AE178">Common_InputFunctions.Utility_DisplayArrayInTable(Fertiliser_SourceData.Fertiliser_Products_Data3(), FertiliserProducts[[#Headers],[Company]],61)</f>
        <v/>
      </c>
      <c r="AF178" s="148" t="str" cm="1">
        <f t="array" ref="AF178">Common_InputFunctions.Utility_DisplayArrayInTable(Fertiliser_SourceData.Fertiliser_Products_Data3(), FertiliserProducts[[#Headers],[Company]],61)</f>
        <v/>
      </c>
      <c r="AG178" s="148" t="str" cm="1">
        <f t="array" ref="AG178">Common_InputFunctions.Utility_DisplayArrayInTable(Fertiliser_SourceData.Fertiliser_Products_Data3(), FertiliserProducts[[#Headers],[Company]],61)</f>
        <v/>
      </c>
      <c r="AH178" s="148" t="str" cm="1">
        <f t="array" ref="AH178">Common_InputFunctions.Utility_DisplayArrayInTable(Fertiliser_SourceData.Fertiliser_Products_Data3(), FertiliserProducts[[#Headers],[Company]],61)</f>
        <v/>
      </c>
      <c r="AK178" s="1"/>
    </row>
    <row r="179" spans="1:37" ht="20.100000000000001" customHeight="1" x14ac:dyDescent="0.2">
      <c r="D179" s="148" t="str" cm="1">
        <f t="array" ref="D179">Common_InputFunctions.Utility_DisplayArrayInTable(Fertiliser_SourceData.Fertiliser_Products_Data3(), FertiliserProducts[[#Headers],[Company]],61)</f>
        <v>Incitec Pivot Fertilisers</v>
      </c>
      <c r="E179" s="148" t="str" cm="1">
        <f t="array" ref="E179">Common_InputFunctions.Utility_DisplayArrayInTable(Fertiliser_SourceData.Fertiliser_Products_Data3(), FertiliserProducts[[#Headers],[Company]],61)</f>
        <v>HayBoosta</v>
      </c>
      <c r="F179" s="148" t="str" cm="1">
        <f t="array" ref="F179">Common_InputFunctions.Utility_DisplayArrayInTable(Fertiliser_SourceData.Fertiliser_Products_Data3(), FertiliserProducts[[#Headers],[Company]],61)</f>
        <v>kg</v>
      </c>
      <c r="G179" s="148" cm="1">
        <f t="array" ref="G179">Common_InputFunctions.Utility_DisplayArrayInTable(Fertiliser_SourceData.Fertiliser_Products_Data3(), FertiliserProducts[[#Headers],[Company]],61)</f>
        <v>1</v>
      </c>
      <c r="H179" s="148" t="str" cm="1">
        <f t="array" ref="H179">Common_InputFunctions.Utility_DisplayArrayInTable(Fertiliser_SourceData.Fertiliser_Products_Data3(), FertiliserProducts[[#Headers],[Company]],61)</f>
        <v/>
      </c>
      <c r="I179" s="148" t="str" cm="1">
        <f t="array" ref="I179">Common_InputFunctions.Utility_DisplayArrayInTable(Fertiliser_SourceData.Fertiliser_Products_Data3(), FertiliserProducts[[#Headers],[Company]],61)</f>
        <v/>
      </c>
      <c r="J179" s="148" t="str" cm="1">
        <f t="array" ref="J179">Common_InputFunctions.Utility_DisplayArrayInTable(Fertiliser_SourceData.Fertiliser_Products_Data3(), FertiliserProducts[[#Headers],[Company]],61)</f>
        <v/>
      </c>
      <c r="K179" s="148" cm="1">
        <f t="array" ref="K179">Common_InputFunctions.Utility_DisplayArrayInTable(Fertiliser_SourceData.Fertiliser_Products_Data3(), FertiliserProducts[[#Headers],[Company]],61)</f>
        <v>11.7</v>
      </c>
      <c r="L179" s="148" cm="1">
        <f t="array" ref="L179">Common_InputFunctions.Utility_DisplayArrayInTable(Fertiliser_SourceData.Fertiliser_Products_Data3(), FertiliserProducts[[#Headers],[Company]],61)</f>
        <v>4.7</v>
      </c>
      <c r="M179" s="148" cm="1">
        <f t="array" ref="M179">Common_InputFunctions.Utility_DisplayArrayInTable(Fertiliser_SourceData.Fertiliser_Products_Data3(), FertiliserProducts[[#Headers],[Company]],61)</f>
        <v>23.9</v>
      </c>
      <c r="N179" s="148" cm="1">
        <f t="array" ref="N179">Common_InputFunctions.Utility_DisplayArrayInTable(Fertiliser_SourceData.Fertiliser_Products_Data3(), FertiliserProducts[[#Headers],[Company]],61)</f>
        <v>4.5999999999999996</v>
      </c>
      <c r="O179" s="148" t="str" cm="1">
        <f t="array" ref="O179">Common_InputFunctions.Utility_DisplayArrayInTable(Fertiliser_SourceData.Fertiliser_Products_Data3(), FertiliserProducts[[#Headers],[Company]],61)</f>
        <v>Nitrogen - Generic</v>
      </c>
      <c r="P179" s="148" cm="1">
        <f t="array" ref="P179">Common_InputFunctions.Utility_DisplayArrayInTable(Fertiliser_SourceData.Fertiliser_Products_Data3(), FertiliserProducts[[#Headers],[Company]],61)</f>
        <v>0.11700000000000001</v>
      </c>
      <c r="Q179" s="148" t="str" cm="1">
        <f t="array" ref="Q179">Common_InputFunctions.Utility_DisplayArrayInTable(Fertiliser_SourceData.Fertiliser_Products_Data3(), FertiliserProducts[[#Headers],[Company]],61)</f>
        <v>Phosphorus - Generic</v>
      </c>
      <c r="R179" s="148" cm="1">
        <f t="array" ref="R179">Common_InputFunctions.Utility_DisplayArrayInTable(Fertiliser_SourceData.Fertiliser_Products_Data3(), FertiliserProducts[[#Headers],[Company]],61)</f>
        <v>4.7E-2</v>
      </c>
      <c r="S179" s="148" t="str" cm="1">
        <f t="array" ref="S179">Common_InputFunctions.Utility_DisplayArrayInTable(Fertiliser_SourceData.Fertiliser_Products_Data3(), FertiliserProducts[[#Headers],[Company]],61)</f>
        <v>Potassium - Generic</v>
      </c>
      <c r="T179" s="148" cm="1">
        <f t="array" ref="T179">Common_InputFunctions.Utility_DisplayArrayInTable(Fertiliser_SourceData.Fertiliser_Products_Data3(), FertiliserProducts[[#Headers],[Company]],61)</f>
        <v>0.23899999999999999</v>
      </c>
      <c r="U179" s="148" t="str" cm="1">
        <f t="array" ref="U179">Common_InputFunctions.Utility_DisplayArrayInTable(Fertiliser_SourceData.Fertiliser_Products_Data3(), FertiliserProducts[[#Headers],[Company]],61)</f>
        <v>Sulfur - Generic</v>
      </c>
      <c r="V179" s="148" cm="1">
        <f t="array" ref="V179">Common_InputFunctions.Utility_DisplayArrayInTable(Fertiliser_SourceData.Fertiliser_Products_Data3(), FertiliserProducts[[#Headers],[Company]],61)</f>
        <v>4.5999999999999999E-2</v>
      </c>
      <c r="W179" s="148" t="str" cm="1">
        <f t="array" ref="W179">Common_InputFunctions.Utility_DisplayArrayInTable(Fertiliser_SourceData.Fertiliser_Products_Data3(), FertiliserProducts[[#Headers],[Company]],61)</f>
        <v/>
      </c>
      <c r="X179" s="148" t="str" cm="1">
        <f t="array" ref="X179">Common_InputFunctions.Utility_DisplayArrayInTable(Fertiliser_SourceData.Fertiliser_Products_Data3(), FertiliserProducts[[#Headers],[Company]],61)</f>
        <v/>
      </c>
      <c r="Y179" s="148" t="str" cm="1">
        <f t="array" ref="Y179">Common_InputFunctions.Utility_DisplayArrayInTable(Fertiliser_SourceData.Fertiliser_Products_Data3(), FertiliserProducts[[#Headers],[Company]],61)</f>
        <v/>
      </c>
      <c r="Z179" s="148" t="str" cm="1">
        <f t="array" ref="Z179">Common_InputFunctions.Utility_DisplayArrayInTable(Fertiliser_SourceData.Fertiliser_Products_Data3(), FertiliserProducts[[#Headers],[Company]],61)</f>
        <v/>
      </c>
      <c r="AA179" s="148" t="str" cm="1">
        <f t="array" ref="AA179">Common_InputFunctions.Utility_DisplayArrayInTable(Fertiliser_SourceData.Fertiliser_Products_Data3(), FertiliserProducts[[#Headers],[Company]],61)</f>
        <v/>
      </c>
      <c r="AB179" s="148" t="str" cm="1">
        <f t="array" ref="AB179">Common_InputFunctions.Utility_DisplayArrayInTable(Fertiliser_SourceData.Fertiliser_Products_Data3(), FertiliserProducts[[#Headers],[Company]],61)</f>
        <v/>
      </c>
      <c r="AC179" s="148" t="str" cm="1">
        <f t="array" ref="AC179">Common_InputFunctions.Utility_DisplayArrayInTable(Fertiliser_SourceData.Fertiliser_Products_Data3(), FertiliserProducts[[#Headers],[Company]],61)</f>
        <v/>
      </c>
      <c r="AD179" s="148" t="str" cm="1">
        <f t="array" ref="AD179">Common_InputFunctions.Utility_DisplayArrayInTable(Fertiliser_SourceData.Fertiliser_Products_Data3(), FertiliserProducts[[#Headers],[Company]],61)</f>
        <v/>
      </c>
      <c r="AE179" s="148" t="str" cm="1">
        <f t="array" ref="AE179">Common_InputFunctions.Utility_DisplayArrayInTable(Fertiliser_SourceData.Fertiliser_Products_Data3(), FertiliserProducts[[#Headers],[Company]],61)</f>
        <v/>
      </c>
      <c r="AF179" s="148" t="str" cm="1">
        <f t="array" ref="AF179">Common_InputFunctions.Utility_DisplayArrayInTable(Fertiliser_SourceData.Fertiliser_Products_Data3(), FertiliserProducts[[#Headers],[Company]],61)</f>
        <v/>
      </c>
      <c r="AG179" s="148" t="str" cm="1">
        <f t="array" ref="AG179">Common_InputFunctions.Utility_DisplayArrayInTable(Fertiliser_SourceData.Fertiliser_Products_Data3(), FertiliserProducts[[#Headers],[Company]],61)</f>
        <v/>
      </c>
      <c r="AH179" s="148" t="str" cm="1">
        <f t="array" ref="AH179">Common_InputFunctions.Utility_DisplayArrayInTable(Fertiliser_SourceData.Fertiliser_Products_Data3(), FertiliserProducts[[#Headers],[Company]],61)</f>
        <v/>
      </c>
      <c r="AK179" s="1"/>
    </row>
    <row r="180" spans="1:37" ht="20.100000000000001" customHeight="1" x14ac:dyDescent="0.2">
      <c r="D180" s="148" t="str" cm="1">
        <f t="array" ref="D180">Common_InputFunctions.Utility_DisplayArrayInTable(Fertiliser_SourceData.Fertiliser_Products_Data4(),FertiliserProducts[[#Headers],[Company]], 91)</f>
        <v>Impact Fertilisers</v>
      </c>
      <c r="E180" s="148" t="str" cm="1">
        <f t="array" ref="E180">Common_InputFunctions.Utility_DisplayArrayInTable(Fertiliser_SourceData.Fertiliser_Products_Data4(),FertiliserProducts[[#Headers],[Company]], 91)</f>
        <v>Impact Super Potash 1&amp;1</v>
      </c>
      <c r="F180" s="148" t="str" cm="1">
        <f t="array" ref="F180">Common_InputFunctions.Utility_DisplayArrayInTable(Fertiliser_SourceData.Fertiliser_Products_Data4(),FertiliserProducts[[#Headers],[Company]], 91)</f>
        <v>kg</v>
      </c>
      <c r="G180" s="148" cm="1">
        <f t="array" ref="G180">Common_InputFunctions.Utility_DisplayArrayInTable(Fertiliser_SourceData.Fertiliser_Products_Data4(),FertiliserProducts[[#Headers],[Company]], 91)</f>
        <v>1</v>
      </c>
      <c r="H180" s="148" t="str" cm="1">
        <f t="array" ref="H180">Common_InputFunctions.Utility_DisplayArrayInTable(Fertiliser_SourceData.Fertiliser_Products_Data4(),FertiliserProducts[[#Headers],[Company]], 91)</f>
        <v/>
      </c>
      <c r="I180" s="148" t="str" cm="1">
        <f t="array" ref="I180">Common_InputFunctions.Utility_DisplayArrayInTable(Fertiliser_SourceData.Fertiliser_Products_Data4(),FertiliserProducts[[#Headers],[Company]], 91)</f>
        <v/>
      </c>
      <c r="J180" s="148" t="str" cm="1">
        <f t="array" ref="J180">Common_InputFunctions.Utility_DisplayArrayInTable(Fertiliser_SourceData.Fertiliser_Products_Data4(),FertiliserProducts[[#Headers],[Company]], 91)</f>
        <v/>
      </c>
      <c r="K180" s="148" t="str" cm="1">
        <f t="array" ref="K180">Common_InputFunctions.Utility_DisplayArrayInTable(Fertiliser_SourceData.Fertiliser_Products_Data4(),FertiliserProducts[[#Headers],[Company]], 91)</f>
        <v/>
      </c>
      <c r="L180" s="148" cm="1">
        <f t="array" ref="L180">Common_InputFunctions.Utility_DisplayArrayInTable(Fertiliser_SourceData.Fertiliser_Products_Data4(),FertiliserProducts[[#Headers],[Company]], 91)</f>
        <v>4.4000000000000004</v>
      </c>
      <c r="M180" s="148" cm="1">
        <f t="array" ref="M180">Common_InputFunctions.Utility_DisplayArrayInTable(Fertiliser_SourceData.Fertiliser_Products_Data4(),FertiliserProducts[[#Headers],[Company]], 91)</f>
        <v>25</v>
      </c>
      <c r="N180" s="148" cm="1">
        <f t="array" ref="N180">Common_InputFunctions.Utility_DisplayArrayInTable(Fertiliser_SourceData.Fertiliser_Products_Data4(),FertiliserProducts[[#Headers],[Company]], 91)</f>
        <v>5.5</v>
      </c>
      <c r="O180" s="148" t="str" cm="1">
        <f t="array" ref="O180">Common_InputFunctions.Utility_DisplayArrayInTable(Fertiliser_SourceData.Fertiliser_Products_Data4(),FertiliserProducts[[#Headers],[Company]], 91)</f>
        <v>Single superphosphate (SSP)</v>
      </c>
      <c r="P180" s="148" cm="1">
        <f t="array" ref="P180">Common_InputFunctions.Utility_DisplayArrayInTable(Fertiliser_SourceData.Fertiliser_Products_Data4(),FertiliserProducts[[#Headers],[Company]], 91)</f>
        <v>0.5</v>
      </c>
      <c r="Q180" s="148" t="str" cm="1">
        <f t="array" ref="Q180">Common_InputFunctions.Utility_DisplayArrayInTable(Fertiliser_SourceData.Fertiliser_Products_Data4(),FertiliserProducts[[#Headers],[Company]], 91)</f>
        <v>Muriate of potash (MOP)</v>
      </c>
      <c r="R180" s="148" cm="1">
        <f t="array" ref="R180">Common_InputFunctions.Utility_DisplayArrayInTable(Fertiliser_SourceData.Fertiliser_Products_Data4(),FertiliserProducts[[#Headers],[Company]], 91)</f>
        <v>0.5</v>
      </c>
      <c r="S180" s="148" t="str" cm="1">
        <f t="array" ref="S180">Common_InputFunctions.Utility_DisplayArrayInTable(Fertiliser_SourceData.Fertiliser_Products_Data4(),FertiliserProducts[[#Headers],[Company]], 91)</f>
        <v/>
      </c>
      <c r="T180" s="148" t="str" cm="1">
        <f t="array" ref="T180">Common_InputFunctions.Utility_DisplayArrayInTable(Fertiliser_SourceData.Fertiliser_Products_Data4(),FertiliserProducts[[#Headers],[Company]], 91)</f>
        <v/>
      </c>
      <c r="U180" s="148" t="str" cm="1">
        <f t="array" ref="U180">Common_InputFunctions.Utility_DisplayArrayInTable(Fertiliser_SourceData.Fertiliser_Products_Data4(),FertiliserProducts[[#Headers],[Company]], 91)</f>
        <v/>
      </c>
      <c r="V180" s="148" t="str" cm="1">
        <f t="array" ref="V180">Common_InputFunctions.Utility_DisplayArrayInTable(Fertiliser_SourceData.Fertiliser_Products_Data4(),FertiliserProducts[[#Headers],[Company]], 91)</f>
        <v/>
      </c>
      <c r="W180" s="148" t="str" cm="1">
        <f t="array" ref="W180">Common_InputFunctions.Utility_DisplayArrayInTable(Fertiliser_SourceData.Fertiliser_Products_Data4(),FertiliserProducts[[#Headers],[Company]], 91)</f>
        <v/>
      </c>
      <c r="X180" s="148" t="str" cm="1">
        <f t="array" ref="X180">Common_InputFunctions.Utility_DisplayArrayInTable(Fertiliser_SourceData.Fertiliser_Products_Data4(),FertiliserProducts[[#Headers],[Company]], 91)</f>
        <v/>
      </c>
      <c r="Y180" s="148" t="str" cm="1">
        <f t="array" ref="Y180">Common_InputFunctions.Utility_DisplayArrayInTable(Fertiliser_SourceData.Fertiliser_Products_Data4(),FertiliserProducts[[#Headers],[Company]], 91)</f>
        <v/>
      </c>
      <c r="Z180" s="148" t="str" cm="1">
        <f t="array" ref="Z180">Common_InputFunctions.Utility_DisplayArrayInTable(Fertiliser_SourceData.Fertiliser_Products_Data4(),FertiliserProducts[[#Headers],[Company]], 91)</f>
        <v/>
      </c>
      <c r="AA180" s="148" t="str" cm="1">
        <f t="array" ref="AA180">Common_InputFunctions.Utility_DisplayArrayInTable(Fertiliser_SourceData.Fertiliser_Products_Data4(),FertiliserProducts[[#Headers],[Company]], 91)</f>
        <v/>
      </c>
      <c r="AB180" s="148" t="str" cm="1">
        <f t="array" ref="AB180">Common_InputFunctions.Utility_DisplayArrayInTable(Fertiliser_SourceData.Fertiliser_Products_Data4(),FertiliserProducts[[#Headers],[Company]], 91)</f>
        <v/>
      </c>
      <c r="AC180" s="148" t="str" cm="1">
        <f t="array" ref="AC180">Common_InputFunctions.Utility_DisplayArrayInTable(Fertiliser_SourceData.Fertiliser_Products_Data4(),FertiliserProducts[[#Headers],[Company]], 91)</f>
        <v/>
      </c>
      <c r="AD180" s="148" t="str" cm="1">
        <f t="array" ref="AD180">Common_InputFunctions.Utility_DisplayArrayInTable(Fertiliser_SourceData.Fertiliser_Products_Data4(),FertiliserProducts[[#Headers],[Company]], 91)</f>
        <v/>
      </c>
      <c r="AE180" s="148" t="str" cm="1">
        <f t="array" ref="AE180">Common_InputFunctions.Utility_DisplayArrayInTable(Fertiliser_SourceData.Fertiliser_Products_Data4(),FertiliserProducts[[#Headers],[Company]], 91)</f>
        <v/>
      </c>
      <c r="AF180" s="148" t="str" cm="1">
        <f t="array" ref="AF180">Common_InputFunctions.Utility_DisplayArrayInTable(Fertiliser_SourceData.Fertiliser_Products_Data4(),FertiliserProducts[[#Headers],[Company]], 91)</f>
        <v/>
      </c>
      <c r="AG180" s="148" t="str" cm="1">
        <f t="array" ref="AG180">Common_InputFunctions.Utility_DisplayArrayInTable(Fertiliser_SourceData.Fertiliser_Products_Data4(),FertiliserProducts[[#Headers],[Company]], 91)</f>
        <v/>
      </c>
      <c r="AH180" s="148" t="str" cm="1">
        <f t="array" ref="AH180">Common_InputFunctions.Utility_DisplayArrayInTable(Fertiliser_SourceData.Fertiliser_Products_Data4(),FertiliserProducts[[#Headers],[Company]], 91)</f>
        <v/>
      </c>
    </row>
    <row r="181" spans="1:37" ht="20.100000000000001" customHeight="1" x14ac:dyDescent="0.2">
      <c r="D181" s="148" t="str" cm="1">
        <f t="array" ref="D181">Common_InputFunctions.Utility_DisplayArrayInTable(Fertiliser_SourceData.Fertiliser_Products_Data4(),FertiliserProducts[[#Headers],[Company]], 91)</f>
        <v>Impact Fertilisers</v>
      </c>
      <c r="E181" s="148" t="str" cm="1">
        <f t="array" ref="E181">Common_InputFunctions.Utility_DisplayArrayInTable(Fertiliser_SourceData.Fertiliser_Products_Data4(),FertiliserProducts[[#Headers],[Company]], 91)</f>
        <v>Impact Super Potash 2&amp;1</v>
      </c>
      <c r="F181" s="148" t="str" cm="1">
        <f t="array" ref="F181">Common_InputFunctions.Utility_DisplayArrayInTable(Fertiliser_SourceData.Fertiliser_Products_Data4(),FertiliserProducts[[#Headers],[Company]], 91)</f>
        <v>kg</v>
      </c>
      <c r="G181" s="148" cm="1">
        <f t="array" ref="G181">Common_InputFunctions.Utility_DisplayArrayInTable(Fertiliser_SourceData.Fertiliser_Products_Data4(),FertiliserProducts[[#Headers],[Company]], 91)</f>
        <v>1</v>
      </c>
      <c r="H181" s="148" t="str" cm="1">
        <f t="array" ref="H181">Common_InputFunctions.Utility_DisplayArrayInTable(Fertiliser_SourceData.Fertiliser_Products_Data4(),FertiliserProducts[[#Headers],[Company]], 91)</f>
        <v/>
      </c>
      <c r="I181" s="148" t="str" cm="1">
        <f t="array" ref="I181">Common_InputFunctions.Utility_DisplayArrayInTable(Fertiliser_SourceData.Fertiliser_Products_Data4(),FertiliserProducts[[#Headers],[Company]], 91)</f>
        <v/>
      </c>
      <c r="J181" s="148" t="str" cm="1">
        <f t="array" ref="J181">Common_InputFunctions.Utility_DisplayArrayInTable(Fertiliser_SourceData.Fertiliser_Products_Data4(),FertiliserProducts[[#Headers],[Company]], 91)</f>
        <v/>
      </c>
      <c r="K181" s="148" t="str" cm="1">
        <f t="array" ref="K181">Common_InputFunctions.Utility_DisplayArrayInTable(Fertiliser_SourceData.Fertiliser_Products_Data4(),FertiliserProducts[[#Headers],[Company]], 91)</f>
        <v/>
      </c>
      <c r="L181" s="148" cm="1">
        <f t="array" ref="L181">Common_InputFunctions.Utility_DisplayArrayInTable(Fertiliser_SourceData.Fertiliser_Products_Data4(),FertiliserProducts[[#Headers],[Company]], 91)</f>
        <v>5.84</v>
      </c>
      <c r="M181" s="148" cm="1">
        <f t="array" ref="M181">Common_InputFunctions.Utility_DisplayArrayInTable(Fertiliser_SourceData.Fertiliser_Products_Data4(),FertiliserProducts[[#Headers],[Company]], 91)</f>
        <v>16.8</v>
      </c>
      <c r="N181" s="148" cm="1">
        <f t="array" ref="N181">Common_InputFunctions.Utility_DisplayArrayInTable(Fertiliser_SourceData.Fertiliser_Products_Data4(),FertiliserProducts[[#Headers],[Company]], 91)</f>
        <v>7.29</v>
      </c>
      <c r="O181" s="148" t="str" cm="1">
        <f t="array" ref="O181">Common_InputFunctions.Utility_DisplayArrayInTable(Fertiliser_SourceData.Fertiliser_Products_Data4(),FertiliserProducts[[#Headers],[Company]], 91)</f>
        <v>Single superphosphate (SSP)</v>
      </c>
      <c r="P181" s="148" cm="1">
        <f t="array" ref="P181">Common_InputFunctions.Utility_DisplayArrayInTable(Fertiliser_SourceData.Fertiliser_Products_Data4(),FertiliserProducts[[#Headers],[Company]], 91)</f>
        <v>0.66315800000000003</v>
      </c>
      <c r="Q181" s="148" t="str" cm="1">
        <f t="array" ref="Q181">Common_InputFunctions.Utility_DisplayArrayInTable(Fertiliser_SourceData.Fertiliser_Products_Data4(),FertiliserProducts[[#Headers],[Company]], 91)</f>
        <v>Muriate of potash (MOP)</v>
      </c>
      <c r="R181" s="148" cm="1">
        <f t="array" ref="R181">Common_InputFunctions.Utility_DisplayArrayInTable(Fertiliser_SourceData.Fertiliser_Products_Data4(),FertiliserProducts[[#Headers],[Company]], 91)</f>
        <v>0.33600000000000002</v>
      </c>
      <c r="S181" s="148" t="str" cm="1">
        <f t="array" ref="S181">Common_InputFunctions.Utility_DisplayArrayInTable(Fertiliser_SourceData.Fertiliser_Products_Data4(),FertiliserProducts[[#Headers],[Company]], 91)</f>
        <v/>
      </c>
      <c r="T181" s="148" t="str" cm="1">
        <f t="array" ref="T181">Common_InputFunctions.Utility_DisplayArrayInTable(Fertiliser_SourceData.Fertiliser_Products_Data4(),FertiliserProducts[[#Headers],[Company]], 91)</f>
        <v/>
      </c>
      <c r="U181" s="148" t="str" cm="1">
        <f t="array" ref="U181">Common_InputFunctions.Utility_DisplayArrayInTable(Fertiliser_SourceData.Fertiliser_Products_Data4(),FertiliserProducts[[#Headers],[Company]], 91)</f>
        <v/>
      </c>
      <c r="V181" s="148" t="str" cm="1">
        <f t="array" ref="V181">Common_InputFunctions.Utility_DisplayArrayInTable(Fertiliser_SourceData.Fertiliser_Products_Data4(),FertiliserProducts[[#Headers],[Company]], 91)</f>
        <v/>
      </c>
      <c r="W181" s="148" t="str" cm="1">
        <f t="array" ref="W181">Common_InputFunctions.Utility_DisplayArrayInTable(Fertiliser_SourceData.Fertiliser_Products_Data4(),FertiliserProducts[[#Headers],[Company]], 91)</f>
        <v/>
      </c>
      <c r="X181" s="148" t="str" cm="1">
        <f t="array" ref="X181">Common_InputFunctions.Utility_DisplayArrayInTable(Fertiliser_SourceData.Fertiliser_Products_Data4(),FertiliserProducts[[#Headers],[Company]], 91)</f>
        <v/>
      </c>
      <c r="Y181" s="148" t="str" cm="1">
        <f t="array" ref="Y181">Common_InputFunctions.Utility_DisplayArrayInTable(Fertiliser_SourceData.Fertiliser_Products_Data4(),FertiliserProducts[[#Headers],[Company]], 91)</f>
        <v/>
      </c>
      <c r="Z181" s="148" t="str" cm="1">
        <f t="array" ref="Z181">Common_InputFunctions.Utility_DisplayArrayInTable(Fertiliser_SourceData.Fertiliser_Products_Data4(),FertiliserProducts[[#Headers],[Company]], 91)</f>
        <v/>
      </c>
      <c r="AA181" s="148" t="str" cm="1">
        <f t="array" ref="AA181">Common_InputFunctions.Utility_DisplayArrayInTable(Fertiliser_SourceData.Fertiliser_Products_Data4(),FertiliserProducts[[#Headers],[Company]], 91)</f>
        <v/>
      </c>
      <c r="AB181" s="148" t="str" cm="1">
        <f t="array" ref="AB181">Common_InputFunctions.Utility_DisplayArrayInTable(Fertiliser_SourceData.Fertiliser_Products_Data4(),FertiliserProducts[[#Headers],[Company]], 91)</f>
        <v/>
      </c>
      <c r="AC181" s="148" t="str" cm="1">
        <f t="array" ref="AC181">Common_InputFunctions.Utility_DisplayArrayInTable(Fertiliser_SourceData.Fertiliser_Products_Data4(),FertiliserProducts[[#Headers],[Company]], 91)</f>
        <v/>
      </c>
      <c r="AD181" s="148" t="str" cm="1">
        <f t="array" ref="AD181">Common_InputFunctions.Utility_DisplayArrayInTable(Fertiliser_SourceData.Fertiliser_Products_Data4(),FertiliserProducts[[#Headers],[Company]], 91)</f>
        <v/>
      </c>
      <c r="AE181" s="148" t="str" cm="1">
        <f t="array" ref="AE181">Common_InputFunctions.Utility_DisplayArrayInTable(Fertiliser_SourceData.Fertiliser_Products_Data4(),FertiliserProducts[[#Headers],[Company]], 91)</f>
        <v/>
      </c>
      <c r="AF181" s="148" t="str" cm="1">
        <f t="array" ref="AF181">Common_InputFunctions.Utility_DisplayArrayInTable(Fertiliser_SourceData.Fertiliser_Products_Data4(),FertiliserProducts[[#Headers],[Company]], 91)</f>
        <v/>
      </c>
      <c r="AG181" s="148" t="str" cm="1">
        <f t="array" ref="AG181">Common_InputFunctions.Utility_DisplayArrayInTable(Fertiliser_SourceData.Fertiliser_Products_Data4(),FertiliserProducts[[#Headers],[Company]], 91)</f>
        <v/>
      </c>
      <c r="AH181" s="148" t="str" cm="1">
        <f t="array" ref="AH181">Common_InputFunctions.Utility_DisplayArrayInTable(Fertiliser_SourceData.Fertiliser_Products_Data4(),FertiliserProducts[[#Headers],[Company]], 91)</f>
        <v/>
      </c>
    </row>
    <row r="182" spans="1:37" ht="20.100000000000001" customHeight="1" x14ac:dyDescent="0.2">
      <c r="D182" s="148" t="str" cm="1">
        <f t="array" ref="D182">Common_InputFunctions.Utility_DisplayArrayInTable(Fertiliser_SourceData.Fertiliser_Products_Data4(),FertiliserProducts[[#Headers],[Company]], 91)</f>
        <v>Impact Fertilisers</v>
      </c>
      <c r="E182" s="148" t="str" cm="1">
        <f t="array" ref="E182">Common_InputFunctions.Utility_DisplayArrayInTable(Fertiliser_SourceData.Fertiliser_Products_Data4(),FertiliserProducts[[#Headers],[Company]], 91)</f>
        <v>Impact Super Potash 3&amp;1</v>
      </c>
      <c r="F182" s="148" t="str" cm="1">
        <f t="array" ref="F182">Common_InputFunctions.Utility_DisplayArrayInTable(Fertiliser_SourceData.Fertiliser_Products_Data4(),FertiliserProducts[[#Headers],[Company]], 91)</f>
        <v>kg</v>
      </c>
      <c r="G182" s="148" cm="1">
        <f t="array" ref="G182">Common_InputFunctions.Utility_DisplayArrayInTable(Fertiliser_SourceData.Fertiliser_Products_Data4(),FertiliserProducts[[#Headers],[Company]], 91)</f>
        <v>1</v>
      </c>
      <c r="H182" s="148" t="str" cm="1">
        <f t="array" ref="H182">Common_InputFunctions.Utility_DisplayArrayInTable(Fertiliser_SourceData.Fertiliser_Products_Data4(),FertiliserProducts[[#Headers],[Company]], 91)</f>
        <v/>
      </c>
      <c r="I182" s="148" t="str" cm="1">
        <f t="array" ref="I182">Common_InputFunctions.Utility_DisplayArrayInTable(Fertiliser_SourceData.Fertiliser_Products_Data4(),FertiliserProducts[[#Headers],[Company]], 91)</f>
        <v/>
      </c>
      <c r="J182" s="148" t="str" cm="1">
        <f t="array" ref="J182">Common_InputFunctions.Utility_DisplayArrayInTable(Fertiliser_SourceData.Fertiliser_Products_Data4(),FertiliserProducts[[#Headers],[Company]], 91)</f>
        <v/>
      </c>
      <c r="K182" s="148" t="str" cm="1">
        <f t="array" ref="K182">Common_InputFunctions.Utility_DisplayArrayInTable(Fertiliser_SourceData.Fertiliser_Products_Data4(),FertiliserProducts[[#Headers],[Company]], 91)</f>
        <v/>
      </c>
      <c r="L182" s="148" cm="1">
        <f t="array" ref="L182">Common_InputFunctions.Utility_DisplayArrayInTable(Fertiliser_SourceData.Fertiliser_Products_Data4(),FertiliserProducts[[#Headers],[Company]], 91)</f>
        <v>6.58</v>
      </c>
      <c r="M182" s="148" cm="1">
        <f t="array" ref="M182">Common_InputFunctions.Utility_DisplayArrayInTable(Fertiliser_SourceData.Fertiliser_Products_Data4(),FertiliserProducts[[#Headers],[Company]], 91)</f>
        <v>12.5</v>
      </c>
      <c r="N182" s="148" cm="1">
        <f t="array" ref="N182">Common_InputFunctions.Utility_DisplayArrayInTable(Fertiliser_SourceData.Fertiliser_Products_Data4(),FertiliserProducts[[#Headers],[Company]], 91)</f>
        <v>8.2200000000000006</v>
      </c>
      <c r="O182" s="148" t="str" cm="1">
        <f t="array" ref="O182">Common_InputFunctions.Utility_DisplayArrayInTable(Fertiliser_SourceData.Fertiliser_Products_Data4(),FertiliserProducts[[#Headers],[Company]], 91)</f>
        <v>Single superphosphate (SSP)</v>
      </c>
      <c r="P182" s="148" cm="1">
        <f t="array" ref="P182">Common_InputFunctions.Utility_DisplayArrayInTable(Fertiliser_SourceData.Fertiliser_Products_Data4(),FertiliserProducts[[#Headers],[Company]], 91)</f>
        <v>0.74736800000000003</v>
      </c>
      <c r="Q182" s="148" t="str" cm="1">
        <f t="array" ref="Q182">Common_InputFunctions.Utility_DisplayArrayInTable(Fertiliser_SourceData.Fertiliser_Products_Data4(),FertiliserProducts[[#Headers],[Company]], 91)</f>
        <v>Muriate of potash (MOP)</v>
      </c>
      <c r="R182" s="148" cm="1">
        <f t="array" ref="R182">Common_InputFunctions.Utility_DisplayArrayInTable(Fertiliser_SourceData.Fertiliser_Products_Data4(),FertiliserProducts[[#Headers],[Company]], 91)</f>
        <v>0.25</v>
      </c>
      <c r="S182" s="148" t="str" cm="1">
        <f t="array" ref="S182">Common_InputFunctions.Utility_DisplayArrayInTable(Fertiliser_SourceData.Fertiliser_Products_Data4(),FertiliserProducts[[#Headers],[Company]], 91)</f>
        <v/>
      </c>
      <c r="T182" s="148" t="str" cm="1">
        <f t="array" ref="T182">Common_InputFunctions.Utility_DisplayArrayInTable(Fertiliser_SourceData.Fertiliser_Products_Data4(),FertiliserProducts[[#Headers],[Company]], 91)</f>
        <v/>
      </c>
      <c r="U182" s="148" t="str" cm="1">
        <f t="array" ref="U182">Common_InputFunctions.Utility_DisplayArrayInTable(Fertiliser_SourceData.Fertiliser_Products_Data4(),FertiliserProducts[[#Headers],[Company]], 91)</f>
        <v/>
      </c>
      <c r="V182" s="148" t="str" cm="1">
        <f t="array" ref="V182">Common_InputFunctions.Utility_DisplayArrayInTable(Fertiliser_SourceData.Fertiliser_Products_Data4(),FertiliserProducts[[#Headers],[Company]], 91)</f>
        <v/>
      </c>
      <c r="W182" s="148" t="str" cm="1">
        <f t="array" ref="W182">Common_InputFunctions.Utility_DisplayArrayInTable(Fertiliser_SourceData.Fertiliser_Products_Data4(),FertiliserProducts[[#Headers],[Company]], 91)</f>
        <v/>
      </c>
      <c r="X182" s="148" t="str" cm="1">
        <f t="array" ref="X182">Common_InputFunctions.Utility_DisplayArrayInTable(Fertiliser_SourceData.Fertiliser_Products_Data4(),FertiliserProducts[[#Headers],[Company]], 91)</f>
        <v/>
      </c>
      <c r="Y182" s="148" t="str" cm="1">
        <f t="array" ref="Y182">Common_InputFunctions.Utility_DisplayArrayInTable(Fertiliser_SourceData.Fertiliser_Products_Data4(),FertiliserProducts[[#Headers],[Company]], 91)</f>
        <v/>
      </c>
      <c r="Z182" s="148" t="str" cm="1">
        <f t="array" ref="Z182">Common_InputFunctions.Utility_DisplayArrayInTable(Fertiliser_SourceData.Fertiliser_Products_Data4(),FertiliserProducts[[#Headers],[Company]], 91)</f>
        <v/>
      </c>
      <c r="AA182" s="148" t="str" cm="1">
        <f t="array" ref="AA182">Common_InputFunctions.Utility_DisplayArrayInTable(Fertiliser_SourceData.Fertiliser_Products_Data4(),FertiliserProducts[[#Headers],[Company]], 91)</f>
        <v/>
      </c>
      <c r="AB182" s="148" t="str" cm="1">
        <f t="array" ref="AB182">Common_InputFunctions.Utility_DisplayArrayInTable(Fertiliser_SourceData.Fertiliser_Products_Data4(),FertiliserProducts[[#Headers],[Company]], 91)</f>
        <v/>
      </c>
      <c r="AC182" s="148" t="str" cm="1">
        <f t="array" ref="AC182">Common_InputFunctions.Utility_DisplayArrayInTable(Fertiliser_SourceData.Fertiliser_Products_Data4(),FertiliserProducts[[#Headers],[Company]], 91)</f>
        <v/>
      </c>
      <c r="AD182" s="148" t="str" cm="1">
        <f t="array" ref="AD182">Common_InputFunctions.Utility_DisplayArrayInTable(Fertiliser_SourceData.Fertiliser_Products_Data4(),FertiliserProducts[[#Headers],[Company]], 91)</f>
        <v/>
      </c>
      <c r="AE182" s="148" t="str" cm="1">
        <f t="array" ref="AE182">Common_InputFunctions.Utility_DisplayArrayInTable(Fertiliser_SourceData.Fertiliser_Products_Data4(),FertiliserProducts[[#Headers],[Company]], 91)</f>
        <v/>
      </c>
      <c r="AF182" s="148" t="str" cm="1">
        <f t="array" ref="AF182">Common_InputFunctions.Utility_DisplayArrayInTable(Fertiliser_SourceData.Fertiliser_Products_Data4(),FertiliserProducts[[#Headers],[Company]], 91)</f>
        <v/>
      </c>
      <c r="AG182" s="148" t="str" cm="1">
        <f t="array" ref="AG182">Common_InputFunctions.Utility_DisplayArrayInTable(Fertiliser_SourceData.Fertiliser_Products_Data4(),FertiliserProducts[[#Headers],[Company]], 91)</f>
        <v/>
      </c>
      <c r="AH182" s="148" t="str" cm="1">
        <f t="array" ref="AH182">Common_InputFunctions.Utility_DisplayArrayInTable(Fertiliser_SourceData.Fertiliser_Products_Data4(),FertiliserProducts[[#Headers],[Company]], 91)</f>
        <v/>
      </c>
    </row>
    <row r="183" spans="1:37" ht="20.100000000000001" customHeight="1" x14ac:dyDescent="0.2">
      <c r="D183" s="148" t="str" cm="1">
        <f t="array" ref="D183">Common_InputFunctions.Utility_DisplayArrayInTable(Fertiliser_SourceData.Fertiliser_Products_Data4(),FertiliserProducts[[#Headers],[Company]], 91)</f>
        <v>Impact Fertilisers</v>
      </c>
      <c r="E183" s="148" t="str" cm="1">
        <f t="array" ref="E183">Common_InputFunctions.Utility_DisplayArrayInTable(Fertiliser_SourceData.Fertiliser_Products_Data4(),FertiliserProducts[[#Headers],[Company]], 91)</f>
        <v>Impact Super Potash 4&amp;1</v>
      </c>
      <c r="F183" s="148" t="str" cm="1">
        <f t="array" ref="F183">Common_InputFunctions.Utility_DisplayArrayInTable(Fertiliser_SourceData.Fertiliser_Products_Data4(),FertiliserProducts[[#Headers],[Company]], 91)</f>
        <v>kg</v>
      </c>
      <c r="G183" s="148" cm="1">
        <f t="array" ref="G183">Common_InputFunctions.Utility_DisplayArrayInTable(Fertiliser_SourceData.Fertiliser_Products_Data4(),FertiliserProducts[[#Headers],[Company]], 91)</f>
        <v>1</v>
      </c>
      <c r="H183" s="148" t="str" cm="1">
        <f t="array" ref="H183">Common_InputFunctions.Utility_DisplayArrayInTable(Fertiliser_SourceData.Fertiliser_Products_Data4(),FertiliserProducts[[#Headers],[Company]], 91)</f>
        <v/>
      </c>
      <c r="I183" s="148" t="str" cm="1">
        <f t="array" ref="I183">Common_InputFunctions.Utility_DisplayArrayInTable(Fertiliser_SourceData.Fertiliser_Products_Data4(),FertiliserProducts[[#Headers],[Company]], 91)</f>
        <v/>
      </c>
      <c r="J183" s="148" t="str" cm="1">
        <f t="array" ref="J183">Common_InputFunctions.Utility_DisplayArrayInTable(Fertiliser_SourceData.Fertiliser_Products_Data4(),FertiliserProducts[[#Headers],[Company]], 91)</f>
        <v/>
      </c>
      <c r="K183" s="148" t="str" cm="1">
        <f t="array" ref="K183">Common_InputFunctions.Utility_DisplayArrayInTable(Fertiliser_SourceData.Fertiliser_Products_Data4(),FertiliserProducts[[#Headers],[Company]], 91)</f>
        <v/>
      </c>
      <c r="L183" s="148" cm="1">
        <f t="array" ref="L183">Common_InputFunctions.Utility_DisplayArrayInTable(Fertiliser_SourceData.Fertiliser_Products_Data4(),FertiliserProducts[[#Headers],[Company]], 91)</f>
        <v>7.04</v>
      </c>
      <c r="M183" s="148" cm="1">
        <f t="array" ref="M183">Common_InputFunctions.Utility_DisplayArrayInTable(Fertiliser_SourceData.Fertiliser_Products_Data4(),FertiliserProducts[[#Headers],[Company]], 91)</f>
        <v>10</v>
      </c>
      <c r="N183" s="148" cm="1">
        <f t="array" ref="N183">Common_InputFunctions.Utility_DisplayArrayInTable(Fertiliser_SourceData.Fertiliser_Products_Data4(),FertiliserProducts[[#Headers],[Company]], 91)</f>
        <v>8.8000000000000007</v>
      </c>
      <c r="O183" s="148" t="str" cm="1">
        <f t="array" ref="O183">Common_InputFunctions.Utility_DisplayArrayInTable(Fertiliser_SourceData.Fertiliser_Products_Data4(),FertiliserProducts[[#Headers],[Company]], 91)</f>
        <v>Single superphosphate (SSP)</v>
      </c>
      <c r="P183" s="148" cm="1">
        <f t="array" ref="P183">Common_InputFunctions.Utility_DisplayArrayInTable(Fertiliser_SourceData.Fertiliser_Products_Data4(),FertiliserProducts[[#Headers],[Company]], 91)</f>
        <v>0.8</v>
      </c>
      <c r="Q183" s="148" t="str" cm="1">
        <f t="array" ref="Q183">Common_InputFunctions.Utility_DisplayArrayInTable(Fertiliser_SourceData.Fertiliser_Products_Data4(),FertiliserProducts[[#Headers],[Company]], 91)</f>
        <v>Muriate of potash (MOP)</v>
      </c>
      <c r="R183" s="148" cm="1">
        <f t="array" ref="R183">Common_InputFunctions.Utility_DisplayArrayInTable(Fertiliser_SourceData.Fertiliser_Products_Data4(),FertiliserProducts[[#Headers],[Company]], 91)</f>
        <v>0.2</v>
      </c>
      <c r="S183" s="148" t="str" cm="1">
        <f t="array" ref="S183">Common_InputFunctions.Utility_DisplayArrayInTable(Fertiliser_SourceData.Fertiliser_Products_Data4(),FertiliserProducts[[#Headers],[Company]], 91)</f>
        <v/>
      </c>
      <c r="T183" s="148" t="str" cm="1">
        <f t="array" ref="T183">Common_InputFunctions.Utility_DisplayArrayInTable(Fertiliser_SourceData.Fertiliser_Products_Data4(),FertiliserProducts[[#Headers],[Company]], 91)</f>
        <v/>
      </c>
      <c r="U183" s="148" t="str" cm="1">
        <f t="array" ref="U183">Common_InputFunctions.Utility_DisplayArrayInTable(Fertiliser_SourceData.Fertiliser_Products_Data4(),FertiliserProducts[[#Headers],[Company]], 91)</f>
        <v/>
      </c>
      <c r="V183" s="148" t="str" cm="1">
        <f t="array" ref="V183">Common_InputFunctions.Utility_DisplayArrayInTable(Fertiliser_SourceData.Fertiliser_Products_Data4(),FertiliserProducts[[#Headers],[Company]], 91)</f>
        <v/>
      </c>
      <c r="W183" s="148" t="str" cm="1">
        <f t="array" ref="W183">Common_InputFunctions.Utility_DisplayArrayInTable(Fertiliser_SourceData.Fertiliser_Products_Data4(),FertiliserProducts[[#Headers],[Company]], 91)</f>
        <v/>
      </c>
      <c r="X183" s="148" t="str" cm="1">
        <f t="array" ref="X183">Common_InputFunctions.Utility_DisplayArrayInTable(Fertiliser_SourceData.Fertiliser_Products_Data4(),FertiliserProducts[[#Headers],[Company]], 91)</f>
        <v/>
      </c>
      <c r="Y183" s="148" t="str" cm="1">
        <f t="array" ref="Y183">Common_InputFunctions.Utility_DisplayArrayInTable(Fertiliser_SourceData.Fertiliser_Products_Data4(),FertiliserProducts[[#Headers],[Company]], 91)</f>
        <v/>
      </c>
      <c r="Z183" s="148" t="str" cm="1">
        <f t="array" ref="Z183">Common_InputFunctions.Utility_DisplayArrayInTable(Fertiliser_SourceData.Fertiliser_Products_Data4(),FertiliserProducts[[#Headers],[Company]], 91)</f>
        <v/>
      </c>
      <c r="AA183" s="148" t="str" cm="1">
        <f t="array" ref="AA183">Common_InputFunctions.Utility_DisplayArrayInTable(Fertiliser_SourceData.Fertiliser_Products_Data4(),FertiliserProducts[[#Headers],[Company]], 91)</f>
        <v/>
      </c>
      <c r="AB183" s="148" t="str" cm="1">
        <f t="array" ref="AB183">Common_InputFunctions.Utility_DisplayArrayInTable(Fertiliser_SourceData.Fertiliser_Products_Data4(),FertiliserProducts[[#Headers],[Company]], 91)</f>
        <v/>
      </c>
      <c r="AC183" s="148" t="str" cm="1">
        <f t="array" ref="AC183">Common_InputFunctions.Utility_DisplayArrayInTable(Fertiliser_SourceData.Fertiliser_Products_Data4(),FertiliserProducts[[#Headers],[Company]], 91)</f>
        <v/>
      </c>
      <c r="AD183" s="148" t="str" cm="1">
        <f t="array" ref="AD183">Common_InputFunctions.Utility_DisplayArrayInTable(Fertiliser_SourceData.Fertiliser_Products_Data4(),FertiliserProducts[[#Headers],[Company]], 91)</f>
        <v/>
      </c>
      <c r="AE183" s="148" t="str" cm="1">
        <f t="array" ref="AE183">Common_InputFunctions.Utility_DisplayArrayInTable(Fertiliser_SourceData.Fertiliser_Products_Data4(),FertiliserProducts[[#Headers],[Company]], 91)</f>
        <v/>
      </c>
      <c r="AF183" s="148" t="str" cm="1">
        <f t="array" ref="AF183">Common_InputFunctions.Utility_DisplayArrayInTable(Fertiliser_SourceData.Fertiliser_Products_Data4(),FertiliserProducts[[#Headers],[Company]], 91)</f>
        <v/>
      </c>
      <c r="AG183" s="148" t="str" cm="1">
        <f t="array" ref="AG183">Common_InputFunctions.Utility_DisplayArrayInTable(Fertiliser_SourceData.Fertiliser_Products_Data4(),FertiliserProducts[[#Headers],[Company]], 91)</f>
        <v/>
      </c>
      <c r="AH183" s="148" t="str" cm="1">
        <f t="array" ref="AH183">Common_InputFunctions.Utility_DisplayArrayInTable(Fertiliser_SourceData.Fertiliser_Products_Data4(),FertiliserProducts[[#Headers],[Company]], 91)</f>
        <v/>
      </c>
    </row>
    <row r="184" spans="1:37" ht="20.100000000000001" customHeight="1" x14ac:dyDescent="0.2">
      <c r="D184" s="148" t="str" cm="1">
        <f t="array" ref="D184">Common_InputFunctions.Utility_DisplayArrayInTable(Fertiliser_SourceData.Fertiliser_Products_Data4(),FertiliserProducts[[#Headers],[Company]], 91)</f>
        <v>Impact Fertilisers</v>
      </c>
      <c r="E184" s="148" t="str" cm="1">
        <f t="array" ref="E184">Common_InputFunctions.Utility_DisplayArrayInTable(Fertiliser_SourceData.Fertiliser_Products_Data4(),FertiliserProducts[[#Headers],[Company]], 91)</f>
        <v>Impact Super Potash 5&amp;1</v>
      </c>
      <c r="F184" s="148" t="str" cm="1">
        <f t="array" ref="F184">Common_InputFunctions.Utility_DisplayArrayInTable(Fertiliser_SourceData.Fertiliser_Products_Data4(),FertiliserProducts[[#Headers],[Company]], 91)</f>
        <v>kg</v>
      </c>
      <c r="G184" s="148" cm="1">
        <f t="array" ref="G184">Common_InputFunctions.Utility_DisplayArrayInTable(Fertiliser_SourceData.Fertiliser_Products_Data4(),FertiliserProducts[[#Headers],[Company]], 91)</f>
        <v>1</v>
      </c>
      <c r="H184" s="148" t="str" cm="1">
        <f t="array" ref="H184">Common_InputFunctions.Utility_DisplayArrayInTable(Fertiliser_SourceData.Fertiliser_Products_Data4(),FertiliserProducts[[#Headers],[Company]], 91)</f>
        <v/>
      </c>
      <c r="I184" s="148" t="str" cm="1">
        <f t="array" ref="I184">Common_InputFunctions.Utility_DisplayArrayInTable(Fertiliser_SourceData.Fertiliser_Products_Data4(),FertiliserProducts[[#Headers],[Company]], 91)</f>
        <v/>
      </c>
      <c r="J184" s="148" t="str" cm="1">
        <f t="array" ref="J184">Common_InputFunctions.Utility_DisplayArrayInTable(Fertiliser_SourceData.Fertiliser_Products_Data4(),FertiliserProducts[[#Headers],[Company]], 91)</f>
        <v/>
      </c>
      <c r="K184" s="148" t="str" cm="1">
        <f t="array" ref="K184">Common_InputFunctions.Utility_DisplayArrayInTable(Fertiliser_SourceData.Fertiliser_Products_Data4(),FertiliserProducts[[#Headers],[Company]], 91)</f>
        <v/>
      </c>
      <c r="L184" s="148" cm="1">
        <f t="array" ref="L184">Common_InputFunctions.Utility_DisplayArrayInTable(Fertiliser_SourceData.Fertiliser_Products_Data4(),FertiliserProducts[[#Headers],[Company]], 91)</f>
        <v>7.32</v>
      </c>
      <c r="M184" s="148" cm="1">
        <f t="array" ref="M184">Common_InputFunctions.Utility_DisplayArrayInTable(Fertiliser_SourceData.Fertiliser_Products_Data4(),FertiliserProducts[[#Headers],[Company]], 91)</f>
        <v>8.4</v>
      </c>
      <c r="N184" s="148" cm="1">
        <f t="array" ref="N184">Common_InputFunctions.Utility_DisplayArrayInTable(Fertiliser_SourceData.Fertiliser_Products_Data4(),FertiliserProducts[[#Headers],[Company]], 91)</f>
        <v>9.15</v>
      </c>
      <c r="O184" s="148" t="str" cm="1">
        <f t="array" ref="O184">Common_InputFunctions.Utility_DisplayArrayInTable(Fertiliser_SourceData.Fertiliser_Products_Data4(),FertiliserProducts[[#Headers],[Company]], 91)</f>
        <v>Single superphosphate (SSP)</v>
      </c>
      <c r="P184" s="148" cm="1">
        <f t="array" ref="P184">Common_InputFunctions.Utility_DisplayArrayInTable(Fertiliser_SourceData.Fertiliser_Products_Data4(),FertiliserProducts[[#Headers],[Company]], 91)</f>
        <v>0.83157899999999996</v>
      </c>
      <c r="Q184" s="148" t="str" cm="1">
        <f t="array" ref="Q184">Common_InputFunctions.Utility_DisplayArrayInTable(Fertiliser_SourceData.Fertiliser_Products_Data4(),FertiliserProducts[[#Headers],[Company]], 91)</f>
        <v>Muriate of potash (MOP)</v>
      </c>
      <c r="R184" s="148" cm="1">
        <f t="array" ref="R184">Common_InputFunctions.Utility_DisplayArrayInTable(Fertiliser_SourceData.Fertiliser_Products_Data4(),FertiliserProducts[[#Headers],[Company]], 91)</f>
        <v>0.16800000000000001</v>
      </c>
      <c r="S184" s="148" t="str" cm="1">
        <f t="array" ref="S184">Common_InputFunctions.Utility_DisplayArrayInTable(Fertiliser_SourceData.Fertiliser_Products_Data4(),FertiliserProducts[[#Headers],[Company]], 91)</f>
        <v/>
      </c>
      <c r="T184" s="148" t="str" cm="1">
        <f t="array" ref="T184">Common_InputFunctions.Utility_DisplayArrayInTable(Fertiliser_SourceData.Fertiliser_Products_Data4(),FertiliserProducts[[#Headers],[Company]], 91)</f>
        <v/>
      </c>
      <c r="U184" s="148" t="str" cm="1">
        <f t="array" ref="U184">Common_InputFunctions.Utility_DisplayArrayInTable(Fertiliser_SourceData.Fertiliser_Products_Data4(),FertiliserProducts[[#Headers],[Company]], 91)</f>
        <v/>
      </c>
      <c r="V184" s="148" t="str" cm="1">
        <f t="array" ref="V184">Common_InputFunctions.Utility_DisplayArrayInTable(Fertiliser_SourceData.Fertiliser_Products_Data4(),FertiliserProducts[[#Headers],[Company]], 91)</f>
        <v/>
      </c>
      <c r="W184" s="148" t="str" cm="1">
        <f t="array" ref="W184">Common_InputFunctions.Utility_DisplayArrayInTable(Fertiliser_SourceData.Fertiliser_Products_Data4(),FertiliserProducts[[#Headers],[Company]], 91)</f>
        <v/>
      </c>
      <c r="X184" s="148" t="str" cm="1">
        <f t="array" ref="X184">Common_InputFunctions.Utility_DisplayArrayInTable(Fertiliser_SourceData.Fertiliser_Products_Data4(),FertiliserProducts[[#Headers],[Company]], 91)</f>
        <v/>
      </c>
      <c r="Y184" s="148" t="str" cm="1">
        <f t="array" ref="Y184">Common_InputFunctions.Utility_DisplayArrayInTable(Fertiliser_SourceData.Fertiliser_Products_Data4(),FertiliserProducts[[#Headers],[Company]], 91)</f>
        <v/>
      </c>
      <c r="Z184" s="148" t="str" cm="1">
        <f t="array" ref="Z184">Common_InputFunctions.Utility_DisplayArrayInTable(Fertiliser_SourceData.Fertiliser_Products_Data4(),FertiliserProducts[[#Headers],[Company]], 91)</f>
        <v/>
      </c>
      <c r="AA184" s="148" t="str" cm="1">
        <f t="array" ref="AA184">Common_InputFunctions.Utility_DisplayArrayInTable(Fertiliser_SourceData.Fertiliser_Products_Data4(),FertiliserProducts[[#Headers],[Company]], 91)</f>
        <v/>
      </c>
      <c r="AB184" s="148" t="str" cm="1">
        <f t="array" ref="AB184">Common_InputFunctions.Utility_DisplayArrayInTable(Fertiliser_SourceData.Fertiliser_Products_Data4(),FertiliserProducts[[#Headers],[Company]], 91)</f>
        <v/>
      </c>
      <c r="AC184" s="148" t="str" cm="1">
        <f t="array" ref="AC184">Common_InputFunctions.Utility_DisplayArrayInTable(Fertiliser_SourceData.Fertiliser_Products_Data4(),FertiliserProducts[[#Headers],[Company]], 91)</f>
        <v/>
      </c>
      <c r="AD184" s="148" t="str" cm="1">
        <f t="array" ref="AD184">Common_InputFunctions.Utility_DisplayArrayInTable(Fertiliser_SourceData.Fertiliser_Products_Data4(),FertiliserProducts[[#Headers],[Company]], 91)</f>
        <v/>
      </c>
      <c r="AE184" s="148" t="str" cm="1">
        <f t="array" ref="AE184">Common_InputFunctions.Utility_DisplayArrayInTable(Fertiliser_SourceData.Fertiliser_Products_Data4(),FertiliserProducts[[#Headers],[Company]], 91)</f>
        <v/>
      </c>
      <c r="AF184" s="148" t="str" cm="1">
        <f t="array" ref="AF184">Common_InputFunctions.Utility_DisplayArrayInTable(Fertiliser_SourceData.Fertiliser_Products_Data4(),FertiliserProducts[[#Headers],[Company]], 91)</f>
        <v/>
      </c>
      <c r="AG184" s="148" t="str" cm="1">
        <f t="array" ref="AG184">Common_InputFunctions.Utility_DisplayArrayInTable(Fertiliser_SourceData.Fertiliser_Products_Data4(),FertiliserProducts[[#Headers],[Company]], 91)</f>
        <v/>
      </c>
      <c r="AH184" s="148" t="str" cm="1">
        <f t="array" ref="AH184">Common_InputFunctions.Utility_DisplayArrayInTable(Fertiliser_SourceData.Fertiliser_Products_Data4(),FertiliserProducts[[#Headers],[Company]], 91)</f>
        <v/>
      </c>
    </row>
    <row r="185" spans="1:37" ht="20.100000000000001" customHeight="1" x14ac:dyDescent="0.2">
      <c r="D185" s="148" t="str" cm="1">
        <f t="array" ref="D185">Common_InputFunctions.Utility_DisplayArrayInTable(Fertiliser_SourceData.Fertiliser_Products_Data4(),FertiliserProducts[[#Headers],[Company]], 91)</f>
        <v>Pacific Fertiliser / Incitec Pivot Fertilisers</v>
      </c>
      <c r="E185" s="148" t="str" cm="1">
        <f t="array" ref="E185">Common_InputFunctions.Utility_DisplayArrayInTable(Fertiliser_SourceData.Fertiliser_Products_Data4(),FertiliserProducts[[#Headers],[Company]], 91)</f>
        <v>Cal-Gran</v>
      </c>
      <c r="F185" s="148" t="str" cm="1">
        <f t="array" ref="F185">Common_InputFunctions.Utility_DisplayArrayInTable(Fertiliser_SourceData.Fertiliser_Products_Data4(),FertiliserProducts[[#Headers],[Company]], 91)</f>
        <v>kg</v>
      </c>
      <c r="G185" s="148" cm="1">
        <f t="array" ref="G185">Common_InputFunctions.Utility_DisplayArrayInTable(Fertiliser_SourceData.Fertiliser_Products_Data4(),FertiliserProducts[[#Headers],[Company]], 91)</f>
        <v>1</v>
      </c>
      <c r="H185" s="148" t="str" cm="1">
        <f t="array" ref="H185">Common_InputFunctions.Utility_DisplayArrayInTable(Fertiliser_SourceData.Fertiliser_Products_Data4(),FertiliserProducts[[#Headers],[Company]], 91)</f>
        <v/>
      </c>
      <c r="I185" s="148" t="str" cm="1">
        <f t="array" ref="I185">Common_InputFunctions.Utility_DisplayArrayInTable(Fertiliser_SourceData.Fertiliser_Products_Data4(),FertiliserProducts[[#Headers],[Company]], 91)</f>
        <v/>
      </c>
      <c r="J185" s="148" t="str" cm="1">
        <f t="array" ref="J185">Common_InputFunctions.Utility_DisplayArrayInTable(Fertiliser_SourceData.Fertiliser_Products_Data4(),FertiliserProducts[[#Headers],[Company]], 91)</f>
        <v/>
      </c>
      <c r="K185" s="148" cm="1">
        <f t="array" ref="K185">Common_InputFunctions.Utility_DisplayArrayInTable(Fertiliser_SourceData.Fertiliser_Products_Data4(),FertiliserProducts[[#Headers],[Company]], 91)</f>
        <v>23.9</v>
      </c>
      <c r="L185" s="148" t="str" cm="1">
        <f t="array" ref="L185">Common_InputFunctions.Utility_DisplayArrayInTable(Fertiliser_SourceData.Fertiliser_Products_Data4(),FertiliserProducts[[#Headers],[Company]], 91)</f>
        <v/>
      </c>
      <c r="M185" s="148" t="str" cm="1">
        <f t="array" ref="M185">Common_InputFunctions.Utility_DisplayArrayInTable(Fertiliser_SourceData.Fertiliser_Products_Data4(),FertiliserProducts[[#Headers],[Company]], 91)</f>
        <v/>
      </c>
      <c r="N185" s="148" cm="1">
        <f t="array" ref="N185">Common_InputFunctions.Utility_DisplayArrayInTable(Fertiliser_SourceData.Fertiliser_Products_Data4(),FertiliserProducts[[#Headers],[Company]], 91)</f>
        <v>10.8</v>
      </c>
      <c r="O185" s="148" t="str" cm="1">
        <f t="array" ref="O185">Common_InputFunctions.Utility_DisplayArrayInTable(Fertiliser_SourceData.Fertiliser_Products_Data4(),FertiliserProducts[[#Headers],[Company]], 91)</f>
        <v>Nitrogen - Nitrate</v>
      </c>
      <c r="P185" s="148" cm="1">
        <f t="array" ref="P185">Common_InputFunctions.Utility_DisplayArrayInTable(Fertiliser_SourceData.Fertiliser_Products_Data4(),FertiliserProducts[[#Headers],[Company]], 91)</f>
        <v>7.3999999999999996E-2</v>
      </c>
      <c r="Q185" s="148" t="str" cm="1">
        <f t="array" ref="Q185">Common_InputFunctions.Utility_DisplayArrayInTable(Fertiliser_SourceData.Fertiliser_Products_Data4(),FertiliserProducts[[#Headers],[Company]], 91)</f>
        <v>Nitrogen - Ammoniacal</v>
      </c>
      <c r="R185" s="148" cm="1">
        <f t="array" ref="R185">Common_InputFunctions.Utility_DisplayArrayInTable(Fertiliser_SourceData.Fertiliser_Products_Data4(),FertiliserProducts[[#Headers],[Company]], 91)</f>
        <v>0.16500000000000001</v>
      </c>
      <c r="S185" s="148" t="str" cm="1">
        <f t="array" ref="S185">Common_InputFunctions.Utility_DisplayArrayInTable(Fertiliser_SourceData.Fertiliser_Products_Data4(),FertiliserProducts[[#Headers],[Company]], 91)</f>
        <v>Sulfur - Generic</v>
      </c>
      <c r="T185" s="148" cm="1">
        <f t="array" ref="T185">Common_InputFunctions.Utility_DisplayArrayInTable(Fertiliser_SourceData.Fertiliser_Products_Data4(),FertiliserProducts[[#Headers],[Company]], 91)</f>
        <v>0.108</v>
      </c>
      <c r="U185" s="148" t="str" cm="1">
        <f t="array" ref="U185">Common_InputFunctions.Utility_DisplayArrayInTable(Fertiliser_SourceData.Fertiliser_Products_Data4(),FertiliserProducts[[#Headers],[Company]], 91)</f>
        <v>Calcium</v>
      </c>
      <c r="V185" s="148" cm="1">
        <f t="array" ref="V185">Common_InputFunctions.Utility_DisplayArrayInTable(Fertiliser_SourceData.Fertiliser_Products_Data4(),FertiliserProducts[[#Headers],[Company]], 91)</f>
        <v>4.3999999999999997E-2</v>
      </c>
      <c r="W185" s="148" t="str" cm="1">
        <f t="array" ref="W185">Common_InputFunctions.Utility_DisplayArrayInTable(Fertiliser_SourceData.Fertiliser_Products_Data4(),FertiliserProducts[[#Headers],[Company]], 91)</f>
        <v/>
      </c>
      <c r="X185" s="148" t="str" cm="1">
        <f t="array" ref="X185">Common_InputFunctions.Utility_DisplayArrayInTable(Fertiliser_SourceData.Fertiliser_Products_Data4(),FertiliserProducts[[#Headers],[Company]], 91)</f>
        <v/>
      </c>
      <c r="Y185" s="148" t="str" cm="1">
        <f t="array" ref="Y185">Common_InputFunctions.Utility_DisplayArrayInTable(Fertiliser_SourceData.Fertiliser_Products_Data4(),FertiliserProducts[[#Headers],[Company]], 91)</f>
        <v/>
      </c>
      <c r="Z185" s="148" t="str" cm="1">
        <f t="array" ref="Z185">Common_InputFunctions.Utility_DisplayArrayInTable(Fertiliser_SourceData.Fertiliser_Products_Data4(),FertiliserProducts[[#Headers],[Company]], 91)</f>
        <v/>
      </c>
      <c r="AA185" s="148" t="str" cm="1">
        <f t="array" ref="AA185">Common_InputFunctions.Utility_DisplayArrayInTable(Fertiliser_SourceData.Fertiliser_Products_Data4(),FertiliserProducts[[#Headers],[Company]], 91)</f>
        <v/>
      </c>
      <c r="AB185" s="148" t="str" cm="1">
        <f t="array" ref="AB185">Common_InputFunctions.Utility_DisplayArrayInTable(Fertiliser_SourceData.Fertiliser_Products_Data4(),FertiliserProducts[[#Headers],[Company]], 91)</f>
        <v/>
      </c>
      <c r="AC185" s="148" t="str" cm="1">
        <f t="array" ref="AC185">Common_InputFunctions.Utility_DisplayArrayInTable(Fertiliser_SourceData.Fertiliser_Products_Data4(),FertiliserProducts[[#Headers],[Company]], 91)</f>
        <v/>
      </c>
      <c r="AD185" s="148" t="str" cm="1">
        <f t="array" ref="AD185">Common_InputFunctions.Utility_DisplayArrayInTable(Fertiliser_SourceData.Fertiliser_Products_Data4(),FertiliserProducts[[#Headers],[Company]], 91)</f>
        <v/>
      </c>
      <c r="AE185" s="148" t="str" cm="1">
        <f t="array" ref="AE185">Common_InputFunctions.Utility_DisplayArrayInTable(Fertiliser_SourceData.Fertiliser_Products_Data4(),FertiliserProducts[[#Headers],[Company]], 91)</f>
        <v/>
      </c>
      <c r="AF185" s="148" t="str" cm="1">
        <f t="array" ref="AF185">Common_InputFunctions.Utility_DisplayArrayInTable(Fertiliser_SourceData.Fertiliser_Products_Data4(),FertiliserProducts[[#Headers],[Company]], 91)</f>
        <v/>
      </c>
      <c r="AG185" s="148" t="str" cm="1">
        <f t="array" ref="AG185">Common_InputFunctions.Utility_DisplayArrayInTable(Fertiliser_SourceData.Fertiliser_Products_Data4(),FertiliserProducts[[#Headers],[Company]], 91)</f>
        <v/>
      </c>
      <c r="AH185" s="148" t="str" cm="1">
        <f t="array" ref="AH185">Common_InputFunctions.Utility_DisplayArrayInTable(Fertiliser_SourceData.Fertiliser_Products_Data4(),FertiliserProducts[[#Headers],[Company]], 91)</f>
        <v/>
      </c>
    </row>
    <row r="186" spans="1:37" ht="20.100000000000001" customHeight="1" x14ac:dyDescent="0.2">
      <c r="D186" s="148" t="str" cm="1">
        <f t="array" ref="D186">Common_InputFunctions.Utility_DisplayArrayInTable(Fertiliser_SourceData.Fertiliser_Products_Data4(),FertiliserProducts[[#Headers],[Company]], 91)</f>
        <v>Pacific Fertiliser / Incitec Pivot Fertilisers</v>
      </c>
      <c r="E186" s="148" t="str" cm="1">
        <f t="array" ref="E186">Common_InputFunctions.Utility_DisplayArrayInTable(Fertiliser_SourceData.Fertiliser_Products_Data4(),FertiliserProducts[[#Headers],[Company]], 91)</f>
        <v>Cal-Gran 50/50</v>
      </c>
      <c r="F186" s="148" t="str" cm="1">
        <f t="array" ref="F186">Common_InputFunctions.Utility_DisplayArrayInTable(Fertiliser_SourceData.Fertiliser_Products_Data4(),FertiliserProducts[[#Headers],[Company]], 91)</f>
        <v>kg</v>
      </c>
      <c r="G186" s="148" cm="1">
        <f t="array" ref="G186">Common_InputFunctions.Utility_DisplayArrayInTable(Fertiliser_SourceData.Fertiliser_Products_Data4(),FertiliserProducts[[#Headers],[Company]], 91)</f>
        <v>1</v>
      </c>
      <c r="H186" s="148" t="str" cm="1">
        <f t="array" ref="H186">Common_InputFunctions.Utility_DisplayArrayInTable(Fertiliser_SourceData.Fertiliser_Products_Data4(),FertiliserProducts[[#Headers],[Company]], 91)</f>
        <v/>
      </c>
      <c r="I186" s="148" t="str" cm="1">
        <f t="array" ref="I186">Common_InputFunctions.Utility_DisplayArrayInTable(Fertiliser_SourceData.Fertiliser_Products_Data4(),FertiliserProducts[[#Headers],[Company]], 91)</f>
        <v/>
      </c>
      <c r="J186" s="148" t="str" cm="1">
        <f t="array" ref="J186">Common_InputFunctions.Utility_DisplayArrayInTable(Fertiliser_SourceData.Fertiliser_Products_Data4(),FertiliserProducts[[#Headers],[Company]], 91)</f>
        <v/>
      </c>
      <c r="K186" s="148" cm="1">
        <f t="array" ref="K186">Common_InputFunctions.Utility_DisplayArrayInTable(Fertiliser_SourceData.Fertiliser_Products_Data4(),FertiliserProducts[[#Headers],[Company]], 91)</f>
        <v>17.899999999999999</v>
      </c>
      <c r="L186" s="148" t="str" cm="1">
        <f t="array" ref="L186">Common_InputFunctions.Utility_DisplayArrayInTable(Fertiliser_SourceData.Fertiliser_Products_Data4(),FertiliserProducts[[#Headers],[Company]], 91)</f>
        <v/>
      </c>
      <c r="M186" s="148" cm="1">
        <f t="array" ref="M186">Common_InputFunctions.Utility_DisplayArrayInTable(Fertiliser_SourceData.Fertiliser_Products_Data4(),FertiliserProducts[[#Headers],[Company]], 91)</f>
        <v>15</v>
      </c>
      <c r="N186" s="148" cm="1">
        <f t="array" ref="N186">Common_InputFunctions.Utility_DisplayArrayInTable(Fertiliser_SourceData.Fertiliser_Products_Data4(),FertiliserProducts[[#Headers],[Company]], 91)</f>
        <v>3.6</v>
      </c>
      <c r="O186" s="148" t="str" cm="1">
        <f t="array" ref="O186">Common_InputFunctions.Utility_DisplayArrayInTable(Fertiliser_SourceData.Fertiliser_Products_Data4(),FertiliserProducts[[#Headers],[Company]], 91)</f>
        <v>Nitrogen - Nitrate</v>
      </c>
      <c r="P186" s="148" cm="1">
        <f t="array" ref="P186">Common_InputFunctions.Utility_DisplayArrayInTable(Fertiliser_SourceData.Fertiliser_Products_Data4(),FertiliserProducts[[#Headers],[Company]], 91)</f>
        <v>5.5E-2</v>
      </c>
      <c r="Q186" s="148" t="str" cm="1">
        <f t="array" ref="Q186">Common_InputFunctions.Utility_DisplayArrayInTable(Fertiliser_SourceData.Fertiliser_Products_Data4(),FertiliserProducts[[#Headers],[Company]], 91)</f>
        <v>Nitrogen - Ammoniacal</v>
      </c>
      <c r="R186" s="148" cm="1">
        <f t="array" ref="R186">Common_InputFunctions.Utility_DisplayArrayInTable(Fertiliser_SourceData.Fertiliser_Products_Data4(),FertiliserProducts[[#Headers],[Company]], 91)</f>
        <v>0.124</v>
      </c>
      <c r="S186" s="148" t="str" cm="1">
        <f t="array" ref="S186">Common_InputFunctions.Utility_DisplayArrayInTable(Fertiliser_SourceData.Fertiliser_Products_Data4(),FertiliserProducts[[#Headers],[Company]], 91)</f>
        <v>Potassium - Generic</v>
      </c>
      <c r="T186" s="148" cm="1">
        <f t="array" ref="T186">Common_InputFunctions.Utility_DisplayArrayInTable(Fertiliser_SourceData.Fertiliser_Products_Data4(),FertiliserProducts[[#Headers],[Company]], 91)</f>
        <v>0.15</v>
      </c>
      <c r="U186" s="148" t="str" cm="1">
        <f t="array" ref="U186">Common_InputFunctions.Utility_DisplayArrayInTable(Fertiliser_SourceData.Fertiliser_Products_Data4(),FertiliserProducts[[#Headers],[Company]], 91)</f>
        <v>Sulfur - Generic</v>
      </c>
      <c r="V186" s="148" cm="1">
        <f t="array" ref="V186">Common_InputFunctions.Utility_DisplayArrayInTable(Fertiliser_SourceData.Fertiliser_Products_Data4(),FertiliserProducts[[#Headers],[Company]], 91)</f>
        <v>3.5999999999999997E-2</v>
      </c>
      <c r="W186" s="148" t="str" cm="1">
        <f t="array" ref="W186">Common_InputFunctions.Utility_DisplayArrayInTable(Fertiliser_SourceData.Fertiliser_Products_Data4(),FertiliserProducts[[#Headers],[Company]], 91)</f>
        <v>Calcium</v>
      </c>
      <c r="X186" s="148" cm="1">
        <f t="array" ref="X186">Common_InputFunctions.Utility_DisplayArrayInTable(Fertiliser_SourceData.Fertiliser_Products_Data4(),FertiliserProducts[[#Headers],[Company]], 91)</f>
        <v>4.3999999999999997E-2</v>
      </c>
      <c r="Y186" s="148" t="str" cm="1">
        <f t="array" ref="Y186">Common_InputFunctions.Utility_DisplayArrayInTable(Fertiliser_SourceData.Fertiliser_Products_Data4(),FertiliserProducts[[#Headers],[Company]], 91)</f>
        <v/>
      </c>
      <c r="Z186" s="148" t="str" cm="1">
        <f t="array" ref="Z186">Common_InputFunctions.Utility_DisplayArrayInTable(Fertiliser_SourceData.Fertiliser_Products_Data4(),FertiliserProducts[[#Headers],[Company]], 91)</f>
        <v/>
      </c>
      <c r="AA186" s="148" t="str" cm="1">
        <f t="array" ref="AA186">Common_InputFunctions.Utility_DisplayArrayInTable(Fertiliser_SourceData.Fertiliser_Products_Data4(),FertiliserProducts[[#Headers],[Company]], 91)</f>
        <v/>
      </c>
      <c r="AB186" s="148" t="str" cm="1">
        <f t="array" ref="AB186">Common_InputFunctions.Utility_DisplayArrayInTable(Fertiliser_SourceData.Fertiliser_Products_Data4(),FertiliserProducts[[#Headers],[Company]], 91)</f>
        <v/>
      </c>
      <c r="AC186" s="148" t="str" cm="1">
        <f t="array" ref="AC186">Common_InputFunctions.Utility_DisplayArrayInTable(Fertiliser_SourceData.Fertiliser_Products_Data4(),FertiliserProducts[[#Headers],[Company]], 91)</f>
        <v/>
      </c>
      <c r="AD186" s="148" t="str" cm="1">
        <f t="array" ref="AD186">Common_InputFunctions.Utility_DisplayArrayInTable(Fertiliser_SourceData.Fertiliser_Products_Data4(),FertiliserProducts[[#Headers],[Company]], 91)</f>
        <v/>
      </c>
      <c r="AE186" s="148" t="str" cm="1">
        <f t="array" ref="AE186">Common_InputFunctions.Utility_DisplayArrayInTable(Fertiliser_SourceData.Fertiliser_Products_Data4(),FertiliserProducts[[#Headers],[Company]], 91)</f>
        <v/>
      </c>
      <c r="AF186" s="148" t="str" cm="1">
        <f t="array" ref="AF186">Common_InputFunctions.Utility_DisplayArrayInTable(Fertiliser_SourceData.Fertiliser_Products_Data4(),FertiliserProducts[[#Headers],[Company]], 91)</f>
        <v/>
      </c>
      <c r="AG186" s="148" t="str" cm="1">
        <f t="array" ref="AG186">Common_InputFunctions.Utility_DisplayArrayInTable(Fertiliser_SourceData.Fertiliser_Products_Data4(),FertiliserProducts[[#Headers],[Company]], 91)</f>
        <v/>
      </c>
      <c r="AH186" s="148" t="str" cm="1">
        <f t="array" ref="AH186">Common_InputFunctions.Utility_DisplayArrayInTable(Fertiliser_SourceData.Fertiliser_Products_Data4(),FertiliserProducts[[#Headers],[Company]], 91)</f>
        <v/>
      </c>
    </row>
    <row r="187" spans="1:37" ht="20.100000000000001" customHeight="1" x14ac:dyDescent="0.2">
      <c r="D187" s="148" t="str" cm="1">
        <f t="array" ref="D187">Common_InputFunctions.Utility_DisplayArrayInTable(Fertiliser_SourceData.Fertiliser_Products_Data4(),FertiliserProducts[[#Headers],[Company]], 91)</f>
        <v>Pacific Fertiliser / Incitec Pivot Fertilisers</v>
      </c>
      <c r="E187" s="148" t="str" cm="1">
        <f t="array" ref="E187">Common_InputFunctions.Utility_DisplayArrayInTable(Fertiliser_SourceData.Fertiliser_Products_Data4(),FertiliserProducts[[#Headers],[Company]], 91)</f>
        <v>Cal-Gran 50/50 (S)</v>
      </c>
      <c r="F187" s="148" t="str" cm="1">
        <f t="array" ref="F187">Common_InputFunctions.Utility_DisplayArrayInTable(Fertiliser_SourceData.Fertiliser_Products_Data4(),FertiliserProducts[[#Headers],[Company]], 91)</f>
        <v>kg</v>
      </c>
      <c r="G187" s="148" cm="1">
        <f t="array" ref="G187">Common_InputFunctions.Utility_DisplayArrayInTable(Fertiliser_SourceData.Fertiliser_Products_Data4(),FertiliserProducts[[#Headers],[Company]], 91)</f>
        <v>1</v>
      </c>
      <c r="H187" s="148" t="str" cm="1">
        <f t="array" ref="H187">Common_InputFunctions.Utility_DisplayArrayInTable(Fertiliser_SourceData.Fertiliser_Products_Data4(),FertiliserProducts[[#Headers],[Company]], 91)</f>
        <v/>
      </c>
      <c r="I187" s="148" t="str" cm="1">
        <f t="array" ref="I187">Common_InputFunctions.Utility_DisplayArrayInTable(Fertiliser_SourceData.Fertiliser_Products_Data4(),FertiliserProducts[[#Headers],[Company]], 91)</f>
        <v/>
      </c>
      <c r="J187" s="148" t="str" cm="1">
        <f t="array" ref="J187">Common_InputFunctions.Utility_DisplayArrayInTable(Fertiliser_SourceData.Fertiliser_Products_Data4(),FertiliserProducts[[#Headers],[Company]], 91)</f>
        <v/>
      </c>
      <c r="K187" s="148" cm="1">
        <f t="array" ref="K187">Common_InputFunctions.Utility_DisplayArrayInTable(Fertiliser_SourceData.Fertiliser_Products_Data4(),FertiliserProducts[[#Headers],[Company]], 91)</f>
        <v>16.899999999999999</v>
      </c>
      <c r="L187" s="148" t="str" cm="1">
        <f t="array" ref="L187">Common_InputFunctions.Utility_DisplayArrayInTable(Fertiliser_SourceData.Fertiliser_Products_Data4(),FertiliserProducts[[#Headers],[Company]], 91)</f>
        <v/>
      </c>
      <c r="M187" s="148" cm="1">
        <f t="array" ref="M187">Common_InputFunctions.Utility_DisplayArrayInTable(Fertiliser_SourceData.Fertiliser_Products_Data4(),FertiliserProducts[[#Headers],[Company]], 91)</f>
        <v>14.4</v>
      </c>
      <c r="N187" s="148" cm="1">
        <f t="array" ref="N187">Common_InputFunctions.Utility_DisplayArrayInTable(Fertiliser_SourceData.Fertiliser_Products_Data4(),FertiliserProducts[[#Headers],[Company]], 91)</f>
        <v>8.6999999999999993</v>
      </c>
      <c r="O187" s="148" t="str" cm="1">
        <f t="array" ref="O187">Common_InputFunctions.Utility_DisplayArrayInTable(Fertiliser_SourceData.Fertiliser_Products_Data4(),FertiliserProducts[[#Headers],[Company]], 91)</f>
        <v>Nitrogen - Nitrate</v>
      </c>
      <c r="P187" s="148" cm="1">
        <f t="array" ref="P187">Common_InputFunctions.Utility_DisplayArrayInTable(Fertiliser_SourceData.Fertiliser_Products_Data4(),FertiliserProducts[[#Headers],[Company]], 91)</f>
        <v>5.1999999999999998E-2</v>
      </c>
      <c r="Q187" s="148" t="str" cm="1">
        <f t="array" ref="Q187">Common_InputFunctions.Utility_DisplayArrayInTable(Fertiliser_SourceData.Fertiliser_Products_Data4(),FertiliserProducts[[#Headers],[Company]], 91)</f>
        <v>Nitrogen - Ammoniacal</v>
      </c>
      <c r="R187" s="148" cm="1">
        <f t="array" ref="R187">Common_InputFunctions.Utility_DisplayArrayInTable(Fertiliser_SourceData.Fertiliser_Products_Data4(),FertiliserProducts[[#Headers],[Company]], 91)</f>
        <v>0.11700000000000001</v>
      </c>
      <c r="S187" s="148" t="str" cm="1">
        <f t="array" ref="S187">Common_InputFunctions.Utility_DisplayArrayInTable(Fertiliser_SourceData.Fertiliser_Products_Data4(),FertiliserProducts[[#Headers],[Company]], 91)</f>
        <v>Potassium - Generic</v>
      </c>
      <c r="T187" s="148" cm="1">
        <f t="array" ref="T187">Common_InputFunctions.Utility_DisplayArrayInTable(Fertiliser_SourceData.Fertiliser_Products_Data4(),FertiliserProducts[[#Headers],[Company]], 91)</f>
        <v>0.14399999999999999</v>
      </c>
      <c r="U187" s="148" t="str" cm="1">
        <f t="array" ref="U187">Common_InputFunctions.Utility_DisplayArrayInTable(Fertiliser_SourceData.Fertiliser_Products_Data4(),FertiliserProducts[[#Headers],[Company]], 91)</f>
        <v>Sulfur - Generic</v>
      </c>
      <c r="V187" s="148" cm="1">
        <f t="array" ref="V187">Common_InputFunctions.Utility_DisplayArrayInTable(Fertiliser_SourceData.Fertiliser_Products_Data4(),FertiliserProducts[[#Headers],[Company]], 91)</f>
        <v>8.6999999999999994E-2</v>
      </c>
      <c r="W187" s="148" t="str" cm="1">
        <f t="array" ref="W187">Common_InputFunctions.Utility_DisplayArrayInTable(Fertiliser_SourceData.Fertiliser_Products_Data4(),FertiliserProducts[[#Headers],[Company]], 91)</f>
        <v>Calcium</v>
      </c>
      <c r="X187" s="148" cm="1">
        <f t="array" ref="X187">Common_InputFunctions.Utility_DisplayArrayInTable(Fertiliser_SourceData.Fertiliser_Products_Data4(),FertiliserProducts[[#Headers],[Company]], 91)</f>
        <v>4.3999999999999997E-2</v>
      </c>
      <c r="Y187" s="148" t="str" cm="1">
        <f t="array" ref="Y187">Common_InputFunctions.Utility_DisplayArrayInTable(Fertiliser_SourceData.Fertiliser_Products_Data4(),FertiliserProducts[[#Headers],[Company]], 91)</f>
        <v/>
      </c>
      <c r="Z187" s="148" t="str" cm="1">
        <f t="array" ref="Z187">Common_InputFunctions.Utility_DisplayArrayInTable(Fertiliser_SourceData.Fertiliser_Products_Data4(),FertiliserProducts[[#Headers],[Company]], 91)</f>
        <v/>
      </c>
      <c r="AA187" s="148" t="str" cm="1">
        <f t="array" ref="AA187">Common_InputFunctions.Utility_DisplayArrayInTable(Fertiliser_SourceData.Fertiliser_Products_Data4(),FertiliserProducts[[#Headers],[Company]], 91)</f>
        <v/>
      </c>
      <c r="AB187" s="148" t="str" cm="1">
        <f t="array" ref="AB187">Common_InputFunctions.Utility_DisplayArrayInTable(Fertiliser_SourceData.Fertiliser_Products_Data4(),FertiliserProducts[[#Headers],[Company]], 91)</f>
        <v/>
      </c>
      <c r="AC187" s="148" t="str" cm="1">
        <f t="array" ref="AC187">Common_InputFunctions.Utility_DisplayArrayInTable(Fertiliser_SourceData.Fertiliser_Products_Data4(),FertiliserProducts[[#Headers],[Company]], 91)</f>
        <v/>
      </c>
      <c r="AD187" s="148" t="str" cm="1">
        <f t="array" ref="AD187">Common_InputFunctions.Utility_DisplayArrayInTable(Fertiliser_SourceData.Fertiliser_Products_Data4(),FertiliserProducts[[#Headers],[Company]], 91)</f>
        <v/>
      </c>
      <c r="AE187" s="148" t="str" cm="1">
        <f t="array" ref="AE187">Common_InputFunctions.Utility_DisplayArrayInTable(Fertiliser_SourceData.Fertiliser_Products_Data4(),FertiliserProducts[[#Headers],[Company]], 91)</f>
        <v/>
      </c>
      <c r="AF187" s="148" t="str" cm="1">
        <f t="array" ref="AF187">Common_InputFunctions.Utility_DisplayArrayInTable(Fertiliser_SourceData.Fertiliser_Products_Data4(),FertiliserProducts[[#Headers],[Company]], 91)</f>
        <v/>
      </c>
      <c r="AG187" s="148" t="str" cm="1">
        <f t="array" ref="AG187">Common_InputFunctions.Utility_DisplayArrayInTable(Fertiliser_SourceData.Fertiliser_Products_Data4(),FertiliserProducts[[#Headers],[Company]], 91)</f>
        <v/>
      </c>
      <c r="AH187" s="148" t="str" cm="1">
        <f t="array" ref="AH187">Common_InputFunctions.Utility_DisplayArrayInTable(Fertiliser_SourceData.Fertiliser_Products_Data4(),FertiliserProducts[[#Headers],[Company]], 91)</f>
        <v/>
      </c>
    </row>
    <row r="188" spans="1:37" ht="20.100000000000001" customHeight="1" x14ac:dyDescent="0.2">
      <c r="A188" s="79" t="str">
        <f>HYPERLINK("#A1", "▲ Back to top")</f>
        <v>▲ Back to top</v>
      </c>
      <c r="D188" s="148" t="str" cm="1">
        <f t="array" ref="D188">Common_InputFunctions.Utility_DisplayArrayInTable(Fertiliser_SourceData.Fertiliser_Products_Data4(),FertiliserProducts[[#Headers],[Company]], 91)</f>
        <v>Pacific Fertiliser / Incitec Pivot Fertilisers</v>
      </c>
      <c r="E188" s="148" t="str" cm="1">
        <f t="array" ref="E188">Common_InputFunctions.Utility_DisplayArrayInTable(Fertiliser_SourceData.Fertiliser_Products_Data4(),FertiliserProducts[[#Headers],[Company]], 91)</f>
        <v>Cal-Gran 130</v>
      </c>
      <c r="F188" s="148" t="str" cm="1">
        <f t="array" ref="F188">Common_InputFunctions.Utility_DisplayArrayInTable(Fertiliser_SourceData.Fertiliser_Products_Data4(),FertiliserProducts[[#Headers],[Company]], 91)</f>
        <v>kg</v>
      </c>
      <c r="G188" s="148" cm="1">
        <f t="array" ref="G188">Common_InputFunctions.Utility_DisplayArrayInTable(Fertiliser_SourceData.Fertiliser_Products_Data4(),FertiliserProducts[[#Headers],[Company]], 91)</f>
        <v>1</v>
      </c>
      <c r="H188" s="148" t="str" cm="1">
        <f t="array" ref="H188">Common_InputFunctions.Utility_DisplayArrayInTable(Fertiliser_SourceData.Fertiliser_Products_Data4(),FertiliserProducts[[#Headers],[Company]], 91)</f>
        <v/>
      </c>
      <c r="I188" s="148" t="str" cm="1">
        <f t="array" ref="I188">Common_InputFunctions.Utility_DisplayArrayInTable(Fertiliser_SourceData.Fertiliser_Products_Data4(),FertiliserProducts[[#Headers],[Company]], 91)</f>
        <v/>
      </c>
      <c r="J188" s="148" t="str" cm="1">
        <f t="array" ref="J188">Common_InputFunctions.Utility_DisplayArrayInTable(Fertiliser_SourceData.Fertiliser_Products_Data4(),FertiliserProducts[[#Headers],[Company]], 91)</f>
        <v/>
      </c>
      <c r="K188" s="148" cm="1">
        <f t="array" ref="K188">Common_InputFunctions.Utility_DisplayArrayInTable(Fertiliser_SourceData.Fertiliser_Products_Data4(),FertiliserProducts[[#Headers],[Company]], 91)</f>
        <v>18.8</v>
      </c>
      <c r="L188" s="148" cm="1">
        <f t="array" ref="L188">Common_InputFunctions.Utility_DisplayArrayInTable(Fertiliser_SourceData.Fertiliser_Products_Data4(),FertiliserProducts[[#Headers],[Company]], 91)</f>
        <v>1</v>
      </c>
      <c r="M188" s="148" cm="1">
        <f t="array" ref="M188">Common_InputFunctions.Utility_DisplayArrayInTable(Fertiliser_SourceData.Fertiliser_Products_Data4(),FertiliserProducts[[#Headers],[Company]], 91)</f>
        <v>12.5</v>
      </c>
      <c r="N188" s="148" cm="1">
        <f t="array" ref="N188">Common_InputFunctions.Utility_DisplayArrayInTable(Fertiliser_SourceData.Fertiliser_Products_Data4(),FertiliserProducts[[#Headers],[Company]], 91)</f>
        <v>3.7</v>
      </c>
      <c r="O188" s="148" t="str" cm="1">
        <f t="array" ref="O188">Common_InputFunctions.Utility_DisplayArrayInTable(Fertiliser_SourceData.Fertiliser_Products_Data4(),FertiliserProducts[[#Headers],[Company]], 91)</f>
        <v>Nitrogen - Nitrate</v>
      </c>
      <c r="P188" s="148" cm="1">
        <f t="array" ref="P188">Common_InputFunctions.Utility_DisplayArrayInTable(Fertiliser_SourceData.Fertiliser_Products_Data4(),FertiliserProducts[[#Headers],[Company]], 91)</f>
        <v>5.8000000000000003E-2</v>
      </c>
      <c r="Q188" s="148" t="str" cm="1">
        <f t="array" ref="Q188">Common_InputFunctions.Utility_DisplayArrayInTable(Fertiliser_SourceData.Fertiliser_Products_Data4(),FertiliserProducts[[#Headers],[Company]], 91)</f>
        <v>Nitrogen - Ammoniacal</v>
      </c>
      <c r="R188" s="148" cm="1">
        <f t="array" ref="R188">Common_InputFunctions.Utility_DisplayArrayInTable(Fertiliser_SourceData.Fertiliser_Products_Data4(),FertiliserProducts[[#Headers],[Company]], 91)</f>
        <v>0.13</v>
      </c>
      <c r="S188" s="148" t="str" cm="1">
        <f t="array" ref="S188">Common_InputFunctions.Utility_DisplayArrayInTable(Fertiliser_SourceData.Fertiliser_Products_Data4(),FertiliserProducts[[#Headers],[Company]], 91)</f>
        <v>Phosphorus - Generic</v>
      </c>
      <c r="T188" s="148" cm="1">
        <f t="array" ref="T188">Common_InputFunctions.Utility_DisplayArrayInTable(Fertiliser_SourceData.Fertiliser_Products_Data4(),FertiliserProducts[[#Headers],[Company]], 91)</f>
        <v>0.01</v>
      </c>
      <c r="U188" s="148" t="str" cm="1">
        <f t="array" ref="U188">Common_InputFunctions.Utility_DisplayArrayInTable(Fertiliser_SourceData.Fertiliser_Products_Data4(),FertiliserProducts[[#Headers],[Company]], 91)</f>
        <v>Potassium - Generic</v>
      </c>
      <c r="V188" s="148" cm="1">
        <f t="array" ref="V188">Common_InputFunctions.Utility_DisplayArrayInTable(Fertiliser_SourceData.Fertiliser_Products_Data4(),FertiliserProducts[[#Headers],[Company]], 91)</f>
        <v>0.125</v>
      </c>
      <c r="W188" s="148" t="str" cm="1">
        <f t="array" ref="W188">Common_InputFunctions.Utility_DisplayArrayInTable(Fertiliser_SourceData.Fertiliser_Products_Data4(),FertiliserProducts[[#Headers],[Company]], 91)</f>
        <v>Sulfur - Generic</v>
      </c>
      <c r="X188" s="148" cm="1">
        <f t="array" ref="X188">Common_InputFunctions.Utility_DisplayArrayInTable(Fertiliser_SourceData.Fertiliser_Products_Data4(),FertiliserProducts[[#Headers],[Company]], 91)</f>
        <v>3.6999999999999998E-2</v>
      </c>
      <c r="Y188" s="148" t="str" cm="1">
        <f t="array" ref="Y188">Common_InputFunctions.Utility_DisplayArrayInTable(Fertiliser_SourceData.Fertiliser_Products_Data4(),FertiliserProducts[[#Headers],[Company]], 91)</f>
        <v>Calcium</v>
      </c>
      <c r="Z188" s="148" cm="1">
        <f t="array" ref="Z188">Common_InputFunctions.Utility_DisplayArrayInTable(Fertiliser_SourceData.Fertiliser_Products_Data4(),FertiliserProducts[[#Headers],[Company]], 91)</f>
        <v>4.3999999999999997E-2</v>
      </c>
      <c r="AA188" s="148" t="str" cm="1">
        <f t="array" ref="AA188">Common_InputFunctions.Utility_DisplayArrayInTable(Fertiliser_SourceData.Fertiliser_Products_Data4(),FertiliserProducts[[#Headers],[Company]], 91)</f>
        <v/>
      </c>
      <c r="AB188" s="148" t="str" cm="1">
        <f t="array" ref="AB188">Common_InputFunctions.Utility_DisplayArrayInTable(Fertiliser_SourceData.Fertiliser_Products_Data4(),FertiliserProducts[[#Headers],[Company]], 91)</f>
        <v/>
      </c>
      <c r="AC188" s="148" t="str" cm="1">
        <f t="array" ref="AC188">Common_InputFunctions.Utility_DisplayArrayInTable(Fertiliser_SourceData.Fertiliser_Products_Data4(),FertiliserProducts[[#Headers],[Company]], 91)</f>
        <v/>
      </c>
      <c r="AD188" s="148" t="str" cm="1">
        <f t="array" ref="AD188">Common_InputFunctions.Utility_DisplayArrayInTable(Fertiliser_SourceData.Fertiliser_Products_Data4(),FertiliserProducts[[#Headers],[Company]], 91)</f>
        <v/>
      </c>
      <c r="AE188" s="148" t="str" cm="1">
        <f t="array" ref="AE188">Common_InputFunctions.Utility_DisplayArrayInTable(Fertiliser_SourceData.Fertiliser_Products_Data4(),FertiliserProducts[[#Headers],[Company]], 91)</f>
        <v/>
      </c>
      <c r="AF188" s="148" t="str" cm="1">
        <f t="array" ref="AF188">Common_InputFunctions.Utility_DisplayArrayInTable(Fertiliser_SourceData.Fertiliser_Products_Data4(),FertiliserProducts[[#Headers],[Company]], 91)</f>
        <v/>
      </c>
      <c r="AG188" s="148" t="str" cm="1">
        <f t="array" ref="AG188">Common_InputFunctions.Utility_DisplayArrayInTable(Fertiliser_SourceData.Fertiliser_Products_Data4(),FertiliserProducts[[#Headers],[Company]], 91)</f>
        <v/>
      </c>
      <c r="AH188" s="148" t="str" cm="1">
        <f t="array" ref="AH188">Common_InputFunctions.Utility_DisplayArrayInTable(Fertiliser_SourceData.Fertiliser_Products_Data4(),FertiliserProducts[[#Headers],[Company]], 91)</f>
        <v/>
      </c>
    </row>
    <row r="189" spans="1:37" ht="20.100000000000001" customHeight="1" x14ac:dyDescent="0.2">
      <c r="D189" s="148" t="str" cm="1">
        <f t="array" ref="D189">Common_InputFunctions.Utility_DisplayArrayInTable(Fertiliser_SourceData.Fertiliser_Products_Data4(),FertiliserProducts[[#Headers],[Company]], 91)</f>
        <v>Pacific Fertiliser / Incitec Pivot Fertilisers</v>
      </c>
      <c r="E189" s="148" t="str" cm="1">
        <f t="array" ref="E189">Common_InputFunctions.Utility_DisplayArrayInTable(Fertiliser_SourceData.Fertiliser_Products_Data4(),FertiliserProducts[[#Headers],[Company]], 91)</f>
        <v>Cal-Gran 150</v>
      </c>
      <c r="F189" s="148" t="str" cm="1">
        <f t="array" ref="F189">Common_InputFunctions.Utility_DisplayArrayInTable(Fertiliser_SourceData.Fertiliser_Products_Data4(),FertiliserProducts[[#Headers],[Company]], 91)</f>
        <v>kg</v>
      </c>
      <c r="G189" s="148" cm="1">
        <f t="array" ref="G189">Common_InputFunctions.Utility_DisplayArrayInTable(Fertiliser_SourceData.Fertiliser_Products_Data4(),FertiliserProducts[[#Headers],[Company]], 91)</f>
        <v>1</v>
      </c>
      <c r="H189" s="148" t="str" cm="1">
        <f t="array" ref="H189">Common_InputFunctions.Utility_DisplayArrayInTable(Fertiliser_SourceData.Fertiliser_Products_Data4(),FertiliserProducts[[#Headers],[Company]], 91)</f>
        <v/>
      </c>
      <c r="I189" s="148" t="str" cm="1">
        <f t="array" ref="I189">Common_InputFunctions.Utility_DisplayArrayInTable(Fertiliser_SourceData.Fertiliser_Products_Data4(),FertiliserProducts[[#Headers],[Company]], 91)</f>
        <v/>
      </c>
      <c r="J189" s="148" t="str" cm="1">
        <f t="array" ref="J189">Common_InputFunctions.Utility_DisplayArrayInTable(Fertiliser_SourceData.Fertiliser_Products_Data4(),FertiliserProducts[[#Headers],[Company]], 91)</f>
        <v/>
      </c>
      <c r="K189" s="148" cm="1">
        <f t="array" ref="K189">Common_InputFunctions.Utility_DisplayArrayInTable(Fertiliser_SourceData.Fertiliser_Products_Data4(),FertiliserProducts[[#Headers],[Company]], 91)</f>
        <v>18.600000000000001</v>
      </c>
      <c r="L189" s="148" cm="1">
        <f t="array" ref="L189">Common_InputFunctions.Utility_DisplayArrayInTable(Fertiliser_SourceData.Fertiliser_Products_Data4(),FertiliserProducts[[#Headers],[Company]], 91)</f>
        <v>3</v>
      </c>
      <c r="M189" s="148" cm="1">
        <f t="array" ref="M189">Common_InputFunctions.Utility_DisplayArrayInTable(Fertiliser_SourceData.Fertiliser_Products_Data4(),FertiliserProducts[[#Headers],[Company]], 91)</f>
        <v>12.5</v>
      </c>
      <c r="N189" s="148" cm="1">
        <f t="array" ref="N189">Common_InputFunctions.Utility_DisplayArrayInTable(Fertiliser_SourceData.Fertiliser_Products_Data4(),FertiliserProducts[[#Headers],[Company]], 91)</f>
        <v>1.4</v>
      </c>
      <c r="O189" s="148" t="str" cm="1">
        <f t="array" ref="O189">Common_InputFunctions.Utility_DisplayArrayInTable(Fertiliser_SourceData.Fertiliser_Products_Data4(),FertiliserProducts[[#Headers],[Company]], 91)</f>
        <v>Nitrogen - Nitrate</v>
      </c>
      <c r="P189" s="148" cm="1">
        <f t="array" ref="P189">Common_InputFunctions.Utility_DisplayArrayInTable(Fertiliser_SourceData.Fertiliser_Products_Data4(),FertiliserProducts[[#Headers],[Company]], 91)</f>
        <v>5.8000000000000003E-2</v>
      </c>
      <c r="Q189" s="148" t="str" cm="1">
        <f t="array" ref="Q189">Common_InputFunctions.Utility_DisplayArrayInTable(Fertiliser_SourceData.Fertiliser_Products_Data4(),FertiliserProducts[[#Headers],[Company]], 91)</f>
        <v>Nitrogen - Ammoniacal</v>
      </c>
      <c r="R189" s="148" cm="1">
        <f t="array" ref="R189">Common_InputFunctions.Utility_DisplayArrayInTable(Fertiliser_SourceData.Fertiliser_Products_Data4(),FertiliserProducts[[#Headers],[Company]], 91)</f>
        <v>0.128</v>
      </c>
      <c r="S189" s="148" t="str" cm="1">
        <f t="array" ref="S189">Common_InputFunctions.Utility_DisplayArrayInTable(Fertiliser_SourceData.Fertiliser_Products_Data4(),FertiliserProducts[[#Headers],[Company]], 91)</f>
        <v>Phosphorus - Generic</v>
      </c>
      <c r="T189" s="148" cm="1">
        <f t="array" ref="T189">Common_InputFunctions.Utility_DisplayArrayInTable(Fertiliser_SourceData.Fertiliser_Products_Data4(),FertiliserProducts[[#Headers],[Company]], 91)</f>
        <v>0.03</v>
      </c>
      <c r="U189" s="148" t="str" cm="1">
        <f t="array" ref="U189">Common_InputFunctions.Utility_DisplayArrayInTable(Fertiliser_SourceData.Fertiliser_Products_Data4(),FertiliserProducts[[#Headers],[Company]], 91)</f>
        <v>Potassium - Generic</v>
      </c>
      <c r="V189" s="148" cm="1">
        <f t="array" ref="V189">Common_InputFunctions.Utility_DisplayArrayInTable(Fertiliser_SourceData.Fertiliser_Products_Data4(),FertiliserProducts[[#Headers],[Company]], 91)</f>
        <v>0.125</v>
      </c>
      <c r="W189" s="148" t="str" cm="1">
        <f t="array" ref="W189">Common_InputFunctions.Utility_DisplayArrayInTable(Fertiliser_SourceData.Fertiliser_Products_Data4(),FertiliserProducts[[#Headers],[Company]], 91)</f>
        <v>Sulfur - Generic</v>
      </c>
      <c r="X189" s="148" cm="1">
        <f t="array" ref="X189">Common_InputFunctions.Utility_DisplayArrayInTable(Fertiliser_SourceData.Fertiliser_Products_Data4(),FertiliserProducts[[#Headers],[Company]], 91)</f>
        <v>1.4E-2</v>
      </c>
      <c r="Y189" s="148" t="str" cm="1">
        <f t="array" ref="Y189">Common_InputFunctions.Utility_DisplayArrayInTable(Fertiliser_SourceData.Fertiliser_Products_Data4(),FertiliserProducts[[#Headers],[Company]], 91)</f>
        <v>Calcium</v>
      </c>
      <c r="Z189" s="148" cm="1">
        <f t="array" ref="Z189">Common_InputFunctions.Utility_DisplayArrayInTable(Fertiliser_SourceData.Fertiliser_Products_Data4(),FertiliserProducts[[#Headers],[Company]], 91)</f>
        <v>4.3999999999999997E-2</v>
      </c>
      <c r="AA189" s="148" t="str" cm="1">
        <f t="array" ref="AA189">Common_InputFunctions.Utility_DisplayArrayInTable(Fertiliser_SourceData.Fertiliser_Products_Data4(),FertiliserProducts[[#Headers],[Company]], 91)</f>
        <v/>
      </c>
      <c r="AB189" s="148" t="str" cm="1">
        <f t="array" ref="AB189">Common_InputFunctions.Utility_DisplayArrayInTable(Fertiliser_SourceData.Fertiliser_Products_Data4(),FertiliserProducts[[#Headers],[Company]], 91)</f>
        <v/>
      </c>
      <c r="AC189" s="148" t="str" cm="1">
        <f t="array" ref="AC189">Common_InputFunctions.Utility_DisplayArrayInTable(Fertiliser_SourceData.Fertiliser_Products_Data4(),FertiliserProducts[[#Headers],[Company]], 91)</f>
        <v/>
      </c>
      <c r="AD189" s="148" t="str" cm="1">
        <f t="array" ref="AD189">Common_InputFunctions.Utility_DisplayArrayInTable(Fertiliser_SourceData.Fertiliser_Products_Data4(),FertiliserProducts[[#Headers],[Company]], 91)</f>
        <v/>
      </c>
      <c r="AE189" s="148" t="str" cm="1">
        <f t="array" ref="AE189">Common_InputFunctions.Utility_DisplayArrayInTable(Fertiliser_SourceData.Fertiliser_Products_Data4(),FertiliserProducts[[#Headers],[Company]], 91)</f>
        <v/>
      </c>
      <c r="AF189" s="148" t="str" cm="1">
        <f t="array" ref="AF189">Common_InputFunctions.Utility_DisplayArrayInTable(Fertiliser_SourceData.Fertiliser_Products_Data4(),FertiliserProducts[[#Headers],[Company]], 91)</f>
        <v/>
      </c>
      <c r="AG189" s="148" t="str" cm="1">
        <f t="array" ref="AG189">Common_InputFunctions.Utility_DisplayArrayInTable(Fertiliser_SourceData.Fertiliser_Products_Data4(),FertiliserProducts[[#Headers],[Company]], 91)</f>
        <v/>
      </c>
      <c r="AH189" s="148" t="str" cm="1">
        <f t="array" ref="AH189">Common_InputFunctions.Utility_DisplayArrayInTable(Fertiliser_SourceData.Fertiliser_Products_Data4(),FertiliserProducts[[#Headers],[Company]], 91)</f>
        <v/>
      </c>
    </row>
    <row r="190" spans="1:37" ht="20.100000000000001" customHeight="1" x14ac:dyDescent="0.2">
      <c r="D190" s="148" t="str" cm="1">
        <f t="array" ref="D190">Common_InputFunctions.Utility_DisplayArrayInTable(Fertiliser_SourceData.Fertiliser_Products_Data4(),FertiliserProducts[[#Headers],[Company]], 91)</f>
        <v>Pacific Fertiliser / Incitec Pivot Fertilisers</v>
      </c>
      <c r="E190" s="148" t="str" cm="1">
        <f t="array" ref="E190">Common_InputFunctions.Utility_DisplayArrayInTable(Fertiliser_SourceData.Fertiliser_Products_Data4(),FertiliserProducts[[#Headers],[Company]], 91)</f>
        <v>Cal-Gran Extra K</v>
      </c>
      <c r="F190" s="148" t="str" cm="1">
        <f t="array" ref="F190">Common_InputFunctions.Utility_DisplayArrayInTable(Fertiliser_SourceData.Fertiliser_Products_Data4(),FertiliserProducts[[#Headers],[Company]], 91)</f>
        <v>kg</v>
      </c>
      <c r="G190" s="148" cm="1">
        <f t="array" ref="G190">Common_InputFunctions.Utility_DisplayArrayInTable(Fertiliser_SourceData.Fertiliser_Products_Data4(),FertiliserProducts[[#Headers],[Company]], 91)</f>
        <v>1</v>
      </c>
      <c r="H190" s="148" t="str" cm="1">
        <f t="array" ref="H190">Common_InputFunctions.Utility_DisplayArrayInTable(Fertiliser_SourceData.Fertiliser_Products_Data4(),FertiliserProducts[[#Headers],[Company]], 91)</f>
        <v/>
      </c>
      <c r="I190" s="148" t="str" cm="1">
        <f t="array" ref="I190">Common_InputFunctions.Utility_DisplayArrayInTable(Fertiliser_SourceData.Fertiliser_Products_Data4(),FertiliserProducts[[#Headers],[Company]], 91)</f>
        <v/>
      </c>
      <c r="J190" s="148" t="str" cm="1">
        <f t="array" ref="J190">Common_InputFunctions.Utility_DisplayArrayInTable(Fertiliser_SourceData.Fertiliser_Products_Data4(),FertiliserProducts[[#Headers],[Company]], 91)</f>
        <v/>
      </c>
      <c r="K190" s="148" cm="1">
        <f t="array" ref="K190">Common_InputFunctions.Utility_DisplayArrayInTable(Fertiliser_SourceData.Fertiliser_Products_Data4(),FertiliserProducts[[#Headers],[Company]], 91)</f>
        <v>15.8</v>
      </c>
      <c r="L190" s="148" t="str" cm="1">
        <f t="array" ref="L190">Common_InputFunctions.Utility_DisplayArrayInTable(Fertiliser_SourceData.Fertiliser_Products_Data4(),FertiliserProducts[[#Headers],[Company]], 91)</f>
        <v/>
      </c>
      <c r="M190" s="148" cm="1">
        <f t="array" ref="M190">Common_InputFunctions.Utility_DisplayArrayInTable(Fertiliser_SourceData.Fertiliser_Products_Data4(),FertiliserProducts[[#Headers],[Company]], 91)</f>
        <v>19</v>
      </c>
      <c r="N190" s="148" cm="1">
        <f t="array" ref="N190">Common_InputFunctions.Utility_DisplayArrayInTable(Fertiliser_SourceData.Fertiliser_Products_Data4(),FertiliserProducts[[#Headers],[Company]], 91)</f>
        <v>3.2</v>
      </c>
      <c r="O190" s="148" t="str" cm="1">
        <f t="array" ref="O190">Common_InputFunctions.Utility_DisplayArrayInTable(Fertiliser_SourceData.Fertiliser_Products_Data4(),FertiliserProducts[[#Headers],[Company]], 91)</f>
        <v>Nitrogen - Nitrate</v>
      </c>
      <c r="P190" s="148" cm="1">
        <f t="array" ref="P190">Common_InputFunctions.Utility_DisplayArrayInTable(Fertiliser_SourceData.Fertiliser_Products_Data4(),FertiliserProducts[[#Headers],[Company]], 91)</f>
        <v>4.9000000000000002E-2</v>
      </c>
      <c r="Q190" s="148" t="str" cm="1">
        <f t="array" ref="Q190">Common_InputFunctions.Utility_DisplayArrayInTable(Fertiliser_SourceData.Fertiliser_Products_Data4(),FertiliserProducts[[#Headers],[Company]], 91)</f>
        <v>Nitrogen - Ammoniacal</v>
      </c>
      <c r="R190" s="148" cm="1">
        <f t="array" ref="R190">Common_InputFunctions.Utility_DisplayArrayInTable(Fertiliser_SourceData.Fertiliser_Products_Data4(),FertiliserProducts[[#Headers],[Company]], 91)</f>
        <v>0.109</v>
      </c>
      <c r="S190" s="148" t="str" cm="1">
        <f t="array" ref="S190">Common_InputFunctions.Utility_DisplayArrayInTable(Fertiliser_SourceData.Fertiliser_Products_Data4(),FertiliserProducts[[#Headers],[Company]], 91)</f>
        <v>Potassium - Generic</v>
      </c>
      <c r="T190" s="148" cm="1">
        <f t="array" ref="T190">Common_InputFunctions.Utility_DisplayArrayInTable(Fertiliser_SourceData.Fertiliser_Products_Data4(),FertiliserProducts[[#Headers],[Company]], 91)</f>
        <v>0.19</v>
      </c>
      <c r="U190" s="148" t="str" cm="1">
        <f t="array" ref="U190">Common_InputFunctions.Utility_DisplayArrayInTable(Fertiliser_SourceData.Fertiliser_Products_Data4(),FertiliserProducts[[#Headers],[Company]], 91)</f>
        <v>Sulfur - Generic</v>
      </c>
      <c r="V190" s="148" cm="1">
        <f t="array" ref="V190">Common_InputFunctions.Utility_DisplayArrayInTable(Fertiliser_SourceData.Fertiliser_Products_Data4(),FertiliserProducts[[#Headers],[Company]], 91)</f>
        <v>3.2000000000000001E-2</v>
      </c>
      <c r="W190" s="148" t="str" cm="1">
        <f t="array" ref="W190">Common_InputFunctions.Utility_DisplayArrayInTable(Fertiliser_SourceData.Fertiliser_Products_Data4(),FertiliserProducts[[#Headers],[Company]], 91)</f>
        <v>Calcium</v>
      </c>
      <c r="X190" s="148" cm="1">
        <f t="array" ref="X190">Common_InputFunctions.Utility_DisplayArrayInTable(Fertiliser_SourceData.Fertiliser_Products_Data4(),FertiliserProducts[[#Headers],[Company]], 91)</f>
        <v>3.9E-2</v>
      </c>
      <c r="Y190" s="148" t="str" cm="1">
        <f t="array" ref="Y190">Common_InputFunctions.Utility_DisplayArrayInTable(Fertiliser_SourceData.Fertiliser_Products_Data4(),FertiliserProducts[[#Headers],[Company]], 91)</f>
        <v/>
      </c>
      <c r="Z190" s="148" t="str" cm="1">
        <f t="array" ref="Z190">Common_InputFunctions.Utility_DisplayArrayInTable(Fertiliser_SourceData.Fertiliser_Products_Data4(),FertiliserProducts[[#Headers],[Company]], 91)</f>
        <v/>
      </c>
      <c r="AA190" s="148" t="str" cm="1">
        <f t="array" ref="AA190">Common_InputFunctions.Utility_DisplayArrayInTable(Fertiliser_SourceData.Fertiliser_Products_Data4(),FertiliserProducts[[#Headers],[Company]], 91)</f>
        <v/>
      </c>
      <c r="AB190" s="148" t="str" cm="1">
        <f t="array" ref="AB190">Common_InputFunctions.Utility_DisplayArrayInTable(Fertiliser_SourceData.Fertiliser_Products_Data4(),FertiliserProducts[[#Headers],[Company]], 91)</f>
        <v/>
      </c>
      <c r="AC190" s="148" t="str" cm="1">
        <f t="array" ref="AC190">Common_InputFunctions.Utility_DisplayArrayInTable(Fertiliser_SourceData.Fertiliser_Products_Data4(),FertiliserProducts[[#Headers],[Company]], 91)</f>
        <v/>
      </c>
      <c r="AD190" s="148" t="str" cm="1">
        <f t="array" ref="AD190">Common_InputFunctions.Utility_DisplayArrayInTable(Fertiliser_SourceData.Fertiliser_Products_Data4(),FertiliserProducts[[#Headers],[Company]], 91)</f>
        <v/>
      </c>
      <c r="AE190" s="148" t="str" cm="1">
        <f t="array" ref="AE190">Common_InputFunctions.Utility_DisplayArrayInTable(Fertiliser_SourceData.Fertiliser_Products_Data4(),FertiliserProducts[[#Headers],[Company]], 91)</f>
        <v/>
      </c>
      <c r="AF190" s="148" t="str" cm="1">
        <f t="array" ref="AF190">Common_InputFunctions.Utility_DisplayArrayInTable(Fertiliser_SourceData.Fertiliser_Products_Data4(),FertiliserProducts[[#Headers],[Company]], 91)</f>
        <v/>
      </c>
      <c r="AG190" s="148" t="str" cm="1">
        <f t="array" ref="AG190">Common_InputFunctions.Utility_DisplayArrayInTable(Fertiliser_SourceData.Fertiliser_Products_Data4(),FertiliserProducts[[#Headers],[Company]], 91)</f>
        <v/>
      </c>
      <c r="AH190" s="148" t="str" cm="1">
        <f t="array" ref="AH190">Common_InputFunctions.Utility_DisplayArrayInTable(Fertiliser_SourceData.Fertiliser_Products_Data4(),FertiliserProducts[[#Headers],[Company]], 91)</f>
        <v/>
      </c>
    </row>
    <row r="191" spans="1:37" ht="20.100000000000001" customHeight="1" x14ac:dyDescent="0.2">
      <c r="D191" s="148" t="str" cm="1">
        <f t="array" ref="D191">Common_InputFunctions.Utility_DisplayArrayInTable(Fertiliser_SourceData.Fertiliser_Products_Data4(),FertiliserProducts[[#Headers],[Company]], 91)</f>
        <v>Incitec Pivot Fertilisers</v>
      </c>
      <c r="E191" s="148" t="str" cm="1">
        <f t="array" ref="E191">Common_InputFunctions.Utility_DisplayArrayInTable(Fertiliser_SourceData.Fertiliser_Products_Data4(),FertiliserProducts[[#Headers],[Company]], 91)</f>
        <v>Dairy Pro</v>
      </c>
      <c r="F191" s="148" t="str" cm="1">
        <f t="array" ref="F191">Common_InputFunctions.Utility_DisplayArrayInTable(Fertiliser_SourceData.Fertiliser_Products_Data4(),FertiliserProducts[[#Headers],[Company]], 91)</f>
        <v>kg</v>
      </c>
      <c r="G191" s="148" cm="1">
        <f t="array" ref="G191">Common_InputFunctions.Utility_DisplayArrayInTable(Fertiliser_SourceData.Fertiliser_Products_Data4(),FertiliserProducts[[#Headers],[Company]], 91)</f>
        <v>1</v>
      </c>
      <c r="H191" s="148" t="str" cm="1">
        <f t="array" ref="H191">Common_InputFunctions.Utility_DisplayArrayInTable(Fertiliser_SourceData.Fertiliser_Products_Data4(),FertiliserProducts[[#Headers],[Company]], 91)</f>
        <v/>
      </c>
      <c r="I191" s="148" t="str" cm="1">
        <f t="array" ref="I191">Common_InputFunctions.Utility_DisplayArrayInTable(Fertiliser_SourceData.Fertiliser_Products_Data4(),FertiliserProducts[[#Headers],[Company]], 91)</f>
        <v/>
      </c>
      <c r="J191" s="148" t="str" cm="1">
        <f t="array" ref="J191">Common_InputFunctions.Utility_DisplayArrayInTable(Fertiliser_SourceData.Fertiliser_Products_Data4(),FertiliserProducts[[#Headers],[Company]], 91)</f>
        <v/>
      </c>
      <c r="K191" s="148" cm="1">
        <f t="array" ref="K191">Common_InputFunctions.Utility_DisplayArrayInTable(Fertiliser_SourceData.Fertiliser_Products_Data4(),FertiliserProducts[[#Headers],[Company]], 91)</f>
        <v>25.9</v>
      </c>
      <c r="L191" s="148" cm="1">
        <f t="array" ref="L191">Common_InputFunctions.Utility_DisplayArrayInTable(Fertiliser_SourceData.Fertiliser_Products_Data4(),FertiliserProducts[[#Headers],[Company]], 91)</f>
        <v>3.9</v>
      </c>
      <c r="M191" s="148" cm="1">
        <f t="array" ref="M191">Common_InputFunctions.Utility_DisplayArrayInTable(Fertiliser_SourceData.Fertiliser_Products_Data4(),FertiliserProducts[[#Headers],[Company]], 91)</f>
        <v>15.9</v>
      </c>
      <c r="N191" s="148" cm="1">
        <f t="array" ref="N191">Common_InputFunctions.Utility_DisplayArrayInTable(Fertiliser_SourceData.Fertiliser_Products_Data4(),FertiliserProducts[[#Headers],[Company]], 91)</f>
        <v>0.3</v>
      </c>
      <c r="O191" s="148" t="str" cm="1">
        <f t="array" ref="O191">Common_InputFunctions.Utility_DisplayArrayInTable(Fertiliser_SourceData.Fertiliser_Products_Data4(),FertiliserProducts[[#Headers],[Company]], 91)</f>
        <v>Nitrogen - Generic</v>
      </c>
      <c r="P191" s="148" cm="1">
        <f t="array" ref="P191">Common_InputFunctions.Utility_DisplayArrayInTable(Fertiliser_SourceData.Fertiliser_Products_Data4(),FertiliserProducts[[#Headers],[Company]], 91)</f>
        <v>0.25900000000000001</v>
      </c>
      <c r="Q191" s="148" t="str" cm="1">
        <f t="array" ref="Q191">Common_InputFunctions.Utility_DisplayArrayInTable(Fertiliser_SourceData.Fertiliser_Products_Data4(),FertiliserProducts[[#Headers],[Company]], 91)</f>
        <v>Phosphorus - Generic</v>
      </c>
      <c r="R191" s="148" cm="1">
        <f t="array" ref="R191">Common_InputFunctions.Utility_DisplayArrayInTable(Fertiliser_SourceData.Fertiliser_Products_Data4(),FertiliserProducts[[#Headers],[Company]], 91)</f>
        <v>3.9E-2</v>
      </c>
      <c r="S191" s="148" t="str" cm="1">
        <f t="array" ref="S191">Common_InputFunctions.Utility_DisplayArrayInTable(Fertiliser_SourceData.Fertiliser_Products_Data4(),FertiliserProducts[[#Headers],[Company]], 91)</f>
        <v>Potassium - Generic</v>
      </c>
      <c r="T191" s="148" cm="1">
        <f t="array" ref="T191">Common_InputFunctions.Utility_DisplayArrayInTable(Fertiliser_SourceData.Fertiliser_Products_Data4(),FertiliserProducts[[#Headers],[Company]], 91)</f>
        <v>0.159</v>
      </c>
      <c r="U191" s="148" t="str" cm="1">
        <f t="array" ref="U191">Common_InputFunctions.Utility_DisplayArrayInTable(Fertiliser_SourceData.Fertiliser_Products_Data4(),FertiliserProducts[[#Headers],[Company]], 91)</f>
        <v>Sulfur - Generic</v>
      </c>
      <c r="V191" s="148" cm="1">
        <f t="array" ref="V191">Common_InputFunctions.Utility_DisplayArrayInTable(Fertiliser_SourceData.Fertiliser_Products_Data4(),FertiliserProducts[[#Headers],[Company]], 91)</f>
        <v>3.0000000000000001E-3</v>
      </c>
      <c r="W191" s="148" t="str" cm="1">
        <f t="array" ref="W191">Common_InputFunctions.Utility_DisplayArrayInTable(Fertiliser_SourceData.Fertiliser_Products_Data4(),FertiliserProducts[[#Headers],[Company]], 91)</f>
        <v/>
      </c>
      <c r="X191" s="148" t="str" cm="1">
        <f t="array" ref="X191">Common_InputFunctions.Utility_DisplayArrayInTable(Fertiliser_SourceData.Fertiliser_Products_Data4(),FertiliserProducts[[#Headers],[Company]], 91)</f>
        <v/>
      </c>
      <c r="Y191" s="148" t="str" cm="1">
        <f t="array" ref="Y191">Common_InputFunctions.Utility_DisplayArrayInTable(Fertiliser_SourceData.Fertiliser_Products_Data4(),FertiliserProducts[[#Headers],[Company]], 91)</f>
        <v/>
      </c>
      <c r="Z191" s="148" t="str" cm="1">
        <f t="array" ref="Z191">Common_InputFunctions.Utility_DisplayArrayInTable(Fertiliser_SourceData.Fertiliser_Products_Data4(),FertiliserProducts[[#Headers],[Company]], 91)</f>
        <v/>
      </c>
      <c r="AA191" s="148" t="str" cm="1">
        <f t="array" ref="AA191">Common_InputFunctions.Utility_DisplayArrayInTable(Fertiliser_SourceData.Fertiliser_Products_Data4(),FertiliserProducts[[#Headers],[Company]], 91)</f>
        <v/>
      </c>
      <c r="AB191" s="148" t="str" cm="1">
        <f t="array" ref="AB191">Common_InputFunctions.Utility_DisplayArrayInTable(Fertiliser_SourceData.Fertiliser_Products_Data4(),FertiliserProducts[[#Headers],[Company]], 91)</f>
        <v/>
      </c>
      <c r="AC191" s="148" t="str" cm="1">
        <f t="array" ref="AC191">Common_InputFunctions.Utility_DisplayArrayInTable(Fertiliser_SourceData.Fertiliser_Products_Data4(),FertiliserProducts[[#Headers],[Company]], 91)</f>
        <v/>
      </c>
      <c r="AD191" s="148" t="str" cm="1">
        <f t="array" ref="AD191">Common_InputFunctions.Utility_DisplayArrayInTable(Fertiliser_SourceData.Fertiliser_Products_Data4(),FertiliserProducts[[#Headers],[Company]], 91)</f>
        <v/>
      </c>
      <c r="AE191" s="148" t="str" cm="1">
        <f t="array" ref="AE191">Common_InputFunctions.Utility_DisplayArrayInTable(Fertiliser_SourceData.Fertiliser_Products_Data4(),FertiliserProducts[[#Headers],[Company]], 91)</f>
        <v/>
      </c>
      <c r="AF191" s="148" t="str" cm="1">
        <f t="array" ref="AF191">Common_InputFunctions.Utility_DisplayArrayInTable(Fertiliser_SourceData.Fertiliser_Products_Data4(),FertiliserProducts[[#Headers],[Company]], 91)</f>
        <v/>
      </c>
      <c r="AG191" s="148" t="str" cm="1">
        <f t="array" ref="AG191">Common_InputFunctions.Utility_DisplayArrayInTable(Fertiliser_SourceData.Fertiliser_Products_Data4(),FertiliserProducts[[#Headers],[Company]], 91)</f>
        <v/>
      </c>
      <c r="AH191" s="148" t="str" cm="1">
        <f t="array" ref="AH191">Common_InputFunctions.Utility_DisplayArrayInTable(Fertiliser_SourceData.Fertiliser_Products_Data4(),FertiliserProducts[[#Headers],[Company]], 91)</f>
        <v/>
      </c>
    </row>
    <row r="192" spans="1:37" ht="20.100000000000001" customHeight="1" x14ac:dyDescent="0.2">
      <c r="D192" s="148" t="str" cm="1">
        <f t="array" ref="D192">Common_InputFunctions.Utility_DisplayArrayInTable(Fertiliser_SourceData.Fertiliser_Products_Data4(),FertiliserProducts[[#Headers],[Company]], 91)</f>
        <v>Yara Australia</v>
      </c>
      <c r="E192" s="148" t="str" cm="1">
        <f t="array" ref="E192">Common_InputFunctions.Utility_DisplayArrayInTable(Fertiliser_SourceData.Fertiliser_Products_Data4(),FertiliserProducts[[#Headers],[Company]], 91)</f>
        <v>YaraMila ACTYVA S</v>
      </c>
      <c r="F192" s="148" t="str" cm="1">
        <f t="array" ref="F192">Common_InputFunctions.Utility_DisplayArrayInTable(Fertiliser_SourceData.Fertiliser_Products_Data4(),FertiliserProducts[[#Headers],[Company]], 91)</f>
        <v>kg</v>
      </c>
      <c r="G192" s="148" cm="1">
        <f t="array" ref="G192">Common_InputFunctions.Utility_DisplayArrayInTable(Fertiliser_SourceData.Fertiliser_Products_Data4(),FertiliserProducts[[#Headers],[Company]], 91)</f>
        <v>1</v>
      </c>
      <c r="H192" s="148" t="str" cm="1">
        <f t="array" ref="H192">Common_InputFunctions.Utility_DisplayArrayInTable(Fertiliser_SourceData.Fertiliser_Products_Data4(),FertiliserProducts[[#Headers],[Company]], 91)</f>
        <v/>
      </c>
      <c r="I192" s="148" t="str" cm="1">
        <f t="array" ref="I192">Common_InputFunctions.Utility_DisplayArrayInTable(Fertiliser_SourceData.Fertiliser_Products_Data4(),FertiliserProducts[[#Headers],[Company]], 91)</f>
        <v/>
      </c>
      <c r="J192" s="148" t="str" cm="1">
        <f t="array" ref="J192">Common_InputFunctions.Utility_DisplayArrayInTable(Fertiliser_SourceData.Fertiliser_Products_Data4(),FertiliserProducts[[#Headers],[Company]], 91)</f>
        <v/>
      </c>
      <c r="K192" s="148" cm="1">
        <f t="array" ref="K192">Common_InputFunctions.Utility_DisplayArrayInTable(Fertiliser_SourceData.Fertiliser_Products_Data4(),FertiliserProducts[[#Headers],[Company]], 91)</f>
        <v>15.6</v>
      </c>
      <c r="L192" s="148" cm="1">
        <f t="array" ref="L192">Common_InputFunctions.Utility_DisplayArrayInTable(Fertiliser_SourceData.Fertiliser_Products_Data4(),FertiliserProducts[[#Headers],[Company]], 91)</f>
        <v>6.37</v>
      </c>
      <c r="M192" s="148" cm="1">
        <f t="array" ref="M192">Common_InputFunctions.Utility_DisplayArrayInTable(Fertiliser_SourceData.Fertiliser_Products_Data4(),FertiliserProducts[[#Headers],[Company]], 91)</f>
        <v>12.45</v>
      </c>
      <c r="N192" s="148" cm="1">
        <f t="array" ref="N192">Common_InputFunctions.Utility_DisplayArrayInTable(Fertiliser_SourceData.Fertiliser_Products_Data4(),FertiliserProducts[[#Headers],[Company]], 91)</f>
        <v>2.6</v>
      </c>
      <c r="O192" s="148" t="str" cm="1">
        <f t="array" ref="O192">Common_InputFunctions.Utility_DisplayArrayInTable(Fertiliser_SourceData.Fertiliser_Products_Data4(),FertiliserProducts[[#Headers],[Company]], 91)</f>
        <v>Nitrogen - Nitrate</v>
      </c>
      <c r="P192" s="148" cm="1">
        <f t="array" ref="P192">Common_InputFunctions.Utility_DisplayArrayInTable(Fertiliser_SourceData.Fertiliser_Products_Data4(),FertiliserProducts[[#Headers],[Company]], 91)</f>
        <v>5.8000000000000003E-2</v>
      </c>
      <c r="Q192" s="148" t="str" cm="1">
        <f t="array" ref="Q192">Common_InputFunctions.Utility_DisplayArrayInTable(Fertiliser_SourceData.Fertiliser_Products_Data4(),FertiliserProducts[[#Headers],[Company]], 91)</f>
        <v>Nitrogen - Ammoniacal</v>
      </c>
      <c r="R192" s="148" cm="1">
        <f t="array" ref="R192">Common_InputFunctions.Utility_DisplayArrayInTable(Fertiliser_SourceData.Fertiliser_Products_Data4(),FertiliserProducts[[#Headers],[Company]], 91)</f>
        <v>9.8000000000000004E-2</v>
      </c>
      <c r="S192" s="148" t="str" cm="1">
        <f t="array" ref="S192">Common_InputFunctions.Utility_DisplayArrayInTable(Fertiliser_SourceData.Fertiliser_Products_Data4(),FertiliserProducts[[#Headers],[Company]], 91)</f>
        <v>Phosphorus - Generic</v>
      </c>
      <c r="T192" s="148" cm="1">
        <f t="array" ref="T192">Common_InputFunctions.Utility_DisplayArrayInTable(Fertiliser_SourceData.Fertiliser_Products_Data4(),FertiliserProducts[[#Headers],[Company]], 91)</f>
        <v>6.3714000000000007E-2</v>
      </c>
      <c r="U192" s="148" t="str" cm="1">
        <f t="array" ref="U192">Common_InputFunctions.Utility_DisplayArrayInTable(Fertiliser_SourceData.Fertiliser_Products_Data4(),FertiliserProducts[[#Headers],[Company]], 91)</f>
        <v>Potassium - Generic</v>
      </c>
      <c r="V192" s="148" cm="1">
        <f t="array" ref="V192">Common_InputFunctions.Utility_DisplayArrayInTable(Fertiliser_SourceData.Fertiliser_Products_Data4(),FertiliserProducts[[#Headers],[Company]], 91)</f>
        <v>0.124515</v>
      </c>
      <c r="W192" s="148" t="str" cm="1">
        <f t="array" ref="W192">Common_InputFunctions.Utility_DisplayArrayInTable(Fertiliser_SourceData.Fertiliser_Products_Data4(),FertiliserProducts[[#Headers],[Company]], 91)</f>
        <v>Sulfur - Generic</v>
      </c>
      <c r="X192" s="148" cm="1">
        <f t="array" ref="X192">Common_InputFunctions.Utility_DisplayArrayInTable(Fertiliser_SourceData.Fertiliser_Products_Data4(),FertiliserProducts[[#Headers],[Company]], 91)</f>
        <v>2.5999999999999999E-2</v>
      </c>
      <c r="Y192" s="148" t="str" cm="1">
        <f t="array" ref="Y192">Common_InputFunctions.Utility_DisplayArrayInTable(Fertiliser_SourceData.Fertiliser_Products_Data4(),FertiliserProducts[[#Headers],[Company]], 91)</f>
        <v/>
      </c>
      <c r="Z192" s="148" t="str" cm="1">
        <f t="array" ref="Z192">Common_InputFunctions.Utility_DisplayArrayInTable(Fertiliser_SourceData.Fertiliser_Products_Data4(),FertiliserProducts[[#Headers],[Company]], 91)</f>
        <v/>
      </c>
      <c r="AA192" s="148" t="str" cm="1">
        <f t="array" ref="AA192">Common_InputFunctions.Utility_DisplayArrayInTable(Fertiliser_SourceData.Fertiliser_Products_Data4(),FertiliserProducts[[#Headers],[Company]], 91)</f>
        <v/>
      </c>
      <c r="AB192" s="148" t="str" cm="1">
        <f t="array" ref="AB192">Common_InputFunctions.Utility_DisplayArrayInTable(Fertiliser_SourceData.Fertiliser_Products_Data4(),FertiliserProducts[[#Headers],[Company]], 91)</f>
        <v/>
      </c>
      <c r="AC192" s="148" t="str" cm="1">
        <f t="array" ref="AC192">Common_InputFunctions.Utility_DisplayArrayInTable(Fertiliser_SourceData.Fertiliser_Products_Data4(),FertiliserProducts[[#Headers],[Company]], 91)</f>
        <v/>
      </c>
      <c r="AD192" s="148" t="str" cm="1">
        <f t="array" ref="AD192">Common_InputFunctions.Utility_DisplayArrayInTable(Fertiliser_SourceData.Fertiliser_Products_Data4(),FertiliserProducts[[#Headers],[Company]], 91)</f>
        <v/>
      </c>
      <c r="AE192" s="148" t="str" cm="1">
        <f t="array" ref="AE192">Common_InputFunctions.Utility_DisplayArrayInTable(Fertiliser_SourceData.Fertiliser_Products_Data4(),FertiliserProducts[[#Headers],[Company]], 91)</f>
        <v/>
      </c>
      <c r="AF192" s="148" t="str" cm="1">
        <f t="array" ref="AF192">Common_InputFunctions.Utility_DisplayArrayInTable(Fertiliser_SourceData.Fertiliser_Products_Data4(),FertiliserProducts[[#Headers],[Company]], 91)</f>
        <v/>
      </c>
      <c r="AG192" s="148" t="str" cm="1">
        <f t="array" ref="AG192">Common_InputFunctions.Utility_DisplayArrayInTable(Fertiliser_SourceData.Fertiliser_Products_Data4(),FertiliserProducts[[#Headers],[Company]], 91)</f>
        <v/>
      </c>
      <c r="AH192" s="148" t="str" cm="1">
        <f t="array" ref="AH192">Common_InputFunctions.Utility_DisplayArrayInTable(Fertiliser_SourceData.Fertiliser_Products_Data4(),FertiliserProducts[[#Headers],[Company]], 91)</f>
        <v/>
      </c>
    </row>
    <row r="193" spans="4:34" ht="20.100000000000001" customHeight="1" x14ac:dyDescent="0.2">
      <c r="D193" s="148" t="str" cm="1">
        <f t="array" ref="D193">Common_InputFunctions.Utility_DisplayArrayInTable(Fertiliser_SourceData.Fertiliser_Products_Data4(),FertiliserProducts[[#Headers],[Company]], 91)</f>
        <v>CSBP</v>
      </c>
      <c r="E193" s="148" t="str" cm="1">
        <f t="array" ref="E193">Common_InputFunctions.Utility_DisplayArrayInTable(Fertiliser_SourceData.Fertiliser_Products_Data4(),FertiliserProducts[[#Headers],[Company]], 91)</f>
        <v>Agflow Extra</v>
      </c>
      <c r="F193" s="148" t="str" cm="1">
        <f t="array" ref="F193">Common_InputFunctions.Utility_DisplayArrayInTable(Fertiliser_SourceData.Fertiliser_Products_Data4(),FertiliserProducts[[#Headers],[Company]], 91)</f>
        <v>kg</v>
      </c>
      <c r="G193" s="148" cm="1">
        <f t="array" ref="G193">Common_InputFunctions.Utility_DisplayArrayInTable(Fertiliser_SourceData.Fertiliser_Products_Data4(),FertiliserProducts[[#Headers],[Company]], 91)</f>
        <v>1</v>
      </c>
      <c r="H193" s="148" t="str" cm="1">
        <f t="array" ref="H193">Common_InputFunctions.Utility_DisplayArrayInTable(Fertiliser_SourceData.Fertiliser_Products_Data4(),FertiliserProducts[[#Headers],[Company]], 91)</f>
        <v/>
      </c>
      <c r="I193" s="148" t="str" cm="1">
        <f t="array" ref="I193">Common_InputFunctions.Utility_DisplayArrayInTable(Fertiliser_SourceData.Fertiliser_Products_Data4(),FertiliserProducts[[#Headers],[Company]], 91)</f>
        <v/>
      </c>
      <c r="J193" s="148" t="str" cm="1">
        <f t="array" ref="J193">Common_InputFunctions.Utility_DisplayArrayInTable(Fertiliser_SourceData.Fertiliser_Products_Data4(),FertiliserProducts[[#Headers],[Company]], 91)</f>
        <v/>
      </c>
      <c r="K193" s="148" cm="1">
        <f t="array" ref="K193">Common_InputFunctions.Utility_DisplayArrayInTable(Fertiliser_SourceData.Fertiliser_Products_Data4(),FertiliserProducts[[#Headers],[Company]], 91)</f>
        <v>11.15</v>
      </c>
      <c r="L193" s="148" cm="1">
        <f t="array" ref="L193">Common_InputFunctions.Utility_DisplayArrayInTable(Fertiliser_SourceData.Fertiliser_Products_Data4(),FertiliserProducts[[#Headers],[Company]], 91)</f>
        <v>17.52</v>
      </c>
      <c r="M193" s="148" t="str" cm="1">
        <f t="array" ref="M193">Common_InputFunctions.Utility_DisplayArrayInTable(Fertiliser_SourceData.Fertiliser_Products_Data4(),FertiliserProducts[[#Headers],[Company]], 91)</f>
        <v/>
      </c>
      <c r="N193" s="148" cm="1">
        <f t="array" ref="N193">Common_InputFunctions.Utility_DisplayArrayInTable(Fertiliser_SourceData.Fertiliser_Products_Data4(),FertiliserProducts[[#Headers],[Company]], 91)</f>
        <v>3.6</v>
      </c>
      <c r="O193" s="148" t="str" cm="1">
        <f t="array" ref="O193">Common_InputFunctions.Utility_DisplayArrayInTable(Fertiliser_SourceData.Fertiliser_Products_Data4(),FertiliserProducts[[#Headers],[Company]], 91)</f>
        <v>Monoammonium phosphate (MAP)</v>
      </c>
      <c r="P193" s="148" cm="1">
        <f t="array" ref="P193">Common_InputFunctions.Utility_DisplayArrayInTable(Fertiliser_SourceData.Fertiliser_Products_Data4(),FertiliserProducts[[#Headers],[Company]], 91)</f>
        <v>0.8</v>
      </c>
      <c r="Q193" s="148" t="str" cm="1">
        <f t="array" ref="Q193">Common_InputFunctions.Utility_DisplayArrayInTable(Fertiliser_SourceData.Fertiliser_Products_Data4(),FertiliserProducts[[#Headers],[Company]], 91)</f>
        <v>Sulphate of ammonia (SOA)</v>
      </c>
      <c r="R193" s="148" cm="1">
        <f t="array" ref="R193">Common_InputFunctions.Utility_DisplayArrayInTable(Fertiliser_SourceData.Fertiliser_Products_Data4(),FertiliserProducts[[#Headers],[Company]], 91)</f>
        <v>0.15</v>
      </c>
      <c r="S193" s="148" t="str" cm="1">
        <f t="array" ref="S193">Common_InputFunctions.Utility_DisplayArrayInTable(Fertiliser_SourceData.Fertiliser_Products_Data4(),FertiliserProducts[[#Headers],[Company]], 91)</f>
        <v>Copper</v>
      </c>
      <c r="T193" s="148" t="str" cm="1">
        <f t="array" ref="T193">Common_InputFunctions.Utility_DisplayArrayInTable(Fertiliser_SourceData.Fertiliser_Products_Data4(),FertiliserProducts[[#Headers],[Company]], 91)</f>
        <v>No data</v>
      </c>
      <c r="U193" s="148" t="str" cm="1">
        <f t="array" ref="U193">Common_InputFunctions.Utility_DisplayArrayInTable(Fertiliser_SourceData.Fertiliser_Products_Data4(),FertiliserProducts[[#Headers],[Company]], 91)</f>
        <v>Molybdenum</v>
      </c>
      <c r="V193" s="148" t="str" cm="1">
        <f t="array" ref="V193">Common_InputFunctions.Utility_DisplayArrayInTable(Fertiliser_SourceData.Fertiliser_Products_Data4(),FertiliserProducts[[#Headers],[Company]], 91)</f>
        <v>No data</v>
      </c>
      <c r="W193" s="148" t="str" cm="1">
        <f t="array" ref="W193">Common_InputFunctions.Utility_DisplayArrayInTable(Fertiliser_SourceData.Fertiliser_Products_Data4(),FertiliserProducts[[#Headers],[Company]], 91)</f>
        <v>Zinc</v>
      </c>
      <c r="X193" s="148" t="str" cm="1">
        <f t="array" ref="X193">Common_InputFunctions.Utility_DisplayArrayInTable(Fertiliser_SourceData.Fertiliser_Products_Data4(),FertiliserProducts[[#Headers],[Company]], 91)</f>
        <v>No data</v>
      </c>
      <c r="Y193" s="148" t="str" cm="1">
        <f t="array" ref="Y193">Common_InputFunctions.Utility_DisplayArrayInTable(Fertiliser_SourceData.Fertiliser_Products_Data4(),FertiliserProducts[[#Headers],[Company]], 91)</f>
        <v/>
      </c>
      <c r="Z193" s="148" t="str" cm="1">
        <f t="array" ref="Z193">Common_InputFunctions.Utility_DisplayArrayInTable(Fertiliser_SourceData.Fertiliser_Products_Data4(),FertiliserProducts[[#Headers],[Company]], 91)</f>
        <v/>
      </c>
      <c r="AA193" s="148" t="str" cm="1">
        <f t="array" ref="AA193">Common_InputFunctions.Utility_DisplayArrayInTable(Fertiliser_SourceData.Fertiliser_Products_Data4(),FertiliserProducts[[#Headers],[Company]], 91)</f>
        <v/>
      </c>
      <c r="AB193" s="148" t="str" cm="1">
        <f t="array" ref="AB193">Common_InputFunctions.Utility_DisplayArrayInTable(Fertiliser_SourceData.Fertiliser_Products_Data4(),FertiliserProducts[[#Headers],[Company]], 91)</f>
        <v/>
      </c>
      <c r="AC193" s="148" t="str" cm="1">
        <f t="array" ref="AC193">Common_InputFunctions.Utility_DisplayArrayInTable(Fertiliser_SourceData.Fertiliser_Products_Data4(),FertiliserProducts[[#Headers],[Company]], 91)</f>
        <v/>
      </c>
      <c r="AD193" s="148" t="str" cm="1">
        <f t="array" ref="AD193">Common_InputFunctions.Utility_DisplayArrayInTable(Fertiliser_SourceData.Fertiliser_Products_Data4(),FertiliserProducts[[#Headers],[Company]], 91)</f>
        <v/>
      </c>
      <c r="AE193" s="148" t="str" cm="1">
        <f t="array" ref="AE193">Common_InputFunctions.Utility_DisplayArrayInTable(Fertiliser_SourceData.Fertiliser_Products_Data4(),FertiliserProducts[[#Headers],[Company]], 91)</f>
        <v/>
      </c>
      <c r="AF193" s="148" t="str" cm="1">
        <f t="array" ref="AF193">Common_InputFunctions.Utility_DisplayArrayInTable(Fertiliser_SourceData.Fertiliser_Products_Data4(),FertiliserProducts[[#Headers],[Company]], 91)</f>
        <v/>
      </c>
      <c r="AG193" s="148" t="str" cm="1">
        <f t="array" ref="AG193">Common_InputFunctions.Utility_DisplayArrayInTable(Fertiliser_SourceData.Fertiliser_Products_Data4(),FertiliserProducts[[#Headers],[Company]], 91)</f>
        <v/>
      </c>
      <c r="AH193" s="148" t="str" cm="1">
        <f t="array" ref="AH193">Common_InputFunctions.Utility_DisplayArrayInTable(Fertiliser_SourceData.Fertiliser_Products_Data4(),FertiliserProducts[[#Headers],[Company]], 91)</f>
        <v/>
      </c>
    </row>
    <row r="194" spans="4:34" ht="20.100000000000001" customHeight="1" x14ac:dyDescent="0.2">
      <c r="D194" s="148" t="str" cm="1">
        <f t="array" ref="D194">Common_InputFunctions.Utility_DisplayArrayInTable(Fertiliser_SourceData.Fertiliser_Products_Data4(),FertiliserProducts[[#Headers],[Company]], 91)</f>
        <v>CSBP</v>
      </c>
      <c r="E194" s="148" t="str" cm="1">
        <f t="array" ref="E194">Common_InputFunctions.Utility_DisplayArrayInTable(Fertiliser_SourceData.Fertiliser_Products_Data4(),FertiliserProducts[[#Headers],[Company]], 91)</f>
        <v>Super &amp; Potash 3:1</v>
      </c>
      <c r="F194" s="148" t="str" cm="1">
        <f t="array" ref="F194">Common_InputFunctions.Utility_DisplayArrayInTable(Fertiliser_SourceData.Fertiliser_Products_Data4(),FertiliserProducts[[#Headers],[Company]], 91)</f>
        <v>kg</v>
      </c>
      <c r="G194" s="148" cm="1">
        <f t="array" ref="G194">Common_InputFunctions.Utility_DisplayArrayInTable(Fertiliser_SourceData.Fertiliser_Products_Data4(),FertiliserProducts[[#Headers],[Company]], 91)</f>
        <v>1</v>
      </c>
      <c r="H194" s="148" t="str" cm="1">
        <f t="array" ref="H194">Common_InputFunctions.Utility_DisplayArrayInTable(Fertiliser_SourceData.Fertiliser_Products_Data4(),FertiliserProducts[[#Headers],[Company]], 91)</f>
        <v/>
      </c>
      <c r="I194" s="148" t="str" cm="1">
        <f t="array" ref="I194">Common_InputFunctions.Utility_DisplayArrayInTable(Fertiliser_SourceData.Fertiliser_Products_Data4(),FertiliserProducts[[#Headers],[Company]], 91)</f>
        <v/>
      </c>
      <c r="J194" s="148" t="str" cm="1">
        <f t="array" ref="J194">Common_InputFunctions.Utility_DisplayArrayInTable(Fertiliser_SourceData.Fertiliser_Products_Data4(),FertiliserProducts[[#Headers],[Company]], 91)</f>
        <v/>
      </c>
      <c r="K194" s="148" t="str" cm="1">
        <f t="array" ref="K194">Common_InputFunctions.Utility_DisplayArrayInTable(Fertiliser_SourceData.Fertiliser_Products_Data4(),FertiliserProducts[[#Headers],[Company]], 91)</f>
        <v/>
      </c>
      <c r="L194" s="148" cm="1">
        <f t="array" ref="L194">Common_InputFunctions.Utility_DisplayArrayInTable(Fertiliser_SourceData.Fertiliser_Products_Data4(),FertiliserProducts[[#Headers],[Company]], 91)</f>
        <v>5.5</v>
      </c>
      <c r="M194" s="148" cm="1">
        <f t="array" ref="M194">Common_InputFunctions.Utility_DisplayArrayInTable(Fertiliser_SourceData.Fertiliser_Products_Data4(),FertiliserProducts[[#Headers],[Company]], 91)</f>
        <v>15</v>
      </c>
      <c r="N194" s="148" cm="1">
        <f t="array" ref="N194">Common_InputFunctions.Utility_DisplayArrayInTable(Fertiliser_SourceData.Fertiliser_Products_Data4(),FertiliserProducts[[#Headers],[Company]], 91)</f>
        <v>6.88</v>
      </c>
      <c r="O194" s="148" t="str" cm="1">
        <f t="array" ref="O194">Common_InputFunctions.Utility_DisplayArrayInTable(Fertiliser_SourceData.Fertiliser_Products_Data4(),FertiliserProducts[[#Headers],[Company]], 91)</f>
        <v>Single superphosphate (SSP)</v>
      </c>
      <c r="P194" s="148" cm="1">
        <f t="array" ref="P194">Common_InputFunctions.Utility_DisplayArrayInTable(Fertiliser_SourceData.Fertiliser_Products_Data4(),FertiliserProducts[[#Headers],[Company]], 91)</f>
        <v>0.625</v>
      </c>
      <c r="Q194" s="148" t="str" cm="1">
        <f t="array" ref="Q194">Common_InputFunctions.Utility_DisplayArrayInTable(Fertiliser_SourceData.Fertiliser_Products_Data4(),FertiliserProducts[[#Headers],[Company]], 91)</f>
        <v>Muriate of potash (MOP)</v>
      </c>
      <c r="R194" s="148" cm="1">
        <f t="array" ref="R194">Common_InputFunctions.Utility_DisplayArrayInTable(Fertiliser_SourceData.Fertiliser_Products_Data4(),FertiliserProducts[[#Headers],[Company]], 91)</f>
        <v>0.3</v>
      </c>
      <c r="S194" s="148" t="str" cm="1">
        <f t="array" ref="S194">Common_InputFunctions.Utility_DisplayArrayInTable(Fertiliser_SourceData.Fertiliser_Products_Data4(),FertiliserProducts[[#Headers],[Company]], 91)</f>
        <v/>
      </c>
      <c r="T194" s="148" t="str" cm="1">
        <f t="array" ref="T194">Common_InputFunctions.Utility_DisplayArrayInTable(Fertiliser_SourceData.Fertiliser_Products_Data4(),FertiliserProducts[[#Headers],[Company]], 91)</f>
        <v/>
      </c>
      <c r="U194" s="148" t="str" cm="1">
        <f t="array" ref="U194">Common_InputFunctions.Utility_DisplayArrayInTable(Fertiliser_SourceData.Fertiliser_Products_Data4(),FertiliserProducts[[#Headers],[Company]], 91)</f>
        <v/>
      </c>
      <c r="V194" s="148" t="str" cm="1">
        <f t="array" ref="V194">Common_InputFunctions.Utility_DisplayArrayInTable(Fertiliser_SourceData.Fertiliser_Products_Data4(),FertiliserProducts[[#Headers],[Company]], 91)</f>
        <v/>
      </c>
      <c r="W194" s="148" t="str" cm="1">
        <f t="array" ref="W194">Common_InputFunctions.Utility_DisplayArrayInTable(Fertiliser_SourceData.Fertiliser_Products_Data4(),FertiliserProducts[[#Headers],[Company]], 91)</f>
        <v/>
      </c>
      <c r="X194" s="148" t="str" cm="1">
        <f t="array" ref="X194">Common_InputFunctions.Utility_DisplayArrayInTable(Fertiliser_SourceData.Fertiliser_Products_Data4(),FertiliserProducts[[#Headers],[Company]], 91)</f>
        <v/>
      </c>
      <c r="Y194" s="148" t="str" cm="1">
        <f t="array" ref="Y194">Common_InputFunctions.Utility_DisplayArrayInTable(Fertiliser_SourceData.Fertiliser_Products_Data4(),FertiliserProducts[[#Headers],[Company]], 91)</f>
        <v/>
      </c>
      <c r="Z194" s="148" t="str" cm="1">
        <f t="array" ref="Z194">Common_InputFunctions.Utility_DisplayArrayInTable(Fertiliser_SourceData.Fertiliser_Products_Data4(),FertiliserProducts[[#Headers],[Company]], 91)</f>
        <v/>
      </c>
      <c r="AA194" s="148" t="str" cm="1">
        <f t="array" ref="AA194">Common_InputFunctions.Utility_DisplayArrayInTable(Fertiliser_SourceData.Fertiliser_Products_Data4(),FertiliserProducts[[#Headers],[Company]], 91)</f>
        <v/>
      </c>
      <c r="AB194" s="148" t="str" cm="1">
        <f t="array" ref="AB194">Common_InputFunctions.Utility_DisplayArrayInTable(Fertiliser_SourceData.Fertiliser_Products_Data4(),FertiliserProducts[[#Headers],[Company]], 91)</f>
        <v/>
      </c>
      <c r="AC194" s="148" t="str" cm="1">
        <f t="array" ref="AC194">Common_InputFunctions.Utility_DisplayArrayInTable(Fertiliser_SourceData.Fertiliser_Products_Data4(),FertiliserProducts[[#Headers],[Company]], 91)</f>
        <v/>
      </c>
      <c r="AD194" s="148" t="str" cm="1">
        <f t="array" ref="AD194">Common_InputFunctions.Utility_DisplayArrayInTable(Fertiliser_SourceData.Fertiliser_Products_Data4(),FertiliserProducts[[#Headers],[Company]], 91)</f>
        <v/>
      </c>
      <c r="AE194" s="148" t="str" cm="1">
        <f t="array" ref="AE194">Common_InputFunctions.Utility_DisplayArrayInTable(Fertiliser_SourceData.Fertiliser_Products_Data4(),FertiliserProducts[[#Headers],[Company]], 91)</f>
        <v/>
      </c>
      <c r="AF194" s="148" t="str" cm="1">
        <f t="array" ref="AF194">Common_InputFunctions.Utility_DisplayArrayInTable(Fertiliser_SourceData.Fertiliser_Products_Data4(),FertiliserProducts[[#Headers],[Company]], 91)</f>
        <v/>
      </c>
      <c r="AG194" s="148" t="str" cm="1">
        <f t="array" ref="AG194">Common_InputFunctions.Utility_DisplayArrayInTable(Fertiliser_SourceData.Fertiliser_Products_Data4(),FertiliserProducts[[#Headers],[Company]], 91)</f>
        <v/>
      </c>
      <c r="AH194" s="148" t="str" cm="1">
        <f t="array" ref="AH194">Common_InputFunctions.Utility_DisplayArrayInTable(Fertiliser_SourceData.Fertiliser_Products_Data4(),FertiliserProducts[[#Headers],[Company]], 91)</f>
        <v/>
      </c>
    </row>
    <row r="195" spans="4:34" ht="20.100000000000001" customHeight="1" x14ac:dyDescent="0.2">
      <c r="D195" s="148" t="str" cm="1">
        <f t="array" ref="D195">Common_InputFunctions.Utility_DisplayArrayInTable(Fertiliser_SourceData.Fertiliser_Products_Data4(),FertiliserProducts[[#Headers],[Company]], 91)</f>
        <v>Yara</v>
      </c>
      <c r="E195" s="148" t="str" cm="1">
        <f t="array" ref="E195">Common_InputFunctions.Utility_DisplayArrayInTable(Fertiliser_SourceData.Fertiliser_Products_Data4(),FertiliserProducts[[#Headers],[Company]], 91)</f>
        <v>YaraBela CAN-27</v>
      </c>
      <c r="F195" s="148" t="str" cm="1">
        <f t="array" ref="F195">Common_InputFunctions.Utility_DisplayArrayInTable(Fertiliser_SourceData.Fertiliser_Products_Data4(),FertiliserProducts[[#Headers],[Company]], 91)</f>
        <v>kg</v>
      </c>
      <c r="G195" s="148" cm="1">
        <f t="array" ref="G195">Common_InputFunctions.Utility_DisplayArrayInTable(Fertiliser_SourceData.Fertiliser_Products_Data4(),FertiliserProducts[[#Headers],[Company]], 91)</f>
        <v>1</v>
      </c>
      <c r="H195" s="148" t="str" cm="1">
        <f t="array" ref="H195">Common_InputFunctions.Utility_DisplayArrayInTable(Fertiliser_SourceData.Fertiliser_Products_Data4(),FertiliserProducts[[#Headers],[Company]], 91)</f>
        <v/>
      </c>
      <c r="I195" s="148" t="str" cm="1">
        <f t="array" ref="I195">Common_InputFunctions.Utility_DisplayArrayInTable(Fertiliser_SourceData.Fertiliser_Products_Data4(),FertiliserProducts[[#Headers],[Company]], 91)</f>
        <v/>
      </c>
      <c r="J195" s="148" t="str" cm="1">
        <f t="array" ref="J195">Common_InputFunctions.Utility_DisplayArrayInTable(Fertiliser_SourceData.Fertiliser_Products_Data4(),FertiliserProducts[[#Headers],[Company]], 91)</f>
        <v/>
      </c>
      <c r="K195" s="148" cm="1">
        <f t="array" ref="K195">Common_InputFunctions.Utility_DisplayArrayInTable(Fertiliser_SourceData.Fertiliser_Products_Data4(),FertiliserProducts[[#Headers],[Company]], 91)</f>
        <v>27</v>
      </c>
      <c r="L195" s="148" t="str" cm="1">
        <f t="array" ref="L195">Common_InputFunctions.Utility_DisplayArrayInTable(Fertiliser_SourceData.Fertiliser_Products_Data4(),FertiliserProducts[[#Headers],[Company]], 91)</f>
        <v/>
      </c>
      <c r="M195" s="148" t="str" cm="1">
        <f t="array" ref="M195">Common_InputFunctions.Utility_DisplayArrayInTable(Fertiliser_SourceData.Fertiliser_Products_Data4(),FertiliserProducts[[#Headers],[Company]], 91)</f>
        <v/>
      </c>
      <c r="N195" s="148" t="str" cm="1">
        <f t="array" ref="N195">Common_InputFunctions.Utility_DisplayArrayInTable(Fertiliser_SourceData.Fertiliser_Products_Data4(),FertiliserProducts[[#Headers],[Company]], 91)</f>
        <v/>
      </c>
      <c r="O195" s="148" t="str" cm="1">
        <f t="array" ref="O195">Common_InputFunctions.Utility_DisplayArrayInTable(Fertiliser_SourceData.Fertiliser_Products_Data4(),FertiliserProducts[[#Headers],[Company]], 91)</f>
        <v>Calcium ammonium nitrate (CAN)</v>
      </c>
      <c r="P195" s="148" cm="1">
        <f t="array" ref="P195">Common_InputFunctions.Utility_DisplayArrayInTable(Fertiliser_SourceData.Fertiliser_Products_Data4(),FertiliserProducts[[#Headers],[Company]], 91)</f>
        <v>1</v>
      </c>
      <c r="Q195" s="148" t="str" cm="1">
        <f t="array" ref="Q195">Common_InputFunctions.Utility_DisplayArrayInTable(Fertiliser_SourceData.Fertiliser_Products_Data4(),FertiliserProducts[[#Headers],[Company]], 91)</f>
        <v/>
      </c>
      <c r="R195" s="148" t="str" cm="1">
        <f t="array" ref="R195">Common_InputFunctions.Utility_DisplayArrayInTable(Fertiliser_SourceData.Fertiliser_Products_Data4(),FertiliserProducts[[#Headers],[Company]], 91)</f>
        <v/>
      </c>
      <c r="S195" s="148" t="str" cm="1">
        <f t="array" ref="S195">Common_InputFunctions.Utility_DisplayArrayInTable(Fertiliser_SourceData.Fertiliser_Products_Data4(),FertiliserProducts[[#Headers],[Company]], 91)</f>
        <v/>
      </c>
      <c r="T195" s="148" t="str" cm="1">
        <f t="array" ref="T195">Common_InputFunctions.Utility_DisplayArrayInTable(Fertiliser_SourceData.Fertiliser_Products_Data4(),FertiliserProducts[[#Headers],[Company]], 91)</f>
        <v/>
      </c>
      <c r="U195" s="148" t="str" cm="1">
        <f t="array" ref="U195">Common_InputFunctions.Utility_DisplayArrayInTable(Fertiliser_SourceData.Fertiliser_Products_Data4(),FertiliserProducts[[#Headers],[Company]], 91)</f>
        <v/>
      </c>
      <c r="V195" s="148" t="str" cm="1">
        <f t="array" ref="V195">Common_InputFunctions.Utility_DisplayArrayInTable(Fertiliser_SourceData.Fertiliser_Products_Data4(),FertiliserProducts[[#Headers],[Company]], 91)</f>
        <v/>
      </c>
      <c r="W195" s="148" t="str" cm="1">
        <f t="array" ref="W195">Common_InputFunctions.Utility_DisplayArrayInTable(Fertiliser_SourceData.Fertiliser_Products_Data4(),FertiliserProducts[[#Headers],[Company]], 91)</f>
        <v/>
      </c>
      <c r="X195" s="148" t="str" cm="1">
        <f t="array" ref="X195">Common_InputFunctions.Utility_DisplayArrayInTable(Fertiliser_SourceData.Fertiliser_Products_Data4(),FertiliserProducts[[#Headers],[Company]], 91)</f>
        <v/>
      </c>
      <c r="Y195" s="148" t="str" cm="1">
        <f t="array" ref="Y195">Common_InputFunctions.Utility_DisplayArrayInTable(Fertiliser_SourceData.Fertiliser_Products_Data4(),FertiliserProducts[[#Headers],[Company]], 91)</f>
        <v/>
      </c>
      <c r="Z195" s="148" t="str" cm="1">
        <f t="array" ref="Z195">Common_InputFunctions.Utility_DisplayArrayInTable(Fertiliser_SourceData.Fertiliser_Products_Data4(),FertiliserProducts[[#Headers],[Company]], 91)</f>
        <v/>
      </c>
      <c r="AA195" s="148" t="str" cm="1">
        <f t="array" ref="AA195">Common_InputFunctions.Utility_DisplayArrayInTable(Fertiliser_SourceData.Fertiliser_Products_Data4(),FertiliserProducts[[#Headers],[Company]], 91)</f>
        <v/>
      </c>
      <c r="AB195" s="148" t="str" cm="1">
        <f t="array" ref="AB195">Common_InputFunctions.Utility_DisplayArrayInTable(Fertiliser_SourceData.Fertiliser_Products_Data4(),FertiliserProducts[[#Headers],[Company]], 91)</f>
        <v/>
      </c>
      <c r="AC195" s="148" t="str" cm="1">
        <f t="array" ref="AC195">Common_InputFunctions.Utility_DisplayArrayInTable(Fertiliser_SourceData.Fertiliser_Products_Data4(),FertiliserProducts[[#Headers],[Company]], 91)</f>
        <v/>
      </c>
      <c r="AD195" s="148" t="str" cm="1">
        <f t="array" ref="AD195">Common_InputFunctions.Utility_DisplayArrayInTable(Fertiliser_SourceData.Fertiliser_Products_Data4(),FertiliserProducts[[#Headers],[Company]], 91)</f>
        <v/>
      </c>
      <c r="AE195" s="148" t="str" cm="1">
        <f t="array" ref="AE195">Common_InputFunctions.Utility_DisplayArrayInTable(Fertiliser_SourceData.Fertiliser_Products_Data4(),FertiliserProducts[[#Headers],[Company]], 91)</f>
        <v/>
      </c>
      <c r="AF195" s="148" t="str" cm="1">
        <f t="array" ref="AF195">Common_InputFunctions.Utility_DisplayArrayInTable(Fertiliser_SourceData.Fertiliser_Products_Data4(),FertiliserProducts[[#Headers],[Company]], 91)</f>
        <v/>
      </c>
      <c r="AG195" s="148" t="str" cm="1">
        <f t="array" ref="AG195">Common_InputFunctions.Utility_DisplayArrayInTable(Fertiliser_SourceData.Fertiliser_Products_Data4(),FertiliserProducts[[#Headers],[Company]], 91)</f>
        <v/>
      </c>
      <c r="AH195" s="148" t="str" cm="1">
        <f t="array" ref="AH195">Common_InputFunctions.Utility_DisplayArrayInTable(Fertiliser_SourceData.Fertiliser_Products_Data4(),FertiliserProducts[[#Headers],[Company]], 91)</f>
        <v/>
      </c>
    </row>
    <row r="196" spans="4:34" ht="20.100000000000001" customHeight="1" x14ac:dyDescent="0.2">
      <c r="D196" s="148" t="str" cm="1">
        <f t="array" ref="D196">Common_InputFunctions.Utility_DisplayArrayInTable(Fertiliser_SourceData.Fertiliser_Products_Data4(),FertiliserProducts[[#Headers],[Company]], 91)</f>
        <v>Incitec Pivot Fertilisers</v>
      </c>
      <c r="E196" s="148" t="str" cm="1">
        <f t="array" ref="E196">Common_InputFunctions.Utility_DisplayArrayInTable(Fertiliser_SourceData.Fertiliser_Products_Data4(),FertiliserProducts[[#Headers],[Company]], 91)</f>
        <v>Cal-Gran Aftergraze</v>
      </c>
      <c r="F196" s="148" t="str" cm="1">
        <f t="array" ref="F196">Common_InputFunctions.Utility_DisplayArrayInTable(Fertiliser_SourceData.Fertiliser_Products_Data4(),FertiliserProducts[[#Headers],[Company]], 91)</f>
        <v>kg</v>
      </c>
      <c r="G196" s="148" cm="1">
        <f t="array" ref="G196">Common_InputFunctions.Utility_DisplayArrayInTable(Fertiliser_SourceData.Fertiliser_Products_Data4(),FertiliserProducts[[#Headers],[Company]], 91)</f>
        <v>1</v>
      </c>
      <c r="H196" s="148" t="str" cm="1">
        <f t="array" ref="H196">Common_InputFunctions.Utility_DisplayArrayInTable(Fertiliser_SourceData.Fertiliser_Products_Data4(),FertiliserProducts[[#Headers],[Company]], 91)</f>
        <v/>
      </c>
      <c r="I196" s="148" t="str" cm="1">
        <f t="array" ref="I196">Common_InputFunctions.Utility_DisplayArrayInTable(Fertiliser_SourceData.Fertiliser_Products_Data4(),FertiliserProducts[[#Headers],[Company]], 91)</f>
        <v/>
      </c>
      <c r="J196" s="148" t="str" cm="1">
        <f t="array" ref="J196">Common_InputFunctions.Utility_DisplayArrayInTable(Fertiliser_SourceData.Fertiliser_Products_Data4(),FertiliserProducts[[#Headers],[Company]], 91)</f>
        <v/>
      </c>
      <c r="K196" s="148" cm="1">
        <f t="array" ref="K196">Common_InputFunctions.Utility_DisplayArrayInTable(Fertiliser_SourceData.Fertiliser_Products_Data4(),FertiliserProducts[[#Headers],[Company]], 91)</f>
        <v>20.6</v>
      </c>
      <c r="L196" s="148" cm="1">
        <f t="array" ref="L196">Common_InputFunctions.Utility_DisplayArrayInTable(Fertiliser_SourceData.Fertiliser_Products_Data4(),FertiliserProducts[[#Headers],[Company]], 91)</f>
        <v>3</v>
      </c>
      <c r="M196" s="148" cm="1">
        <f t="array" ref="M196">Common_InputFunctions.Utility_DisplayArrayInTable(Fertiliser_SourceData.Fertiliser_Products_Data4(),FertiliserProducts[[#Headers],[Company]], 91)</f>
        <v>7.5</v>
      </c>
      <c r="N196" s="148" cm="1">
        <f t="array" ref="N196">Common_InputFunctions.Utility_DisplayArrayInTable(Fertiliser_SourceData.Fertiliser_Products_Data4(),FertiliserProducts[[#Headers],[Company]], 91)</f>
        <v>3.8</v>
      </c>
      <c r="O196" s="148" t="str" cm="1">
        <f t="array" ref="O196">Common_InputFunctions.Utility_DisplayArrayInTable(Fertiliser_SourceData.Fertiliser_Products_Data4(),FertiliserProducts[[#Headers],[Company]], 91)</f>
        <v>Nitrogen - Nitrate</v>
      </c>
      <c r="P196" s="148" cm="1">
        <f t="array" ref="P196">Common_InputFunctions.Utility_DisplayArrayInTable(Fertiliser_SourceData.Fertiliser_Products_Data4(),FertiliserProducts[[#Headers],[Company]], 91)</f>
        <v>6.4000000000000001E-2</v>
      </c>
      <c r="Q196" s="148" t="str" cm="1">
        <f t="array" ref="Q196">Common_InputFunctions.Utility_DisplayArrayInTable(Fertiliser_SourceData.Fertiliser_Products_Data4(),FertiliserProducts[[#Headers],[Company]], 91)</f>
        <v>Nitrogen - Ammoniacal</v>
      </c>
      <c r="R196" s="148" cm="1">
        <f t="array" ref="R196">Common_InputFunctions.Utility_DisplayArrayInTable(Fertiliser_SourceData.Fertiliser_Products_Data4(),FertiliserProducts[[#Headers],[Company]], 91)</f>
        <v>0.14199999999999999</v>
      </c>
      <c r="S196" s="148" t="str" cm="1">
        <f t="array" ref="S196">Common_InputFunctions.Utility_DisplayArrayInTable(Fertiliser_SourceData.Fertiliser_Products_Data4(),FertiliserProducts[[#Headers],[Company]], 91)</f>
        <v>Phosphorus - Generic</v>
      </c>
      <c r="T196" s="148" cm="1">
        <f t="array" ref="T196">Common_InputFunctions.Utility_DisplayArrayInTable(Fertiliser_SourceData.Fertiliser_Products_Data4(),FertiliserProducts[[#Headers],[Company]], 91)</f>
        <v>0.03</v>
      </c>
      <c r="U196" s="148" t="str" cm="1">
        <f t="array" ref="U196">Common_InputFunctions.Utility_DisplayArrayInTable(Fertiliser_SourceData.Fertiliser_Products_Data4(),FertiliserProducts[[#Headers],[Company]], 91)</f>
        <v>Potassium - Generic</v>
      </c>
      <c r="V196" s="148" cm="1">
        <f t="array" ref="V196">Common_InputFunctions.Utility_DisplayArrayInTable(Fertiliser_SourceData.Fertiliser_Products_Data4(),FertiliserProducts[[#Headers],[Company]], 91)</f>
        <v>7.4999999999999997E-2</v>
      </c>
      <c r="W196" s="148" t="str" cm="1">
        <f t="array" ref="W196">Common_InputFunctions.Utility_DisplayArrayInTable(Fertiliser_SourceData.Fertiliser_Products_Data4(),FertiliserProducts[[#Headers],[Company]], 91)</f>
        <v>Sulfur - Generic</v>
      </c>
      <c r="X196" s="148" cm="1">
        <f t="array" ref="X196">Common_InputFunctions.Utility_DisplayArrayInTable(Fertiliser_SourceData.Fertiliser_Products_Data4(),FertiliserProducts[[#Headers],[Company]], 91)</f>
        <v>3.7999999999999999E-2</v>
      </c>
      <c r="Y196" s="148" t="str" cm="1">
        <f t="array" ref="Y196">Common_InputFunctions.Utility_DisplayArrayInTable(Fertiliser_SourceData.Fertiliser_Products_Data4(),FertiliserProducts[[#Headers],[Company]], 91)</f>
        <v>Calcium</v>
      </c>
      <c r="Z196" s="148" cm="1">
        <f t="array" ref="Z196">Common_InputFunctions.Utility_DisplayArrayInTable(Fertiliser_SourceData.Fertiliser_Products_Data4(),FertiliserProducts[[#Headers],[Company]], 91)</f>
        <v>4.3999999999999997E-2</v>
      </c>
      <c r="AA196" s="148" t="str" cm="1">
        <f t="array" ref="AA196">Common_InputFunctions.Utility_DisplayArrayInTable(Fertiliser_SourceData.Fertiliser_Products_Data4(),FertiliserProducts[[#Headers],[Company]], 91)</f>
        <v/>
      </c>
      <c r="AB196" s="148" t="str" cm="1">
        <f t="array" ref="AB196">Common_InputFunctions.Utility_DisplayArrayInTable(Fertiliser_SourceData.Fertiliser_Products_Data4(),FertiliserProducts[[#Headers],[Company]], 91)</f>
        <v/>
      </c>
      <c r="AC196" s="148" t="str" cm="1">
        <f t="array" ref="AC196">Common_InputFunctions.Utility_DisplayArrayInTable(Fertiliser_SourceData.Fertiliser_Products_Data4(),FertiliserProducts[[#Headers],[Company]], 91)</f>
        <v/>
      </c>
      <c r="AD196" s="148" t="str" cm="1">
        <f t="array" ref="AD196">Common_InputFunctions.Utility_DisplayArrayInTable(Fertiliser_SourceData.Fertiliser_Products_Data4(),FertiliserProducts[[#Headers],[Company]], 91)</f>
        <v/>
      </c>
      <c r="AE196" s="148" t="str" cm="1">
        <f t="array" ref="AE196">Common_InputFunctions.Utility_DisplayArrayInTable(Fertiliser_SourceData.Fertiliser_Products_Data4(),FertiliserProducts[[#Headers],[Company]], 91)</f>
        <v/>
      </c>
      <c r="AF196" s="148" t="str" cm="1">
        <f t="array" ref="AF196">Common_InputFunctions.Utility_DisplayArrayInTable(Fertiliser_SourceData.Fertiliser_Products_Data4(),FertiliserProducts[[#Headers],[Company]], 91)</f>
        <v/>
      </c>
      <c r="AG196" s="148" t="str" cm="1">
        <f t="array" ref="AG196">Common_InputFunctions.Utility_DisplayArrayInTable(Fertiliser_SourceData.Fertiliser_Products_Data4(),FertiliserProducts[[#Headers],[Company]], 91)</f>
        <v/>
      </c>
      <c r="AH196" s="148" t="str" cm="1">
        <f t="array" ref="AH196">Common_InputFunctions.Utility_DisplayArrayInTable(Fertiliser_SourceData.Fertiliser_Products_Data4(),FertiliserProducts[[#Headers],[Company]], 91)</f>
        <v/>
      </c>
    </row>
    <row r="197" spans="4:34" ht="20.100000000000001" customHeight="1" x14ac:dyDescent="0.2">
      <c r="D197" s="148" t="str" cm="1">
        <f t="array" ref="D197">Common_InputFunctions.Utility_DisplayArrayInTable(Fertiliser_SourceData.Fertiliser_Products_Data4(),FertiliserProducts[[#Headers],[Company]], 91)</f>
        <v>Incitec Pivot Fertilisers</v>
      </c>
      <c r="E197" s="148" t="str" cm="1">
        <f t="array" ref="E197">Common_InputFunctions.Utility_DisplayArrayInTable(Fertiliser_SourceData.Fertiliser_Products_Data4(),FertiliserProducts[[#Headers],[Company]], 91)</f>
        <v>Cal-Gran Prodress</v>
      </c>
      <c r="F197" s="148" t="str" cm="1">
        <f t="array" ref="F197">Common_InputFunctions.Utility_DisplayArrayInTable(Fertiliser_SourceData.Fertiliser_Products_Data4(),FertiliserProducts[[#Headers],[Company]], 91)</f>
        <v>kg</v>
      </c>
      <c r="G197" s="148" cm="1">
        <f t="array" ref="G197">Common_InputFunctions.Utility_DisplayArrayInTable(Fertiliser_SourceData.Fertiliser_Products_Data4(),FertiliserProducts[[#Headers],[Company]], 91)</f>
        <v>1</v>
      </c>
      <c r="H197" s="148" t="str" cm="1">
        <f t="array" ref="H197">Common_InputFunctions.Utility_DisplayArrayInTable(Fertiliser_SourceData.Fertiliser_Products_Data4(),FertiliserProducts[[#Headers],[Company]], 91)</f>
        <v/>
      </c>
      <c r="I197" s="148" t="str" cm="1">
        <f t="array" ref="I197">Common_InputFunctions.Utility_DisplayArrayInTable(Fertiliser_SourceData.Fertiliser_Products_Data4(),FertiliserProducts[[#Headers],[Company]], 91)</f>
        <v/>
      </c>
      <c r="J197" s="148" t="str" cm="1">
        <f t="array" ref="J197">Common_InputFunctions.Utility_DisplayArrayInTable(Fertiliser_SourceData.Fertiliser_Products_Data4(),FertiliserProducts[[#Headers],[Company]], 91)</f>
        <v/>
      </c>
      <c r="K197" s="148" cm="1">
        <f t="array" ref="K197">Common_InputFunctions.Utility_DisplayArrayInTable(Fertiliser_SourceData.Fertiliser_Products_Data4(),FertiliserProducts[[#Headers],[Company]], 91)</f>
        <v>17.8</v>
      </c>
      <c r="L197" s="148" cm="1">
        <f t="array" ref="L197">Common_InputFunctions.Utility_DisplayArrayInTable(Fertiliser_SourceData.Fertiliser_Products_Data4(),FertiliserProducts[[#Headers],[Company]], 91)</f>
        <v>1</v>
      </c>
      <c r="M197" s="148" cm="1">
        <f t="array" ref="M197">Common_InputFunctions.Utility_DisplayArrayInTable(Fertiliser_SourceData.Fertiliser_Products_Data4(),FertiliserProducts[[#Headers],[Company]], 91)</f>
        <v>15</v>
      </c>
      <c r="N197" s="148" cm="1">
        <f t="array" ref="N197">Common_InputFunctions.Utility_DisplayArrayInTable(Fertiliser_SourceData.Fertiliser_Products_Data4(),FertiliserProducts[[#Headers],[Company]], 91)</f>
        <v>2.5</v>
      </c>
      <c r="O197" s="148" t="str" cm="1">
        <f t="array" ref="O197">Common_InputFunctions.Utility_DisplayArrayInTable(Fertiliser_SourceData.Fertiliser_Products_Data4(),FertiliserProducts[[#Headers],[Company]], 91)</f>
        <v>Nitrogen - Nitrate</v>
      </c>
      <c r="P197" s="148" cm="1">
        <f t="array" ref="P197">Common_InputFunctions.Utility_DisplayArrayInTable(Fertiliser_SourceData.Fertiliser_Products_Data4(),FertiliserProducts[[#Headers],[Company]], 91)</f>
        <v>5.5E-2</v>
      </c>
      <c r="Q197" s="148" t="str" cm="1">
        <f t="array" ref="Q197">Common_InputFunctions.Utility_DisplayArrayInTable(Fertiliser_SourceData.Fertiliser_Products_Data4(),FertiliserProducts[[#Headers],[Company]], 91)</f>
        <v>Nitrogen - Ammoniacal</v>
      </c>
      <c r="R197" s="148" cm="1">
        <f t="array" ref="R197">Common_InputFunctions.Utility_DisplayArrayInTable(Fertiliser_SourceData.Fertiliser_Products_Data4(),FertiliserProducts[[#Headers],[Company]], 91)</f>
        <v>0.123</v>
      </c>
      <c r="S197" s="148" t="str" cm="1">
        <f t="array" ref="S197">Common_InputFunctions.Utility_DisplayArrayInTable(Fertiliser_SourceData.Fertiliser_Products_Data4(),FertiliserProducts[[#Headers],[Company]], 91)</f>
        <v>Phosphorus - Generic</v>
      </c>
      <c r="T197" s="148" cm="1">
        <f t="array" ref="T197">Common_InputFunctions.Utility_DisplayArrayInTable(Fertiliser_SourceData.Fertiliser_Products_Data4(),FertiliserProducts[[#Headers],[Company]], 91)</f>
        <v>0.01</v>
      </c>
      <c r="U197" s="148" t="str" cm="1">
        <f t="array" ref="U197">Common_InputFunctions.Utility_DisplayArrayInTable(Fertiliser_SourceData.Fertiliser_Products_Data4(),FertiliserProducts[[#Headers],[Company]], 91)</f>
        <v>Potassium - Generic</v>
      </c>
      <c r="V197" s="148" cm="1">
        <f t="array" ref="V197">Common_InputFunctions.Utility_DisplayArrayInTable(Fertiliser_SourceData.Fertiliser_Products_Data4(),FertiliserProducts[[#Headers],[Company]], 91)</f>
        <v>0.15</v>
      </c>
      <c r="W197" s="148" t="str" cm="1">
        <f t="array" ref="W197">Common_InputFunctions.Utility_DisplayArrayInTable(Fertiliser_SourceData.Fertiliser_Products_Data4(),FertiliserProducts[[#Headers],[Company]], 91)</f>
        <v>Sulfur - Generic</v>
      </c>
      <c r="X197" s="148" cm="1">
        <f t="array" ref="X197">Common_InputFunctions.Utility_DisplayArrayInTable(Fertiliser_SourceData.Fertiliser_Products_Data4(),FertiliserProducts[[#Headers],[Company]], 91)</f>
        <v>2.5000000000000001E-2</v>
      </c>
      <c r="Y197" s="148" t="str" cm="1">
        <f t="array" ref="Y197">Common_InputFunctions.Utility_DisplayArrayInTable(Fertiliser_SourceData.Fertiliser_Products_Data4(),FertiliserProducts[[#Headers],[Company]], 91)</f>
        <v>Calcium</v>
      </c>
      <c r="Z197" s="148" cm="1">
        <f t="array" ref="Z197">Common_InputFunctions.Utility_DisplayArrayInTable(Fertiliser_SourceData.Fertiliser_Products_Data4(),FertiliserProducts[[#Headers],[Company]], 91)</f>
        <v>4.3999999999999997E-2</v>
      </c>
      <c r="AA197" s="148" t="str" cm="1">
        <f t="array" ref="AA197">Common_InputFunctions.Utility_DisplayArrayInTable(Fertiliser_SourceData.Fertiliser_Products_Data4(),FertiliserProducts[[#Headers],[Company]], 91)</f>
        <v/>
      </c>
      <c r="AB197" s="148" t="str" cm="1">
        <f t="array" ref="AB197">Common_InputFunctions.Utility_DisplayArrayInTable(Fertiliser_SourceData.Fertiliser_Products_Data4(),FertiliserProducts[[#Headers],[Company]], 91)</f>
        <v/>
      </c>
      <c r="AC197" s="148" t="str" cm="1">
        <f t="array" ref="AC197">Common_InputFunctions.Utility_DisplayArrayInTable(Fertiliser_SourceData.Fertiliser_Products_Data4(),FertiliserProducts[[#Headers],[Company]], 91)</f>
        <v/>
      </c>
      <c r="AD197" s="148" t="str" cm="1">
        <f t="array" ref="AD197">Common_InputFunctions.Utility_DisplayArrayInTable(Fertiliser_SourceData.Fertiliser_Products_Data4(),FertiliserProducts[[#Headers],[Company]], 91)</f>
        <v/>
      </c>
      <c r="AE197" s="148" t="str" cm="1">
        <f t="array" ref="AE197">Common_InputFunctions.Utility_DisplayArrayInTable(Fertiliser_SourceData.Fertiliser_Products_Data4(),FertiliserProducts[[#Headers],[Company]], 91)</f>
        <v/>
      </c>
      <c r="AF197" s="148" t="str" cm="1">
        <f t="array" ref="AF197">Common_InputFunctions.Utility_DisplayArrayInTable(Fertiliser_SourceData.Fertiliser_Products_Data4(),FertiliserProducts[[#Headers],[Company]], 91)</f>
        <v/>
      </c>
      <c r="AG197" s="148" t="str" cm="1">
        <f t="array" ref="AG197">Common_InputFunctions.Utility_DisplayArrayInTable(Fertiliser_SourceData.Fertiliser_Products_Data4(),FertiliserProducts[[#Headers],[Company]], 91)</f>
        <v/>
      </c>
      <c r="AH197" s="148" t="str" cm="1">
        <f t="array" ref="AH197">Common_InputFunctions.Utility_DisplayArrayInTable(Fertiliser_SourceData.Fertiliser_Products_Data4(),FertiliserProducts[[#Headers],[Company]], 91)</f>
        <v/>
      </c>
    </row>
    <row r="198" spans="4:34" ht="20.100000000000001" customHeight="1" x14ac:dyDescent="0.2">
      <c r="D198" s="148" t="str" cm="1">
        <f t="array" ref="D198">Common_InputFunctions.Utility_DisplayArrayInTable(Fertiliser_SourceData.Fertiliser_Products_Data4(),FertiliserProducts[[#Headers],[Company]], 91)</f>
        <v>Wengfu Australia</v>
      </c>
      <c r="E198" s="148" t="str" cm="1">
        <f t="array" ref="E198">Common_InputFunctions.Utility_DisplayArrayInTable(Fertiliser_SourceData.Fertiliser_Products_Data4(),FertiliserProducts[[#Headers],[Company]], 91)</f>
        <v>Wengfu PrimeZinc 10</v>
      </c>
      <c r="F198" s="148" t="str" cm="1">
        <f t="array" ref="F198">Common_InputFunctions.Utility_DisplayArrayInTable(Fertiliser_SourceData.Fertiliser_Products_Data4(),FertiliserProducts[[#Headers],[Company]], 91)</f>
        <v>kg</v>
      </c>
      <c r="G198" s="148" cm="1">
        <f t="array" ref="G198">Common_InputFunctions.Utility_DisplayArrayInTable(Fertiliser_SourceData.Fertiliser_Products_Data4(),FertiliserProducts[[#Headers],[Company]], 91)</f>
        <v>1</v>
      </c>
      <c r="H198" s="148" t="str" cm="1">
        <f t="array" ref="H198">Common_InputFunctions.Utility_DisplayArrayInTable(Fertiliser_SourceData.Fertiliser_Products_Data4(),FertiliserProducts[[#Headers],[Company]], 91)</f>
        <v/>
      </c>
      <c r="I198" s="148" t="str" cm="1">
        <f t="array" ref="I198">Common_InputFunctions.Utility_DisplayArrayInTable(Fertiliser_SourceData.Fertiliser_Products_Data4(),FertiliserProducts[[#Headers],[Company]], 91)</f>
        <v/>
      </c>
      <c r="J198" s="148" t="str" cm="1">
        <f t="array" ref="J198">Common_InputFunctions.Utility_DisplayArrayInTable(Fertiliser_SourceData.Fertiliser_Products_Data4(),FertiliserProducts[[#Headers],[Company]], 91)</f>
        <v/>
      </c>
      <c r="K198" s="148" cm="1">
        <f t="array" ref="K198">Common_InputFunctions.Utility_DisplayArrayInTable(Fertiliser_SourceData.Fertiliser_Products_Data4(),FertiliserProducts[[#Headers],[Company]], 91)</f>
        <v>10</v>
      </c>
      <c r="L198" s="148" cm="1">
        <f t="array" ref="L198">Common_InputFunctions.Utility_DisplayArrayInTable(Fertiliser_SourceData.Fertiliser_Products_Data4(),FertiliserProducts[[#Headers],[Company]], 91)</f>
        <v>22</v>
      </c>
      <c r="M198" s="148" t="str" cm="1">
        <f t="array" ref="M198">Common_InputFunctions.Utility_DisplayArrayInTable(Fertiliser_SourceData.Fertiliser_Products_Data4(),FertiliserProducts[[#Headers],[Company]], 91)</f>
        <v/>
      </c>
      <c r="N198" s="148" cm="1">
        <f t="array" ref="N198">Common_InputFunctions.Utility_DisplayArrayInTable(Fertiliser_SourceData.Fertiliser_Products_Data4(),FertiliserProducts[[#Headers],[Company]], 91)</f>
        <v>1.5</v>
      </c>
      <c r="O198" s="148" t="str" cm="1">
        <f t="array" ref="O198">Common_InputFunctions.Utility_DisplayArrayInTable(Fertiliser_SourceData.Fertiliser_Products_Data4(),FertiliserProducts[[#Headers],[Company]], 91)</f>
        <v>Nitrogen - Generic</v>
      </c>
      <c r="P198" s="148" cm="1">
        <f t="array" ref="P198">Common_InputFunctions.Utility_DisplayArrayInTable(Fertiliser_SourceData.Fertiliser_Products_Data4(),FertiliserProducts[[#Headers],[Company]], 91)</f>
        <v>0.1</v>
      </c>
      <c r="Q198" s="148" t="str" cm="1">
        <f t="array" ref="Q198">Common_InputFunctions.Utility_DisplayArrayInTable(Fertiliser_SourceData.Fertiliser_Products_Data4(),FertiliserProducts[[#Headers],[Company]], 91)</f>
        <v>Phosphorus - Generic</v>
      </c>
      <c r="R198" s="148" cm="1">
        <f t="array" ref="R198">Common_InputFunctions.Utility_DisplayArrayInTable(Fertiliser_SourceData.Fertiliser_Products_Data4(),FertiliserProducts[[#Headers],[Company]], 91)</f>
        <v>0.22</v>
      </c>
      <c r="S198" s="148" t="str" cm="1">
        <f t="array" ref="S198">Common_InputFunctions.Utility_DisplayArrayInTable(Fertiliser_SourceData.Fertiliser_Products_Data4(),FertiliserProducts[[#Headers],[Company]], 91)</f>
        <v>Sulfur - Generic</v>
      </c>
      <c r="T198" s="148" cm="1">
        <f t="array" ref="T198">Common_InputFunctions.Utility_DisplayArrayInTable(Fertiliser_SourceData.Fertiliser_Products_Data4(),FertiliserProducts[[#Headers],[Company]], 91)</f>
        <v>1.4999999999999999E-2</v>
      </c>
      <c r="U198" s="148" t="str" cm="1">
        <f t="array" ref="U198">Common_InputFunctions.Utility_DisplayArrayInTable(Fertiliser_SourceData.Fertiliser_Products_Data4(),FertiliserProducts[[#Headers],[Company]], 91)</f>
        <v>Zinc</v>
      </c>
      <c r="V198" s="148" cm="1">
        <f t="array" ref="V198">Common_InputFunctions.Utility_DisplayArrayInTable(Fertiliser_SourceData.Fertiliser_Products_Data4(),FertiliserProducts[[#Headers],[Company]], 91)</f>
        <v>0.01</v>
      </c>
      <c r="W198" s="148" t="str" cm="1">
        <f t="array" ref="W198">Common_InputFunctions.Utility_DisplayArrayInTable(Fertiliser_SourceData.Fertiliser_Products_Data4(),FertiliserProducts[[#Headers],[Company]], 91)</f>
        <v/>
      </c>
      <c r="X198" s="148" t="str" cm="1">
        <f t="array" ref="X198">Common_InputFunctions.Utility_DisplayArrayInTable(Fertiliser_SourceData.Fertiliser_Products_Data4(),FertiliserProducts[[#Headers],[Company]], 91)</f>
        <v/>
      </c>
      <c r="Y198" s="148" t="str" cm="1">
        <f t="array" ref="Y198">Common_InputFunctions.Utility_DisplayArrayInTable(Fertiliser_SourceData.Fertiliser_Products_Data4(),FertiliserProducts[[#Headers],[Company]], 91)</f>
        <v/>
      </c>
      <c r="Z198" s="148" t="str" cm="1">
        <f t="array" ref="Z198">Common_InputFunctions.Utility_DisplayArrayInTable(Fertiliser_SourceData.Fertiliser_Products_Data4(),FertiliserProducts[[#Headers],[Company]], 91)</f>
        <v/>
      </c>
      <c r="AA198" s="148" t="str" cm="1">
        <f t="array" ref="AA198">Common_InputFunctions.Utility_DisplayArrayInTable(Fertiliser_SourceData.Fertiliser_Products_Data4(),FertiliserProducts[[#Headers],[Company]], 91)</f>
        <v/>
      </c>
      <c r="AB198" s="148" t="str" cm="1">
        <f t="array" ref="AB198">Common_InputFunctions.Utility_DisplayArrayInTable(Fertiliser_SourceData.Fertiliser_Products_Data4(),FertiliserProducts[[#Headers],[Company]], 91)</f>
        <v/>
      </c>
      <c r="AC198" s="148" t="str" cm="1">
        <f t="array" ref="AC198">Common_InputFunctions.Utility_DisplayArrayInTable(Fertiliser_SourceData.Fertiliser_Products_Data4(),FertiliserProducts[[#Headers],[Company]], 91)</f>
        <v/>
      </c>
      <c r="AD198" s="148" t="str" cm="1">
        <f t="array" ref="AD198">Common_InputFunctions.Utility_DisplayArrayInTable(Fertiliser_SourceData.Fertiliser_Products_Data4(),FertiliserProducts[[#Headers],[Company]], 91)</f>
        <v/>
      </c>
      <c r="AE198" s="148" t="str" cm="1">
        <f t="array" ref="AE198">Common_InputFunctions.Utility_DisplayArrayInTable(Fertiliser_SourceData.Fertiliser_Products_Data4(),FertiliserProducts[[#Headers],[Company]], 91)</f>
        <v/>
      </c>
      <c r="AF198" s="148" t="str" cm="1">
        <f t="array" ref="AF198">Common_InputFunctions.Utility_DisplayArrayInTable(Fertiliser_SourceData.Fertiliser_Products_Data4(),FertiliserProducts[[#Headers],[Company]], 91)</f>
        <v/>
      </c>
      <c r="AG198" s="148" t="str" cm="1">
        <f t="array" ref="AG198">Common_InputFunctions.Utility_DisplayArrayInTable(Fertiliser_SourceData.Fertiliser_Products_Data4(),FertiliserProducts[[#Headers],[Company]], 91)</f>
        <v/>
      </c>
      <c r="AH198" s="148" t="str" cm="1">
        <f t="array" ref="AH198">Common_InputFunctions.Utility_DisplayArrayInTable(Fertiliser_SourceData.Fertiliser_Products_Data4(),FertiliserProducts[[#Headers],[Company]], 91)</f>
        <v/>
      </c>
    </row>
    <row r="199" spans="4:34" ht="20.100000000000001" customHeight="1" x14ac:dyDescent="0.2">
      <c r="D199" s="148" t="str" cm="1">
        <f t="array" ref="D199">Common_InputFunctions.Utility_DisplayArrayInTable(Fertiliser_SourceData.Fertiliser_Products_Data4(),FertiliserProducts[[#Headers],[Company]], 91)</f>
        <v>Wengfu Australia</v>
      </c>
      <c r="E199" s="148" t="str" cm="1">
        <f t="array" ref="E199">Common_InputFunctions.Utility_DisplayArrayInTable(Fertiliser_SourceData.Fertiliser_Products_Data4(),FertiliserProducts[[#Headers],[Company]], 91)</f>
        <v>Wengfu Pasture King</v>
      </c>
      <c r="F199" s="148" t="str" cm="1">
        <f t="array" ref="F199">Common_InputFunctions.Utility_DisplayArrayInTable(Fertiliser_SourceData.Fertiliser_Products_Data4(),FertiliserProducts[[#Headers],[Company]], 91)</f>
        <v>kg</v>
      </c>
      <c r="G199" s="148" cm="1">
        <f t="array" ref="G199">Common_InputFunctions.Utility_DisplayArrayInTable(Fertiliser_SourceData.Fertiliser_Products_Data4(),FertiliserProducts[[#Headers],[Company]], 91)</f>
        <v>1</v>
      </c>
      <c r="H199" s="148" t="str" cm="1">
        <f t="array" ref="H199">Common_InputFunctions.Utility_DisplayArrayInTable(Fertiliser_SourceData.Fertiliser_Products_Data4(),FertiliserProducts[[#Headers],[Company]], 91)</f>
        <v/>
      </c>
      <c r="I199" s="148" t="str" cm="1">
        <f t="array" ref="I199">Common_InputFunctions.Utility_DisplayArrayInTable(Fertiliser_SourceData.Fertiliser_Products_Data4(),FertiliserProducts[[#Headers],[Company]], 91)</f>
        <v/>
      </c>
      <c r="J199" s="148" t="str" cm="1">
        <f t="array" ref="J199">Common_InputFunctions.Utility_DisplayArrayInTable(Fertiliser_SourceData.Fertiliser_Products_Data4(),FertiliserProducts[[#Headers],[Company]], 91)</f>
        <v/>
      </c>
      <c r="K199" s="148" t="str" cm="1">
        <f t="array" ref="K199">Common_InputFunctions.Utility_DisplayArrayInTable(Fertiliser_SourceData.Fertiliser_Products_Data4(),FertiliserProducts[[#Headers],[Company]], 91)</f>
        <v/>
      </c>
      <c r="L199" s="148" cm="1">
        <f t="array" ref="L199">Common_InputFunctions.Utility_DisplayArrayInTable(Fertiliser_SourceData.Fertiliser_Products_Data4(),FertiliserProducts[[#Headers],[Company]], 91)</f>
        <v>15.7</v>
      </c>
      <c r="M199" s="148" t="str" cm="1">
        <f t="array" ref="M199">Common_InputFunctions.Utility_DisplayArrayInTable(Fertiliser_SourceData.Fertiliser_Products_Data4(),FertiliserProducts[[#Headers],[Company]], 91)</f>
        <v/>
      </c>
      <c r="N199" s="148" cm="1">
        <f t="array" ref="N199">Common_InputFunctions.Utility_DisplayArrayInTable(Fertiliser_SourceData.Fertiliser_Products_Data4(),FertiliserProducts[[#Headers],[Company]], 91)</f>
        <v>4.5999999999999996</v>
      </c>
      <c r="O199" s="148" t="str" cm="1">
        <f t="array" ref="O199">Common_InputFunctions.Utility_DisplayArrayInTable(Fertiliser_SourceData.Fertiliser_Products_Data4(),FertiliserProducts[[#Headers],[Company]], 91)</f>
        <v>Phosphorus - Generic</v>
      </c>
      <c r="P199" s="148" cm="1">
        <f t="array" ref="P199">Common_InputFunctions.Utility_DisplayArrayInTable(Fertiliser_SourceData.Fertiliser_Products_Data4(),FertiliserProducts[[#Headers],[Company]], 91)</f>
        <v>0.157</v>
      </c>
      <c r="Q199" s="148" t="str" cm="1">
        <f t="array" ref="Q199">Common_InputFunctions.Utility_DisplayArrayInTable(Fertiliser_SourceData.Fertiliser_Products_Data4(),FertiliserProducts[[#Headers],[Company]], 91)</f>
        <v>Sulfur - Generic</v>
      </c>
      <c r="R199" s="148" cm="1">
        <f t="array" ref="R199">Common_InputFunctions.Utility_DisplayArrayInTable(Fertiliser_SourceData.Fertiliser_Products_Data4(),FertiliserProducts[[#Headers],[Company]], 91)</f>
        <v>4.5999999999999999E-2</v>
      </c>
      <c r="S199" s="148" t="str" cm="1">
        <f t="array" ref="S199">Common_InputFunctions.Utility_DisplayArrayInTable(Fertiliser_SourceData.Fertiliser_Products_Data4(),FertiliserProducts[[#Headers],[Company]], 91)</f>
        <v>Calcium</v>
      </c>
      <c r="T199" s="148" cm="1">
        <f t="array" ref="T199">Common_InputFunctions.Utility_DisplayArrayInTable(Fertiliser_SourceData.Fertiliser_Products_Data4(),FertiliserProducts[[#Headers],[Company]], 91)</f>
        <v>0.14000000000000001</v>
      </c>
      <c r="U199" s="148" t="str" cm="1">
        <f t="array" ref="U199">Common_InputFunctions.Utility_DisplayArrayInTable(Fertiliser_SourceData.Fertiliser_Products_Data4(),FertiliserProducts[[#Headers],[Company]], 91)</f>
        <v/>
      </c>
      <c r="V199" s="148" t="str" cm="1">
        <f t="array" ref="V199">Common_InputFunctions.Utility_DisplayArrayInTable(Fertiliser_SourceData.Fertiliser_Products_Data4(),FertiliserProducts[[#Headers],[Company]], 91)</f>
        <v/>
      </c>
      <c r="W199" s="148" t="str" cm="1">
        <f t="array" ref="W199">Common_InputFunctions.Utility_DisplayArrayInTable(Fertiliser_SourceData.Fertiliser_Products_Data4(),FertiliserProducts[[#Headers],[Company]], 91)</f>
        <v/>
      </c>
      <c r="X199" s="148" t="str" cm="1">
        <f t="array" ref="X199">Common_InputFunctions.Utility_DisplayArrayInTable(Fertiliser_SourceData.Fertiliser_Products_Data4(),FertiliserProducts[[#Headers],[Company]], 91)</f>
        <v/>
      </c>
      <c r="Y199" s="148" t="str" cm="1">
        <f t="array" ref="Y199">Common_InputFunctions.Utility_DisplayArrayInTable(Fertiliser_SourceData.Fertiliser_Products_Data4(),FertiliserProducts[[#Headers],[Company]], 91)</f>
        <v/>
      </c>
      <c r="Z199" s="148" t="str" cm="1">
        <f t="array" ref="Z199">Common_InputFunctions.Utility_DisplayArrayInTable(Fertiliser_SourceData.Fertiliser_Products_Data4(),FertiliserProducts[[#Headers],[Company]], 91)</f>
        <v/>
      </c>
      <c r="AA199" s="148" t="str" cm="1">
        <f t="array" ref="AA199">Common_InputFunctions.Utility_DisplayArrayInTable(Fertiliser_SourceData.Fertiliser_Products_Data4(),FertiliserProducts[[#Headers],[Company]], 91)</f>
        <v/>
      </c>
      <c r="AB199" s="148" t="str" cm="1">
        <f t="array" ref="AB199">Common_InputFunctions.Utility_DisplayArrayInTable(Fertiliser_SourceData.Fertiliser_Products_Data4(),FertiliserProducts[[#Headers],[Company]], 91)</f>
        <v/>
      </c>
      <c r="AC199" s="148" t="str" cm="1">
        <f t="array" ref="AC199">Common_InputFunctions.Utility_DisplayArrayInTable(Fertiliser_SourceData.Fertiliser_Products_Data4(),FertiliserProducts[[#Headers],[Company]], 91)</f>
        <v/>
      </c>
      <c r="AD199" s="148" t="str" cm="1">
        <f t="array" ref="AD199">Common_InputFunctions.Utility_DisplayArrayInTable(Fertiliser_SourceData.Fertiliser_Products_Data4(),FertiliserProducts[[#Headers],[Company]], 91)</f>
        <v/>
      </c>
      <c r="AE199" s="148" t="str" cm="1">
        <f t="array" ref="AE199">Common_InputFunctions.Utility_DisplayArrayInTable(Fertiliser_SourceData.Fertiliser_Products_Data4(),FertiliserProducts[[#Headers],[Company]], 91)</f>
        <v/>
      </c>
      <c r="AF199" s="148" t="str" cm="1">
        <f t="array" ref="AF199">Common_InputFunctions.Utility_DisplayArrayInTable(Fertiliser_SourceData.Fertiliser_Products_Data4(),FertiliserProducts[[#Headers],[Company]], 91)</f>
        <v/>
      </c>
      <c r="AG199" s="148" t="str" cm="1">
        <f t="array" ref="AG199">Common_InputFunctions.Utility_DisplayArrayInTable(Fertiliser_SourceData.Fertiliser_Products_Data4(),FertiliserProducts[[#Headers],[Company]], 91)</f>
        <v/>
      </c>
      <c r="AH199" s="148" t="str" cm="1">
        <f t="array" ref="AH199">Common_InputFunctions.Utility_DisplayArrayInTable(Fertiliser_SourceData.Fertiliser_Products_Data4(),FertiliserProducts[[#Headers],[Company]], 91)</f>
        <v/>
      </c>
    </row>
    <row r="200" spans="4:34" ht="20.100000000000001" customHeight="1" x14ac:dyDescent="0.2">
      <c r="D200" s="148" t="str" cm="1">
        <f t="array" ref="D200">Common_InputFunctions.Utility_DisplayArrayInTable(Fertiliser_SourceData.Fertiliser_Products_Data4(),FertiliserProducts[[#Headers],[Company]], 91)</f>
        <v>Wengfu Australia</v>
      </c>
      <c r="E200" s="148" t="str" cm="1">
        <f t="array" ref="E200">Common_InputFunctions.Utility_DisplayArrayInTable(Fertiliser_SourceData.Fertiliser_Products_Data4(),FertiliserProducts[[#Headers],[Company]], 91)</f>
        <v>Wengfu SuStain</v>
      </c>
      <c r="F200" s="148" t="str" cm="1">
        <f t="array" ref="F200">Common_InputFunctions.Utility_DisplayArrayInTable(Fertiliser_SourceData.Fertiliser_Products_Data4(),FertiliserProducts[[#Headers],[Company]], 91)</f>
        <v>kg</v>
      </c>
      <c r="G200" s="148" cm="1">
        <f t="array" ref="G200">Common_InputFunctions.Utility_DisplayArrayInTable(Fertiliser_SourceData.Fertiliser_Products_Data4(),FertiliserProducts[[#Headers],[Company]], 91)</f>
        <v>1</v>
      </c>
      <c r="H200" s="148" t="str" cm="1">
        <f t="array" ref="H200">Common_InputFunctions.Utility_DisplayArrayInTable(Fertiliser_SourceData.Fertiliser_Products_Data4(),FertiliserProducts[[#Headers],[Company]], 91)</f>
        <v/>
      </c>
      <c r="I200" s="148" t="str" cm="1">
        <f t="array" ref="I200">Common_InputFunctions.Utility_DisplayArrayInTable(Fertiliser_SourceData.Fertiliser_Products_Data4(),FertiliserProducts[[#Headers],[Company]], 91)</f>
        <v/>
      </c>
      <c r="J200" s="148" t="str" cm="1">
        <f t="array" ref="J200">Common_InputFunctions.Utility_DisplayArrayInTable(Fertiliser_SourceData.Fertiliser_Products_Data4(),FertiliserProducts[[#Headers],[Company]], 91)</f>
        <v/>
      </c>
      <c r="K200" s="148" t="str" cm="1">
        <f t="array" ref="K200">Common_InputFunctions.Utility_DisplayArrayInTable(Fertiliser_SourceData.Fertiliser_Products_Data4(),FertiliserProducts[[#Headers],[Company]], 91)</f>
        <v/>
      </c>
      <c r="L200" s="148" t="str" cm="1">
        <f t="array" ref="L200">Common_InputFunctions.Utility_DisplayArrayInTable(Fertiliser_SourceData.Fertiliser_Products_Data4(),FertiliserProducts[[#Headers],[Company]], 91)</f>
        <v/>
      </c>
      <c r="M200" s="148" t="str" cm="1">
        <f t="array" ref="M200">Common_InputFunctions.Utility_DisplayArrayInTable(Fertiliser_SourceData.Fertiliser_Products_Data4(),FertiliserProducts[[#Headers],[Company]], 91)</f>
        <v/>
      </c>
      <c r="N200" s="148" cm="1">
        <f t="array" ref="N200">Common_InputFunctions.Utility_DisplayArrayInTable(Fertiliser_SourceData.Fertiliser_Products_Data4(),FertiliserProducts[[#Headers],[Company]], 91)</f>
        <v>90</v>
      </c>
      <c r="O200" s="148" t="str" cm="1">
        <f t="array" ref="O200">Common_InputFunctions.Utility_DisplayArrayInTable(Fertiliser_SourceData.Fertiliser_Products_Data4(),FertiliserProducts[[#Headers],[Company]], 91)</f>
        <v>Sulfur - Generic</v>
      </c>
      <c r="P200" s="148" cm="1">
        <f t="array" ref="P200">Common_InputFunctions.Utility_DisplayArrayInTable(Fertiliser_SourceData.Fertiliser_Products_Data4(),FertiliserProducts[[#Headers],[Company]], 91)</f>
        <v>0.9</v>
      </c>
      <c r="Q200" s="148" t="str" cm="1">
        <f t="array" ref="Q200">Common_InputFunctions.Utility_DisplayArrayInTable(Fertiliser_SourceData.Fertiliser_Products_Data4(),FertiliserProducts[[#Headers],[Company]], 91)</f>
        <v/>
      </c>
      <c r="R200" s="148" t="str" cm="1">
        <f t="array" ref="R200">Common_InputFunctions.Utility_DisplayArrayInTable(Fertiliser_SourceData.Fertiliser_Products_Data4(),FertiliserProducts[[#Headers],[Company]], 91)</f>
        <v/>
      </c>
      <c r="S200" s="148" t="str" cm="1">
        <f t="array" ref="S200">Common_InputFunctions.Utility_DisplayArrayInTable(Fertiliser_SourceData.Fertiliser_Products_Data4(),FertiliserProducts[[#Headers],[Company]], 91)</f>
        <v/>
      </c>
      <c r="T200" s="148" t="str" cm="1">
        <f t="array" ref="T200">Common_InputFunctions.Utility_DisplayArrayInTable(Fertiliser_SourceData.Fertiliser_Products_Data4(),FertiliserProducts[[#Headers],[Company]], 91)</f>
        <v/>
      </c>
      <c r="U200" s="148" t="str" cm="1">
        <f t="array" ref="U200">Common_InputFunctions.Utility_DisplayArrayInTable(Fertiliser_SourceData.Fertiliser_Products_Data4(),FertiliserProducts[[#Headers],[Company]], 91)</f>
        <v/>
      </c>
      <c r="V200" s="148" t="str" cm="1">
        <f t="array" ref="V200">Common_InputFunctions.Utility_DisplayArrayInTable(Fertiliser_SourceData.Fertiliser_Products_Data4(),FertiliserProducts[[#Headers],[Company]], 91)</f>
        <v/>
      </c>
      <c r="W200" s="148" t="str" cm="1">
        <f t="array" ref="W200">Common_InputFunctions.Utility_DisplayArrayInTable(Fertiliser_SourceData.Fertiliser_Products_Data4(),FertiliserProducts[[#Headers],[Company]], 91)</f>
        <v/>
      </c>
      <c r="X200" s="148" t="str" cm="1">
        <f t="array" ref="X200">Common_InputFunctions.Utility_DisplayArrayInTable(Fertiliser_SourceData.Fertiliser_Products_Data4(),FertiliserProducts[[#Headers],[Company]], 91)</f>
        <v/>
      </c>
      <c r="Y200" s="148" t="str" cm="1">
        <f t="array" ref="Y200">Common_InputFunctions.Utility_DisplayArrayInTable(Fertiliser_SourceData.Fertiliser_Products_Data4(),FertiliserProducts[[#Headers],[Company]], 91)</f>
        <v/>
      </c>
      <c r="Z200" s="148" t="str" cm="1">
        <f t="array" ref="Z200">Common_InputFunctions.Utility_DisplayArrayInTable(Fertiliser_SourceData.Fertiliser_Products_Data4(),FertiliserProducts[[#Headers],[Company]], 91)</f>
        <v/>
      </c>
      <c r="AA200" s="148" t="str" cm="1">
        <f t="array" ref="AA200">Common_InputFunctions.Utility_DisplayArrayInTable(Fertiliser_SourceData.Fertiliser_Products_Data4(),FertiliserProducts[[#Headers],[Company]], 91)</f>
        <v/>
      </c>
      <c r="AB200" s="148" t="str" cm="1">
        <f t="array" ref="AB200">Common_InputFunctions.Utility_DisplayArrayInTable(Fertiliser_SourceData.Fertiliser_Products_Data4(),FertiliserProducts[[#Headers],[Company]], 91)</f>
        <v/>
      </c>
      <c r="AC200" s="148" t="str" cm="1">
        <f t="array" ref="AC200">Common_InputFunctions.Utility_DisplayArrayInTable(Fertiliser_SourceData.Fertiliser_Products_Data4(),FertiliserProducts[[#Headers],[Company]], 91)</f>
        <v/>
      </c>
      <c r="AD200" s="148" t="str" cm="1">
        <f t="array" ref="AD200">Common_InputFunctions.Utility_DisplayArrayInTable(Fertiliser_SourceData.Fertiliser_Products_Data4(),FertiliserProducts[[#Headers],[Company]], 91)</f>
        <v/>
      </c>
      <c r="AE200" s="148" t="str" cm="1">
        <f t="array" ref="AE200">Common_InputFunctions.Utility_DisplayArrayInTable(Fertiliser_SourceData.Fertiliser_Products_Data4(),FertiliserProducts[[#Headers],[Company]], 91)</f>
        <v/>
      </c>
      <c r="AF200" s="148" t="str" cm="1">
        <f t="array" ref="AF200">Common_InputFunctions.Utility_DisplayArrayInTable(Fertiliser_SourceData.Fertiliser_Products_Data4(),FertiliserProducts[[#Headers],[Company]], 91)</f>
        <v/>
      </c>
      <c r="AG200" s="148" t="str" cm="1">
        <f t="array" ref="AG200">Common_InputFunctions.Utility_DisplayArrayInTable(Fertiliser_SourceData.Fertiliser_Products_Data4(),FertiliserProducts[[#Headers],[Company]], 91)</f>
        <v/>
      </c>
      <c r="AH200" s="148" t="str" cm="1">
        <f t="array" ref="AH200">Common_InputFunctions.Utility_DisplayArrayInTable(Fertiliser_SourceData.Fertiliser_Products_Data4(),FertiliserProducts[[#Headers],[Company]], 91)</f>
        <v/>
      </c>
    </row>
    <row r="201" spans="4:34" ht="20.100000000000001" customHeight="1" x14ac:dyDescent="0.2">
      <c r="D201" s="148" t="str" cm="1">
        <f t="array" ref="D201">Common_InputFunctions.Utility_DisplayArrayInTable(Fertiliser_SourceData.Fertiliser_Products_Data4(),FertiliserProducts[[#Headers],[Company]], 91)</f>
        <v>Wengfu Australia</v>
      </c>
      <c r="E201" s="148" t="str" cm="1">
        <f t="array" ref="E201">Common_InputFunctions.Utility_DisplayArrayInTable(Fertiliser_SourceData.Fertiliser_Products_Data4(),FertiliserProducts[[#Headers],[Company]], 91)</f>
        <v>Wengfu Slam</v>
      </c>
      <c r="F201" s="148" t="str" cm="1">
        <f t="array" ref="F201">Common_InputFunctions.Utility_DisplayArrayInTable(Fertiliser_SourceData.Fertiliser_Products_Data4(),FertiliserProducts[[#Headers],[Company]], 91)</f>
        <v>kg</v>
      </c>
      <c r="G201" s="148" cm="1">
        <f t="array" ref="G201">Common_InputFunctions.Utility_DisplayArrayInTable(Fertiliser_SourceData.Fertiliser_Products_Data4(),FertiliserProducts[[#Headers],[Company]], 91)</f>
        <v>1</v>
      </c>
      <c r="H201" s="148" t="str" cm="1">
        <f t="array" ref="H201">Common_InputFunctions.Utility_DisplayArrayInTable(Fertiliser_SourceData.Fertiliser_Products_Data4(),FertiliserProducts[[#Headers],[Company]], 91)</f>
        <v/>
      </c>
      <c r="I201" s="148" t="str" cm="1">
        <f t="array" ref="I201">Common_InputFunctions.Utility_DisplayArrayInTable(Fertiliser_SourceData.Fertiliser_Products_Data4(),FertiliserProducts[[#Headers],[Company]], 91)</f>
        <v/>
      </c>
      <c r="J201" s="148" t="str" cm="1">
        <f t="array" ref="J201">Common_InputFunctions.Utility_DisplayArrayInTable(Fertiliser_SourceData.Fertiliser_Products_Data4(),FertiliserProducts[[#Headers],[Company]], 91)</f>
        <v/>
      </c>
      <c r="K201" s="148" cm="1">
        <f t="array" ref="K201">Common_InputFunctions.Utility_DisplayArrayInTable(Fertiliser_SourceData.Fertiliser_Products_Data4(),FertiliserProducts[[#Headers],[Company]], 91)</f>
        <v>19.5</v>
      </c>
      <c r="L201" s="148" cm="1">
        <f t="array" ref="L201">Common_InputFunctions.Utility_DisplayArrayInTable(Fertiliser_SourceData.Fertiliser_Products_Data4(),FertiliserProducts[[#Headers],[Company]], 91)</f>
        <v>0.7</v>
      </c>
      <c r="M201" s="148" t="str" cm="1">
        <f t="array" ref="M201">Common_InputFunctions.Utility_DisplayArrayInTable(Fertiliser_SourceData.Fertiliser_Products_Data4(),FertiliserProducts[[#Headers],[Company]], 91)</f>
        <v/>
      </c>
      <c r="N201" s="148" cm="1">
        <f t="array" ref="N201">Common_InputFunctions.Utility_DisplayArrayInTable(Fertiliser_SourceData.Fertiliser_Products_Data4(),FertiliserProducts[[#Headers],[Company]], 91)</f>
        <v>23</v>
      </c>
      <c r="O201" s="148" t="str" cm="1">
        <f t="array" ref="O201">Common_InputFunctions.Utility_DisplayArrayInTable(Fertiliser_SourceData.Fertiliser_Products_Data4(),FertiliserProducts[[#Headers],[Company]], 91)</f>
        <v>Nitrogen - Generic</v>
      </c>
      <c r="P201" s="148" cm="1">
        <f t="array" ref="P201">Common_InputFunctions.Utility_DisplayArrayInTable(Fertiliser_SourceData.Fertiliser_Products_Data4(),FertiliserProducts[[#Headers],[Company]], 91)</f>
        <v>0.19500000000000001</v>
      </c>
      <c r="Q201" s="148" t="str" cm="1">
        <f t="array" ref="Q201">Common_InputFunctions.Utility_DisplayArrayInTable(Fertiliser_SourceData.Fertiliser_Products_Data4(),FertiliserProducts[[#Headers],[Company]], 91)</f>
        <v>Phosphorus - Generic</v>
      </c>
      <c r="R201" s="148" cm="1">
        <f t="array" ref="R201">Common_InputFunctions.Utility_DisplayArrayInTable(Fertiliser_SourceData.Fertiliser_Products_Data4(),FertiliserProducts[[#Headers],[Company]], 91)</f>
        <v>7.0000000000000001E-3</v>
      </c>
      <c r="S201" s="148" t="str" cm="1">
        <f t="array" ref="S201">Common_InputFunctions.Utility_DisplayArrayInTable(Fertiliser_SourceData.Fertiliser_Products_Data4(),FertiliserProducts[[#Headers],[Company]], 91)</f>
        <v>Sulfur - Generic</v>
      </c>
      <c r="T201" s="148" cm="1">
        <f t="array" ref="T201">Common_InputFunctions.Utility_DisplayArrayInTable(Fertiliser_SourceData.Fertiliser_Products_Data4(),FertiliserProducts[[#Headers],[Company]], 91)</f>
        <v>0.23</v>
      </c>
      <c r="U201" s="148" t="str" cm="1">
        <f t="array" ref="U201">Common_InputFunctions.Utility_DisplayArrayInTable(Fertiliser_SourceData.Fertiliser_Products_Data4(),FertiliserProducts[[#Headers],[Company]], 91)</f>
        <v/>
      </c>
      <c r="V201" s="148" t="str" cm="1">
        <f t="array" ref="V201">Common_InputFunctions.Utility_DisplayArrayInTable(Fertiliser_SourceData.Fertiliser_Products_Data4(),FertiliserProducts[[#Headers],[Company]], 91)</f>
        <v/>
      </c>
      <c r="W201" s="148" t="str" cm="1">
        <f t="array" ref="W201">Common_InputFunctions.Utility_DisplayArrayInTable(Fertiliser_SourceData.Fertiliser_Products_Data4(),FertiliserProducts[[#Headers],[Company]], 91)</f>
        <v/>
      </c>
      <c r="X201" s="148" t="str" cm="1">
        <f t="array" ref="X201">Common_InputFunctions.Utility_DisplayArrayInTable(Fertiliser_SourceData.Fertiliser_Products_Data4(),FertiliserProducts[[#Headers],[Company]], 91)</f>
        <v/>
      </c>
      <c r="Y201" s="148" t="str" cm="1">
        <f t="array" ref="Y201">Common_InputFunctions.Utility_DisplayArrayInTable(Fertiliser_SourceData.Fertiliser_Products_Data4(),FertiliserProducts[[#Headers],[Company]], 91)</f>
        <v/>
      </c>
      <c r="Z201" s="148" t="str" cm="1">
        <f t="array" ref="Z201">Common_InputFunctions.Utility_DisplayArrayInTable(Fertiliser_SourceData.Fertiliser_Products_Data4(),FertiliserProducts[[#Headers],[Company]], 91)</f>
        <v/>
      </c>
      <c r="AA201" s="148" t="str" cm="1">
        <f t="array" ref="AA201">Common_InputFunctions.Utility_DisplayArrayInTable(Fertiliser_SourceData.Fertiliser_Products_Data4(),FertiliserProducts[[#Headers],[Company]], 91)</f>
        <v/>
      </c>
      <c r="AB201" s="148" t="str" cm="1">
        <f t="array" ref="AB201">Common_InputFunctions.Utility_DisplayArrayInTable(Fertiliser_SourceData.Fertiliser_Products_Data4(),FertiliserProducts[[#Headers],[Company]], 91)</f>
        <v/>
      </c>
      <c r="AC201" s="148" t="str" cm="1">
        <f t="array" ref="AC201">Common_InputFunctions.Utility_DisplayArrayInTable(Fertiliser_SourceData.Fertiliser_Products_Data4(),FertiliserProducts[[#Headers],[Company]], 91)</f>
        <v/>
      </c>
      <c r="AD201" s="148" t="str" cm="1">
        <f t="array" ref="AD201">Common_InputFunctions.Utility_DisplayArrayInTable(Fertiliser_SourceData.Fertiliser_Products_Data4(),FertiliserProducts[[#Headers],[Company]], 91)</f>
        <v/>
      </c>
      <c r="AE201" s="148" t="str" cm="1">
        <f t="array" ref="AE201">Common_InputFunctions.Utility_DisplayArrayInTable(Fertiliser_SourceData.Fertiliser_Products_Data4(),FertiliserProducts[[#Headers],[Company]], 91)</f>
        <v/>
      </c>
      <c r="AF201" s="148" t="str" cm="1">
        <f t="array" ref="AF201">Common_InputFunctions.Utility_DisplayArrayInTable(Fertiliser_SourceData.Fertiliser_Products_Data4(),FertiliserProducts[[#Headers],[Company]], 91)</f>
        <v/>
      </c>
      <c r="AG201" s="148" t="str" cm="1">
        <f t="array" ref="AG201">Common_InputFunctions.Utility_DisplayArrayInTable(Fertiliser_SourceData.Fertiliser_Products_Data4(),FertiliserProducts[[#Headers],[Company]], 91)</f>
        <v/>
      </c>
      <c r="AH201" s="148" t="str" cm="1">
        <f t="array" ref="AH201">Common_InputFunctions.Utility_DisplayArrayInTable(Fertiliser_SourceData.Fertiliser_Products_Data4(),FertiliserProducts[[#Headers],[Company]], 91)</f>
        <v/>
      </c>
    </row>
    <row r="202" spans="4:34" ht="20.100000000000001" customHeight="1" x14ac:dyDescent="0.2">
      <c r="D202" s="148" t="str" cm="1">
        <f t="array" ref="D202">Common_InputFunctions.Utility_DisplayArrayInTable(Fertiliser_SourceData.Fertiliser_Products_Data4(),FertiliserProducts[[#Headers],[Company]], 91)</f>
        <v>Wengfu Australia</v>
      </c>
      <c r="E202" s="148" t="str" cm="1">
        <f t="array" ref="E202">Common_InputFunctions.Utility_DisplayArrayInTable(Fertiliser_SourceData.Fertiliser_Products_Data4(),FertiliserProducts[[#Headers],[Company]], 91)</f>
        <v>Wengfu Prime MSZ</v>
      </c>
      <c r="F202" s="148" t="str" cm="1">
        <f t="array" ref="F202">Common_InputFunctions.Utility_DisplayArrayInTable(Fertiliser_SourceData.Fertiliser_Products_Data4(),FertiliserProducts[[#Headers],[Company]], 91)</f>
        <v>kg</v>
      </c>
      <c r="G202" s="148" cm="1">
        <f t="array" ref="G202">Common_InputFunctions.Utility_DisplayArrayInTable(Fertiliser_SourceData.Fertiliser_Products_Data4(),FertiliserProducts[[#Headers],[Company]], 91)</f>
        <v>1</v>
      </c>
      <c r="H202" s="148" t="str" cm="1">
        <f t="array" ref="H202">Common_InputFunctions.Utility_DisplayArrayInTable(Fertiliser_SourceData.Fertiliser_Products_Data4(),FertiliserProducts[[#Headers],[Company]], 91)</f>
        <v/>
      </c>
      <c r="I202" s="148" t="str" cm="1">
        <f t="array" ref="I202">Common_InputFunctions.Utility_DisplayArrayInTable(Fertiliser_SourceData.Fertiliser_Products_Data4(),FertiliserProducts[[#Headers],[Company]], 91)</f>
        <v/>
      </c>
      <c r="J202" s="148" t="str" cm="1">
        <f t="array" ref="J202">Common_InputFunctions.Utility_DisplayArrayInTable(Fertiliser_SourceData.Fertiliser_Products_Data4(),FertiliserProducts[[#Headers],[Company]], 91)</f>
        <v/>
      </c>
      <c r="K202" s="148" cm="1">
        <f t="array" ref="K202">Common_InputFunctions.Utility_DisplayArrayInTable(Fertiliser_SourceData.Fertiliser_Products_Data4(),FertiliserProducts[[#Headers],[Company]], 91)</f>
        <v>10</v>
      </c>
      <c r="L202" s="148" cm="1">
        <f t="array" ref="L202">Common_InputFunctions.Utility_DisplayArrayInTable(Fertiliser_SourceData.Fertiliser_Products_Data4(),FertiliserProducts[[#Headers],[Company]], 91)</f>
        <v>18</v>
      </c>
      <c r="M202" s="148" t="str" cm="1">
        <f t="array" ref="M202">Common_InputFunctions.Utility_DisplayArrayInTable(Fertiliser_SourceData.Fertiliser_Products_Data4(),FertiliserProducts[[#Headers],[Company]], 91)</f>
        <v/>
      </c>
      <c r="N202" s="148" cm="1">
        <f t="array" ref="N202">Common_InputFunctions.Utility_DisplayArrayInTable(Fertiliser_SourceData.Fertiliser_Products_Data4(),FertiliserProducts[[#Headers],[Company]], 91)</f>
        <v>8</v>
      </c>
      <c r="O202" s="148" t="str" cm="1">
        <f t="array" ref="O202">Common_InputFunctions.Utility_DisplayArrayInTable(Fertiliser_SourceData.Fertiliser_Products_Data4(),FertiliserProducts[[#Headers],[Company]], 91)</f>
        <v>Nitrogen - Generic</v>
      </c>
      <c r="P202" s="148" cm="1">
        <f t="array" ref="P202">Common_InputFunctions.Utility_DisplayArrayInTable(Fertiliser_SourceData.Fertiliser_Products_Data4(),FertiliserProducts[[#Headers],[Company]], 91)</f>
        <v>0.1</v>
      </c>
      <c r="Q202" s="148" t="str" cm="1">
        <f t="array" ref="Q202">Common_InputFunctions.Utility_DisplayArrayInTable(Fertiliser_SourceData.Fertiliser_Products_Data4(),FertiliserProducts[[#Headers],[Company]], 91)</f>
        <v>Phosphorus - Generic</v>
      </c>
      <c r="R202" s="148" cm="1">
        <f t="array" ref="R202">Common_InputFunctions.Utility_DisplayArrayInTable(Fertiliser_SourceData.Fertiliser_Products_Data4(),FertiliserProducts[[#Headers],[Company]], 91)</f>
        <v>0.18</v>
      </c>
      <c r="S202" s="148" t="str" cm="1">
        <f t="array" ref="S202">Common_InputFunctions.Utility_DisplayArrayInTable(Fertiliser_SourceData.Fertiliser_Products_Data4(),FertiliserProducts[[#Headers],[Company]], 91)</f>
        <v>Sulfur - Generic</v>
      </c>
      <c r="T202" s="148" cm="1">
        <f t="array" ref="T202">Common_InputFunctions.Utility_DisplayArrayInTable(Fertiliser_SourceData.Fertiliser_Products_Data4(),FertiliserProducts[[#Headers],[Company]], 91)</f>
        <v>0.08</v>
      </c>
      <c r="U202" s="148" t="str" cm="1">
        <f t="array" ref="U202">Common_InputFunctions.Utility_DisplayArrayInTable(Fertiliser_SourceData.Fertiliser_Products_Data4(),FertiliserProducts[[#Headers],[Company]], 91)</f>
        <v>Zinc</v>
      </c>
      <c r="V202" s="148" cm="1">
        <f t="array" ref="V202">Common_InputFunctions.Utility_DisplayArrayInTable(Fertiliser_SourceData.Fertiliser_Products_Data4(),FertiliserProducts[[#Headers],[Company]], 91)</f>
        <v>5.0000000000000001E-3</v>
      </c>
      <c r="W202" s="148" t="str" cm="1">
        <f t="array" ref="W202">Common_InputFunctions.Utility_DisplayArrayInTable(Fertiliser_SourceData.Fertiliser_Products_Data4(),FertiliserProducts[[#Headers],[Company]], 91)</f>
        <v/>
      </c>
      <c r="X202" s="148" t="str" cm="1">
        <f t="array" ref="X202">Common_InputFunctions.Utility_DisplayArrayInTable(Fertiliser_SourceData.Fertiliser_Products_Data4(),FertiliserProducts[[#Headers],[Company]], 91)</f>
        <v/>
      </c>
      <c r="Y202" s="148" t="str" cm="1">
        <f t="array" ref="Y202">Common_InputFunctions.Utility_DisplayArrayInTable(Fertiliser_SourceData.Fertiliser_Products_Data4(),FertiliserProducts[[#Headers],[Company]], 91)</f>
        <v/>
      </c>
      <c r="Z202" s="148" t="str" cm="1">
        <f t="array" ref="Z202">Common_InputFunctions.Utility_DisplayArrayInTable(Fertiliser_SourceData.Fertiliser_Products_Data4(),FertiliserProducts[[#Headers],[Company]], 91)</f>
        <v/>
      </c>
      <c r="AA202" s="148" t="str" cm="1">
        <f t="array" ref="AA202">Common_InputFunctions.Utility_DisplayArrayInTable(Fertiliser_SourceData.Fertiliser_Products_Data4(),FertiliserProducts[[#Headers],[Company]], 91)</f>
        <v/>
      </c>
      <c r="AB202" s="148" t="str" cm="1">
        <f t="array" ref="AB202">Common_InputFunctions.Utility_DisplayArrayInTable(Fertiliser_SourceData.Fertiliser_Products_Data4(),FertiliserProducts[[#Headers],[Company]], 91)</f>
        <v/>
      </c>
      <c r="AC202" s="148" t="str" cm="1">
        <f t="array" ref="AC202">Common_InputFunctions.Utility_DisplayArrayInTable(Fertiliser_SourceData.Fertiliser_Products_Data4(),FertiliserProducts[[#Headers],[Company]], 91)</f>
        <v/>
      </c>
      <c r="AD202" s="148" t="str" cm="1">
        <f t="array" ref="AD202">Common_InputFunctions.Utility_DisplayArrayInTable(Fertiliser_SourceData.Fertiliser_Products_Data4(),FertiliserProducts[[#Headers],[Company]], 91)</f>
        <v/>
      </c>
      <c r="AE202" s="148" t="str" cm="1">
        <f t="array" ref="AE202">Common_InputFunctions.Utility_DisplayArrayInTable(Fertiliser_SourceData.Fertiliser_Products_Data4(),FertiliserProducts[[#Headers],[Company]], 91)</f>
        <v/>
      </c>
      <c r="AF202" s="148" t="str" cm="1">
        <f t="array" ref="AF202">Common_InputFunctions.Utility_DisplayArrayInTable(Fertiliser_SourceData.Fertiliser_Products_Data4(),FertiliserProducts[[#Headers],[Company]], 91)</f>
        <v/>
      </c>
      <c r="AG202" s="148" t="str" cm="1">
        <f t="array" ref="AG202">Common_InputFunctions.Utility_DisplayArrayInTable(Fertiliser_SourceData.Fertiliser_Products_Data4(),FertiliserProducts[[#Headers],[Company]], 91)</f>
        <v/>
      </c>
      <c r="AH202" s="148" t="str" cm="1">
        <f t="array" ref="AH202">Common_InputFunctions.Utility_DisplayArrayInTable(Fertiliser_SourceData.Fertiliser_Products_Data4(),FertiliserProducts[[#Headers],[Company]], 91)</f>
        <v/>
      </c>
    </row>
    <row r="203" spans="4:34" ht="20.100000000000001" customHeight="1" x14ac:dyDescent="0.2">
      <c r="D203" s="148" t="str" cm="1">
        <f t="array" ref="D203">Common_InputFunctions.Utility_DisplayArrayInTable(Fertiliser_SourceData.Fertiliser_Products_Data4(),FertiliserProducts[[#Headers],[Company]], 91)</f>
        <v>Wengfu Australia</v>
      </c>
      <c r="E203" s="148" t="str" cm="1">
        <f t="array" ref="E203">Common_InputFunctions.Utility_DisplayArrayInTable(Fertiliser_SourceData.Fertiliser_Products_Data4(),FertiliserProducts[[#Headers],[Company]], 91)</f>
        <v>Wengfu 9-20-0-10 MAP SuStain</v>
      </c>
      <c r="F203" s="148" t="str" cm="1">
        <f t="array" ref="F203">Common_InputFunctions.Utility_DisplayArrayInTable(Fertiliser_SourceData.Fertiliser_Products_Data4(),FertiliserProducts[[#Headers],[Company]], 91)</f>
        <v>kg</v>
      </c>
      <c r="G203" s="148" cm="1">
        <f t="array" ref="G203">Common_InputFunctions.Utility_DisplayArrayInTable(Fertiliser_SourceData.Fertiliser_Products_Data4(),FertiliserProducts[[#Headers],[Company]], 91)</f>
        <v>1</v>
      </c>
      <c r="H203" s="148" t="str" cm="1">
        <f t="array" ref="H203">Common_InputFunctions.Utility_DisplayArrayInTable(Fertiliser_SourceData.Fertiliser_Products_Data4(),FertiliserProducts[[#Headers],[Company]], 91)</f>
        <v/>
      </c>
      <c r="I203" s="148" t="str" cm="1">
        <f t="array" ref="I203">Common_InputFunctions.Utility_DisplayArrayInTable(Fertiliser_SourceData.Fertiliser_Products_Data4(),FertiliserProducts[[#Headers],[Company]], 91)</f>
        <v/>
      </c>
      <c r="J203" s="148" t="str" cm="1">
        <f t="array" ref="J203">Common_InputFunctions.Utility_DisplayArrayInTable(Fertiliser_SourceData.Fertiliser_Products_Data4(),FertiliserProducts[[#Headers],[Company]], 91)</f>
        <v/>
      </c>
      <c r="K203" s="148" cm="1">
        <f t="array" ref="K203">Common_InputFunctions.Utility_DisplayArrayInTable(Fertiliser_SourceData.Fertiliser_Products_Data4(),FertiliserProducts[[#Headers],[Company]], 91)</f>
        <v>9</v>
      </c>
      <c r="L203" s="148" cm="1">
        <f t="array" ref="L203">Common_InputFunctions.Utility_DisplayArrayInTable(Fertiliser_SourceData.Fertiliser_Products_Data4(),FertiliserProducts[[#Headers],[Company]], 91)</f>
        <v>19.8</v>
      </c>
      <c r="M203" s="148" cm="1">
        <f t="array" ref="M203">Common_InputFunctions.Utility_DisplayArrayInTable(Fertiliser_SourceData.Fertiliser_Products_Data4(),FertiliserProducts[[#Headers],[Company]], 91)</f>
        <v>0</v>
      </c>
      <c r="N203" s="148" cm="1">
        <f t="array" ref="N203">Common_InputFunctions.Utility_DisplayArrayInTable(Fertiliser_SourceData.Fertiliser_Products_Data4(),FertiliserProducts[[#Headers],[Company]], 91)</f>
        <v>10.4</v>
      </c>
      <c r="O203" s="148" t="str" cm="1">
        <f t="array" ref="O203">Common_InputFunctions.Utility_DisplayArrayInTable(Fertiliser_SourceData.Fertiliser_Products_Data4(),FertiliserProducts[[#Headers],[Company]], 91)</f>
        <v>Nitrogen - Generic</v>
      </c>
      <c r="P203" s="148" cm="1">
        <f t="array" ref="P203">Common_InputFunctions.Utility_DisplayArrayInTable(Fertiliser_SourceData.Fertiliser_Products_Data4(),FertiliserProducts[[#Headers],[Company]], 91)</f>
        <v>0.09</v>
      </c>
      <c r="Q203" s="148" t="str" cm="1">
        <f t="array" ref="Q203">Common_InputFunctions.Utility_DisplayArrayInTable(Fertiliser_SourceData.Fertiliser_Products_Data4(),FertiliserProducts[[#Headers],[Company]], 91)</f>
        <v>Phosphorus - Generic</v>
      </c>
      <c r="R203" s="148" cm="1">
        <f t="array" ref="R203">Common_InputFunctions.Utility_DisplayArrayInTable(Fertiliser_SourceData.Fertiliser_Products_Data4(),FertiliserProducts[[#Headers],[Company]], 91)</f>
        <v>0.19800000000000001</v>
      </c>
      <c r="S203" s="148" t="str" cm="1">
        <f t="array" ref="S203">Common_InputFunctions.Utility_DisplayArrayInTable(Fertiliser_SourceData.Fertiliser_Products_Data4(),FertiliserProducts[[#Headers],[Company]], 91)</f>
        <v>Sulfur - Generic</v>
      </c>
      <c r="T203" s="148" cm="1">
        <f t="array" ref="T203">Common_InputFunctions.Utility_DisplayArrayInTable(Fertiliser_SourceData.Fertiliser_Products_Data4(),FertiliserProducts[[#Headers],[Company]], 91)</f>
        <v>0.104</v>
      </c>
      <c r="U203" s="148" t="str" cm="1">
        <f t="array" ref="U203">Common_InputFunctions.Utility_DisplayArrayInTable(Fertiliser_SourceData.Fertiliser_Products_Data4(),FertiliserProducts[[#Headers],[Company]], 91)</f>
        <v/>
      </c>
      <c r="V203" s="148" t="str" cm="1">
        <f t="array" ref="V203">Common_InputFunctions.Utility_DisplayArrayInTable(Fertiliser_SourceData.Fertiliser_Products_Data4(),FertiliserProducts[[#Headers],[Company]], 91)</f>
        <v/>
      </c>
      <c r="W203" s="148" t="str" cm="1">
        <f t="array" ref="W203">Common_InputFunctions.Utility_DisplayArrayInTable(Fertiliser_SourceData.Fertiliser_Products_Data4(),FertiliserProducts[[#Headers],[Company]], 91)</f>
        <v/>
      </c>
      <c r="X203" s="148" t="str" cm="1">
        <f t="array" ref="X203">Common_InputFunctions.Utility_DisplayArrayInTable(Fertiliser_SourceData.Fertiliser_Products_Data4(),FertiliserProducts[[#Headers],[Company]], 91)</f>
        <v/>
      </c>
      <c r="Y203" s="148" t="str" cm="1">
        <f t="array" ref="Y203">Common_InputFunctions.Utility_DisplayArrayInTable(Fertiliser_SourceData.Fertiliser_Products_Data4(),FertiliserProducts[[#Headers],[Company]], 91)</f>
        <v/>
      </c>
      <c r="Z203" s="148" t="str" cm="1">
        <f t="array" ref="Z203">Common_InputFunctions.Utility_DisplayArrayInTable(Fertiliser_SourceData.Fertiliser_Products_Data4(),FertiliserProducts[[#Headers],[Company]], 91)</f>
        <v/>
      </c>
      <c r="AA203" s="148" t="str" cm="1">
        <f t="array" ref="AA203">Common_InputFunctions.Utility_DisplayArrayInTable(Fertiliser_SourceData.Fertiliser_Products_Data4(),FertiliserProducts[[#Headers],[Company]], 91)</f>
        <v/>
      </c>
      <c r="AB203" s="148" t="str" cm="1">
        <f t="array" ref="AB203">Common_InputFunctions.Utility_DisplayArrayInTable(Fertiliser_SourceData.Fertiliser_Products_Data4(),FertiliserProducts[[#Headers],[Company]], 91)</f>
        <v/>
      </c>
      <c r="AC203" s="148" t="str" cm="1">
        <f t="array" ref="AC203">Common_InputFunctions.Utility_DisplayArrayInTable(Fertiliser_SourceData.Fertiliser_Products_Data4(),FertiliserProducts[[#Headers],[Company]], 91)</f>
        <v/>
      </c>
      <c r="AD203" s="148" t="str" cm="1">
        <f t="array" ref="AD203">Common_InputFunctions.Utility_DisplayArrayInTable(Fertiliser_SourceData.Fertiliser_Products_Data4(),FertiliserProducts[[#Headers],[Company]], 91)</f>
        <v/>
      </c>
      <c r="AE203" s="148" t="str" cm="1">
        <f t="array" ref="AE203">Common_InputFunctions.Utility_DisplayArrayInTable(Fertiliser_SourceData.Fertiliser_Products_Data4(),FertiliserProducts[[#Headers],[Company]], 91)</f>
        <v/>
      </c>
      <c r="AF203" s="148" t="str" cm="1">
        <f t="array" ref="AF203">Common_InputFunctions.Utility_DisplayArrayInTable(Fertiliser_SourceData.Fertiliser_Products_Data4(),FertiliserProducts[[#Headers],[Company]], 91)</f>
        <v/>
      </c>
      <c r="AG203" s="148" t="str" cm="1">
        <f t="array" ref="AG203">Common_InputFunctions.Utility_DisplayArrayInTable(Fertiliser_SourceData.Fertiliser_Products_Data4(),FertiliserProducts[[#Headers],[Company]], 91)</f>
        <v/>
      </c>
      <c r="AH203" s="148" t="str" cm="1">
        <f t="array" ref="AH203">Common_InputFunctions.Utility_DisplayArrayInTable(Fertiliser_SourceData.Fertiliser_Products_Data4(),FertiliserProducts[[#Headers],[Company]], 91)</f>
        <v/>
      </c>
    </row>
    <row r="204" spans="4:34" ht="20.100000000000001" customHeight="1" x14ac:dyDescent="0.2">
      <c r="D204" s="148" t="str" cm="1">
        <f t="array" ref="D204">Common_InputFunctions.Utility_DisplayArrayInTable(Fertiliser_SourceData.Fertiliser_Products_Data4(),FertiliserProducts[[#Headers],[Company]], 91)</f>
        <v>Wengfu Australia</v>
      </c>
      <c r="E204" s="148" t="str" cm="1">
        <f t="array" ref="E204">Common_InputFunctions.Utility_DisplayArrayInTable(Fertiliser_SourceData.Fertiliser_Products_Data4(),FertiliserProducts[[#Headers],[Company]], 91)</f>
        <v>Wengfu 15-17-0-15 DAP SuStain</v>
      </c>
      <c r="F204" s="148" t="str" cm="1">
        <f t="array" ref="F204">Common_InputFunctions.Utility_DisplayArrayInTable(Fertiliser_SourceData.Fertiliser_Products_Data4(),FertiliserProducts[[#Headers],[Company]], 91)</f>
        <v>kg</v>
      </c>
      <c r="G204" s="148" cm="1">
        <f t="array" ref="G204">Common_InputFunctions.Utility_DisplayArrayInTable(Fertiliser_SourceData.Fertiliser_Products_Data4(),FertiliserProducts[[#Headers],[Company]], 91)</f>
        <v>1</v>
      </c>
      <c r="H204" s="148" t="str" cm="1">
        <f t="array" ref="H204">Common_InputFunctions.Utility_DisplayArrayInTable(Fertiliser_SourceData.Fertiliser_Products_Data4(),FertiliserProducts[[#Headers],[Company]], 91)</f>
        <v/>
      </c>
      <c r="I204" s="148" t="str" cm="1">
        <f t="array" ref="I204">Common_InputFunctions.Utility_DisplayArrayInTable(Fertiliser_SourceData.Fertiliser_Products_Data4(),FertiliserProducts[[#Headers],[Company]], 91)</f>
        <v/>
      </c>
      <c r="J204" s="148" t="str" cm="1">
        <f t="array" ref="J204">Common_InputFunctions.Utility_DisplayArrayInTable(Fertiliser_SourceData.Fertiliser_Products_Data4(),FertiliserProducts[[#Headers],[Company]], 91)</f>
        <v/>
      </c>
      <c r="K204" s="148" cm="1">
        <f t="array" ref="K204">Common_InputFunctions.Utility_DisplayArrayInTable(Fertiliser_SourceData.Fertiliser_Products_Data4(),FertiliserProducts[[#Headers],[Company]], 91)</f>
        <v>15.2</v>
      </c>
      <c r="L204" s="148" cm="1">
        <f t="array" ref="L204">Common_InputFunctions.Utility_DisplayArrayInTable(Fertiliser_SourceData.Fertiliser_Products_Data4(),FertiliserProducts[[#Headers],[Company]], 91)</f>
        <v>16.899999999999999</v>
      </c>
      <c r="M204" s="148" cm="1">
        <f t="array" ref="M204">Common_InputFunctions.Utility_DisplayArrayInTable(Fertiliser_SourceData.Fertiliser_Products_Data4(),FertiliserProducts[[#Headers],[Company]], 91)</f>
        <v>0</v>
      </c>
      <c r="N204" s="148" cm="1">
        <f t="array" ref="N204">Common_InputFunctions.Utility_DisplayArrayInTable(Fertiliser_SourceData.Fertiliser_Products_Data4(),FertiliserProducts[[#Headers],[Company]], 91)</f>
        <v>15.2</v>
      </c>
      <c r="O204" s="148" t="str" cm="1">
        <f t="array" ref="O204">Common_InputFunctions.Utility_DisplayArrayInTable(Fertiliser_SourceData.Fertiliser_Products_Data4(),FertiliserProducts[[#Headers],[Company]], 91)</f>
        <v>Nitrogen - Generic</v>
      </c>
      <c r="P204" s="148" cm="1">
        <f t="array" ref="P204">Common_InputFunctions.Utility_DisplayArrayInTable(Fertiliser_SourceData.Fertiliser_Products_Data4(),FertiliserProducts[[#Headers],[Company]], 91)</f>
        <v>0.152</v>
      </c>
      <c r="Q204" s="148" t="str" cm="1">
        <f t="array" ref="Q204">Common_InputFunctions.Utility_DisplayArrayInTable(Fertiliser_SourceData.Fertiliser_Products_Data4(),FertiliserProducts[[#Headers],[Company]], 91)</f>
        <v>Phosphorus - Generic</v>
      </c>
      <c r="R204" s="148" cm="1">
        <f t="array" ref="R204">Common_InputFunctions.Utility_DisplayArrayInTable(Fertiliser_SourceData.Fertiliser_Products_Data4(),FertiliserProducts[[#Headers],[Company]], 91)</f>
        <v>0.16900000000000001</v>
      </c>
      <c r="S204" s="148" t="str" cm="1">
        <f t="array" ref="S204">Common_InputFunctions.Utility_DisplayArrayInTable(Fertiliser_SourceData.Fertiliser_Products_Data4(),FertiliserProducts[[#Headers],[Company]], 91)</f>
        <v>Sulfur - Generic</v>
      </c>
      <c r="T204" s="148" cm="1">
        <f t="array" ref="T204">Common_InputFunctions.Utility_DisplayArrayInTable(Fertiliser_SourceData.Fertiliser_Products_Data4(),FertiliserProducts[[#Headers],[Company]], 91)</f>
        <v>0.152</v>
      </c>
      <c r="U204" s="148" t="str" cm="1">
        <f t="array" ref="U204">Common_InputFunctions.Utility_DisplayArrayInTable(Fertiliser_SourceData.Fertiliser_Products_Data4(),FertiliserProducts[[#Headers],[Company]], 91)</f>
        <v/>
      </c>
      <c r="V204" s="148" t="str" cm="1">
        <f t="array" ref="V204">Common_InputFunctions.Utility_DisplayArrayInTable(Fertiliser_SourceData.Fertiliser_Products_Data4(),FertiliserProducts[[#Headers],[Company]], 91)</f>
        <v/>
      </c>
      <c r="W204" s="148" t="str" cm="1">
        <f t="array" ref="W204">Common_InputFunctions.Utility_DisplayArrayInTable(Fertiliser_SourceData.Fertiliser_Products_Data4(),FertiliserProducts[[#Headers],[Company]], 91)</f>
        <v/>
      </c>
      <c r="X204" s="148" t="str" cm="1">
        <f t="array" ref="X204">Common_InputFunctions.Utility_DisplayArrayInTable(Fertiliser_SourceData.Fertiliser_Products_Data4(),FertiliserProducts[[#Headers],[Company]], 91)</f>
        <v/>
      </c>
      <c r="Y204" s="148" t="str" cm="1">
        <f t="array" ref="Y204">Common_InputFunctions.Utility_DisplayArrayInTable(Fertiliser_SourceData.Fertiliser_Products_Data4(),FertiliserProducts[[#Headers],[Company]], 91)</f>
        <v/>
      </c>
      <c r="Z204" s="148" t="str" cm="1">
        <f t="array" ref="Z204">Common_InputFunctions.Utility_DisplayArrayInTable(Fertiliser_SourceData.Fertiliser_Products_Data4(),FertiliserProducts[[#Headers],[Company]], 91)</f>
        <v/>
      </c>
      <c r="AA204" s="148" t="str" cm="1">
        <f t="array" ref="AA204">Common_InputFunctions.Utility_DisplayArrayInTable(Fertiliser_SourceData.Fertiliser_Products_Data4(),FertiliserProducts[[#Headers],[Company]], 91)</f>
        <v/>
      </c>
      <c r="AB204" s="148" t="str" cm="1">
        <f t="array" ref="AB204">Common_InputFunctions.Utility_DisplayArrayInTable(Fertiliser_SourceData.Fertiliser_Products_Data4(),FertiliserProducts[[#Headers],[Company]], 91)</f>
        <v/>
      </c>
      <c r="AC204" s="148" t="str" cm="1">
        <f t="array" ref="AC204">Common_InputFunctions.Utility_DisplayArrayInTable(Fertiliser_SourceData.Fertiliser_Products_Data4(),FertiliserProducts[[#Headers],[Company]], 91)</f>
        <v/>
      </c>
      <c r="AD204" s="148" t="str" cm="1">
        <f t="array" ref="AD204">Common_InputFunctions.Utility_DisplayArrayInTable(Fertiliser_SourceData.Fertiliser_Products_Data4(),FertiliserProducts[[#Headers],[Company]], 91)</f>
        <v/>
      </c>
      <c r="AE204" s="148" t="str" cm="1">
        <f t="array" ref="AE204">Common_InputFunctions.Utility_DisplayArrayInTable(Fertiliser_SourceData.Fertiliser_Products_Data4(),FertiliserProducts[[#Headers],[Company]], 91)</f>
        <v/>
      </c>
      <c r="AF204" s="148" t="str" cm="1">
        <f t="array" ref="AF204">Common_InputFunctions.Utility_DisplayArrayInTable(Fertiliser_SourceData.Fertiliser_Products_Data4(),FertiliserProducts[[#Headers],[Company]], 91)</f>
        <v/>
      </c>
      <c r="AG204" s="148" t="str" cm="1">
        <f t="array" ref="AG204">Common_InputFunctions.Utility_DisplayArrayInTable(Fertiliser_SourceData.Fertiliser_Products_Data4(),FertiliserProducts[[#Headers],[Company]], 91)</f>
        <v/>
      </c>
      <c r="AH204" s="148" t="str" cm="1">
        <f t="array" ref="AH204">Common_InputFunctions.Utility_DisplayArrayInTable(Fertiliser_SourceData.Fertiliser_Products_Data4(),FertiliserProducts[[#Headers],[Company]], 91)</f>
        <v/>
      </c>
    </row>
    <row r="205" spans="4:34" ht="20.100000000000001" customHeight="1" x14ac:dyDescent="0.2">
      <c r="D205" s="148" t="str" cm="1">
        <f t="array" ref="D205">Common_InputFunctions.Utility_DisplayArrayInTable(Fertiliser_SourceData.Fertiliser_Products_Data4(),FertiliserProducts[[#Headers],[Company]], 91)</f>
        <v>Wengfu Australia</v>
      </c>
      <c r="E205" s="148" t="str" cm="1">
        <f t="array" ref="E205">Common_InputFunctions.Utility_DisplayArrayInTable(Fertiliser_SourceData.Fertiliser_Products_Data4(),FertiliserProducts[[#Headers],[Company]], 91)</f>
        <v>Wengfu 16-18-0-10 DAP SuStain</v>
      </c>
      <c r="F205" s="148" t="str" cm="1">
        <f t="array" ref="F205">Common_InputFunctions.Utility_DisplayArrayInTable(Fertiliser_SourceData.Fertiliser_Products_Data4(),FertiliserProducts[[#Headers],[Company]], 91)</f>
        <v>kg</v>
      </c>
      <c r="G205" s="148" cm="1">
        <f t="array" ref="G205">Common_InputFunctions.Utility_DisplayArrayInTable(Fertiliser_SourceData.Fertiliser_Products_Data4(),FertiliserProducts[[#Headers],[Company]], 91)</f>
        <v>1</v>
      </c>
      <c r="H205" s="148" t="str" cm="1">
        <f t="array" ref="H205">Common_InputFunctions.Utility_DisplayArrayInTable(Fertiliser_SourceData.Fertiliser_Products_Data4(),FertiliserProducts[[#Headers],[Company]], 91)</f>
        <v/>
      </c>
      <c r="I205" s="148" t="str" cm="1">
        <f t="array" ref="I205">Common_InputFunctions.Utility_DisplayArrayInTable(Fertiliser_SourceData.Fertiliser_Products_Data4(),FertiliserProducts[[#Headers],[Company]], 91)</f>
        <v/>
      </c>
      <c r="J205" s="148" t="str" cm="1">
        <f t="array" ref="J205">Common_InputFunctions.Utility_DisplayArrayInTable(Fertiliser_SourceData.Fertiliser_Products_Data4(),FertiliserProducts[[#Headers],[Company]], 91)</f>
        <v/>
      </c>
      <c r="K205" s="148" cm="1">
        <f t="array" ref="K205">Common_InputFunctions.Utility_DisplayArrayInTable(Fertiliser_SourceData.Fertiliser_Products_Data4(),FertiliserProducts[[#Headers],[Company]], 91)</f>
        <v>16.2</v>
      </c>
      <c r="L205" s="148" cm="1">
        <f t="array" ref="L205">Common_InputFunctions.Utility_DisplayArrayInTable(Fertiliser_SourceData.Fertiliser_Products_Data4(),FertiliserProducts[[#Headers],[Company]], 91)</f>
        <v>18</v>
      </c>
      <c r="M205" s="148" cm="1">
        <f t="array" ref="M205">Common_InputFunctions.Utility_DisplayArrayInTable(Fertiliser_SourceData.Fertiliser_Products_Data4(),FertiliserProducts[[#Headers],[Company]], 91)</f>
        <v>0</v>
      </c>
      <c r="N205" s="148" cm="1">
        <f t="array" ref="N205">Common_InputFunctions.Utility_DisplayArrayInTable(Fertiliser_SourceData.Fertiliser_Products_Data4(),FertiliserProducts[[#Headers],[Company]], 91)</f>
        <v>10.4</v>
      </c>
      <c r="O205" s="148" t="str" cm="1">
        <f t="array" ref="O205">Common_InputFunctions.Utility_DisplayArrayInTable(Fertiliser_SourceData.Fertiliser_Products_Data4(),FertiliserProducts[[#Headers],[Company]], 91)</f>
        <v>Nitrogen - Generic</v>
      </c>
      <c r="P205" s="148" cm="1">
        <f t="array" ref="P205">Common_InputFunctions.Utility_DisplayArrayInTable(Fertiliser_SourceData.Fertiliser_Products_Data4(),FertiliserProducts[[#Headers],[Company]], 91)</f>
        <v>0.16200000000000001</v>
      </c>
      <c r="Q205" s="148" t="str" cm="1">
        <f t="array" ref="Q205">Common_InputFunctions.Utility_DisplayArrayInTable(Fertiliser_SourceData.Fertiliser_Products_Data4(),FertiliserProducts[[#Headers],[Company]], 91)</f>
        <v>Phosphorus - Generic</v>
      </c>
      <c r="R205" s="148" cm="1">
        <f t="array" ref="R205">Common_InputFunctions.Utility_DisplayArrayInTable(Fertiliser_SourceData.Fertiliser_Products_Data4(),FertiliserProducts[[#Headers],[Company]], 91)</f>
        <v>0.18</v>
      </c>
      <c r="S205" s="148" t="str" cm="1">
        <f t="array" ref="S205">Common_InputFunctions.Utility_DisplayArrayInTable(Fertiliser_SourceData.Fertiliser_Products_Data4(),FertiliserProducts[[#Headers],[Company]], 91)</f>
        <v>Sulfur - Generic</v>
      </c>
      <c r="T205" s="148" cm="1">
        <f t="array" ref="T205">Common_InputFunctions.Utility_DisplayArrayInTable(Fertiliser_SourceData.Fertiliser_Products_Data4(),FertiliserProducts[[#Headers],[Company]], 91)</f>
        <v>0.104</v>
      </c>
      <c r="U205" s="148" t="str" cm="1">
        <f t="array" ref="U205">Common_InputFunctions.Utility_DisplayArrayInTable(Fertiliser_SourceData.Fertiliser_Products_Data4(),FertiliserProducts[[#Headers],[Company]], 91)</f>
        <v/>
      </c>
      <c r="V205" s="148" t="str" cm="1">
        <f t="array" ref="V205">Common_InputFunctions.Utility_DisplayArrayInTable(Fertiliser_SourceData.Fertiliser_Products_Data4(),FertiliserProducts[[#Headers],[Company]], 91)</f>
        <v/>
      </c>
      <c r="W205" s="148" t="str" cm="1">
        <f t="array" ref="W205">Common_InputFunctions.Utility_DisplayArrayInTable(Fertiliser_SourceData.Fertiliser_Products_Data4(),FertiliserProducts[[#Headers],[Company]], 91)</f>
        <v/>
      </c>
      <c r="X205" s="148" t="str" cm="1">
        <f t="array" ref="X205">Common_InputFunctions.Utility_DisplayArrayInTable(Fertiliser_SourceData.Fertiliser_Products_Data4(),FertiliserProducts[[#Headers],[Company]], 91)</f>
        <v/>
      </c>
      <c r="Y205" s="148" t="str" cm="1">
        <f t="array" ref="Y205">Common_InputFunctions.Utility_DisplayArrayInTable(Fertiliser_SourceData.Fertiliser_Products_Data4(),FertiliserProducts[[#Headers],[Company]], 91)</f>
        <v/>
      </c>
      <c r="Z205" s="148" t="str" cm="1">
        <f t="array" ref="Z205">Common_InputFunctions.Utility_DisplayArrayInTable(Fertiliser_SourceData.Fertiliser_Products_Data4(),FertiliserProducts[[#Headers],[Company]], 91)</f>
        <v/>
      </c>
      <c r="AA205" s="148" t="str" cm="1">
        <f t="array" ref="AA205">Common_InputFunctions.Utility_DisplayArrayInTable(Fertiliser_SourceData.Fertiliser_Products_Data4(),FertiliserProducts[[#Headers],[Company]], 91)</f>
        <v/>
      </c>
      <c r="AB205" s="148" t="str" cm="1">
        <f t="array" ref="AB205">Common_InputFunctions.Utility_DisplayArrayInTable(Fertiliser_SourceData.Fertiliser_Products_Data4(),FertiliserProducts[[#Headers],[Company]], 91)</f>
        <v/>
      </c>
      <c r="AC205" s="148" t="str" cm="1">
        <f t="array" ref="AC205">Common_InputFunctions.Utility_DisplayArrayInTable(Fertiliser_SourceData.Fertiliser_Products_Data4(),FertiliserProducts[[#Headers],[Company]], 91)</f>
        <v/>
      </c>
      <c r="AD205" s="148" t="str" cm="1">
        <f t="array" ref="AD205">Common_InputFunctions.Utility_DisplayArrayInTable(Fertiliser_SourceData.Fertiliser_Products_Data4(),FertiliserProducts[[#Headers],[Company]], 91)</f>
        <v/>
      </c>
      <c r="AE205" s="148" t="str" cm="1">
        <f t="array" ref="AE205">Common_InputFunctions.Utility_DisplayArrayInTable(Fertiliser_SourceData.Fertiliser_Products_Data4(),FertiliserProducts[[#Headers],[Company]], 91)</f>
        <v/>
      </c>
      <c r="AF205" s="148" t="str" cm="1">
        <f t="array" ref="AF205">Common_InputFunctions.Utility_DisplayArrayInTable(Fertiliser_SourceData.Fertiliser_Products_Data4(),FertiliserProducts[[#Headers],[Company]], 91)</f>
        <v/>
      </c>
      <c r="AG205" s="148" t="str" cm="1">
        <f t="array" ref="AG205">Common_InputFunctions.Utility_DisplayArrayInTable(Fertiliser_SourceData.Fertiliser_Products_Data4(),FertiliserProducts[[#Headers],[Company]], 91)</f>
        <v/>
      </c>
      <c r="AH205" s="148" t="str" cm="1">
        <f t="array" ref="AH205">Common_InputFunctions.Utility_DisplayArrayInTable(Fertiliser_SourceData.Fertiliser_Products_Data4(),FertiliserProducts[[#Headers],[Company]], 91)</f>
        <v/>
      </c>
    </row>
    <row r="206" spans="4:34" ht="20.100000000000001" customHeight="1" x14ac:dyDescent="0.2">
      <c r="D206" s="148" t="str" cm="1">
        <f t="array" ref="D206">Common_InputFunctions.Utility_DisplayArrayInTable(Fertiliser_SourceData.Fertiliser_Products_Data4(),FertiliserProducts[[#Headers],[Company]], 91)</f>
        <v>Wengfu Australia</v>
      </c>
      <c r="E206" s="148" t="str" cm="1">
        <f t="array" ref="E206">Common_InputFunctions.Utility_DisplayArrayInTable(Fertiliser_SourceData.Fertiliser_Products_Data4(),FertiliserProducts[[#Headers],[Company]], 91)</f>
        <v>Wengfu 5-15-0-6 Fast Start Legume</v>
      </c>
      <c r="F206" s="148" t="str" cm="1">
        <f t="array" ref="F206">Common_InputFunctions.Utility_DisplayArrayInTable(Fertiliser_SourceData.Fertiliser_Products_Data4(),FertiliserProducts[[#Headers],[Company]], 91)</f>
        <v>kg</v>
      </c>
      <c r="G206" s="148" cm="1">
        <f t="array" ref="G206">Common_InputFunctions.Utility_DisplayArrayInTable(Fertiliser_SourceData.Fertiliser_Products_Data4(),FertiliserProducts[[#Headers],[Company]], 91)</f>
        <v>1</v>
      </c>
      <c r="H206" s="148" t="str" cm="1">
        <f t="array" ref="H206">Common_InputFunctions.Utility_DisplayArrayInTable(Fertiliser_SourceData.Fertiliser_Products_Data4(),FertiliserProducts[[#Headers],[Company]], 91)</f>
        <v/>
      </c>
      <c r="I206" s="148" t="str" cm="1">
        <f t="array" ref="I206">Common_InputFunctions.Utility_DisplayArrayInTable(Fertiliser_SourceData.Fertiliser_Products_Data4(),FertiliserProducts[[#Headers],[Company]], 91)</f>
        <v/>
      </c>
      <c r="J206" s="148" t="str" cm="1">
        <f t="array" ref="J206">Common_InputFunctions.Utility_DisplayArrayInTable(Fertiliser_SourceData.Fertiliser_Products_Data4(),FertiliserProducts[[#Headers],[Company]], 91)</f>
        <v/>
      </c>
      <c r="K206" s="148" cm="1">
        <f t="array" ref="K206">Common_InputFunctions.Utility_DisplayArrayInTable(Fertiliser_SourceData.Fertiliser_Products_Data4(),FertiliserProducts[[#Headers],[Company]], 91)</f>
        <v>5</v>
      </c>
      <c r="L206" s="148" cm="1">
        <f t="array" ref="L206">Common_InputFunctions.Utility_DisplayArrayInTable(Fertiliser_SourceData.Fertiliser_Products_Data4(),FertiliserProducts[[#Headers],[Company]], 91)</f>
        <v>15.4</v>
      </c>
      <c r="M206" s="148" cm="1">
        <f t="array" ref="M206">Common_InputFunctions.Utility_DisplayArrayInTable(Fertiliser_SourceData.Fertiliser_Products_Data4(),FertiliserProducts[[#Headers],[Company]], 91)</f>
        <v>0</v>
      </c>
      <c r="N206" s="148" cm="1">
        <f t="array" ref="N206">Common_InputFunctions.Utility_DisplayArrayInTable(Fertiliser_SourceData.Fertiliser_Products_Data4(),FertiliserProducts[[#Headers],[Company]], 91)</f>
        <v>6.3</v>
      </c>
      <c r="O206" s="148" t="str" cm="1">
        <f t="array" ref="O206">Common_InputFunctions.Utility_DisplayArrayInTable(Fertiliser_SourceData.Fertiliser_Products_Data4(),FertiliserProducts[[#Headers],[Company]], 91)</f>
        <v>Nitrogen - Generic</v>
      </c>
      <c r="P206" s="148" cm="1">
        <f t="array" ref="P206">Common_InputFunctions.Utility_DisplayArrayInTable(Fertiliser_SourceData.Fertiliser_Products_Data4(),FertiliserProducts[[#Headers],[Company]], 91)</f>
        <v>0.05</v>
      </c>
      <c r="Q206" s="148" t="str" cm="1">
        <f t="array" ref="Q206">Common_InputFunctions.Utility_DisplayArrayInTable(Fertiliser_SourceData.Fertiliser_Products_Data4(),FertiliserProducts[[#Headers],[Company]], 91)</f>
        <v>Phosphorus - Generic</v>
      </c>
      <c r="R206" s="148" cm="1">
        <f t="array" ref="R206">Common_InputFunctions.Utility_DisplayArrayInTable(Fertiliser_SourceData.Fertiliser_Products_Data4(),FertiliserProducts[[#Headers],[Company]], 91)</f>
        <v>0.154</v>
      </c>
      <c r="S206" s="148" t="str" cm="1">
        <f t="array" ref="S206">Common_InputFunctions.Utility_DisplayArrayInTable(Fertiliser_SourceData.Fertiliser_Products_Data4(),FertiliserProducts[[#Headers],[Company]], 91)</f>
        <v>Sulfur - Generic</v>
      </c>
      <c r="T206" s="148" cm="1">
        <f t="array" ref="T206">Common_InputFunctions.Utility_DisplayArrayInTable(Fertiliser_SourceData.Fertiliser_Products_Data4(),FertiliserProducts[[#Headers],[Company]], 91)</f>
        <v>6.3E-2</v>
      </c>
      <c r="U206" s="148" t="str" cm="1">
        <f t="array" ref="U206">Common_InputFunctions.Utility_DisplayArrayInTable(Fertiliser_SourceData.Fertiliser_Products_Data4(),FertiliserProducts[[#Headers],[Company]], 91)</f>
        <v/>
      </c>
      <c r="V206" s="148" t="str" cm="1">
        <f t="array" ref="V206">Common_InputFunctions.Utility_DisplayArrayInTable(Fertiliser_SourceData.Fertiliser_Products_Data4(),FertiliserProducts[[#Headers],[Company]], 91)</f>
        <v/>
      </c>
      <c r="W206" s="148" t="str" cm="1">
        <f t="array" ref="W206">Common_InputFunctions.Utility_DisplayArrayInTable(Fertiliser_SourceData.Fertiliser_Products_Data4(),FertiliserProducts[[#Headers],[Company]], 91)</f>
        <v/>
      </c>
      <c r="X206" s="148" t="str" cm="1">
        <f t="array" ref="X206">Common_InputFunctions.Utility_DisplayArrayInTable(Fertiliser_SourceData.Fertiliser_Products_Data4(),FertiliserProducts[[#Headers],[Company]], 91)</f>
        <v/>
      </c>
      <c r="Y206" s="148" t="str" cm="1">
        <f t="array" ref="Y206">Common_InputFunctions.Utility_DisplayArrayInTable(Fertiliser_SourceData.Fertiliser_Products_Data4(),FertiliserProducts[[#Headers],[Company]], 91)</f>
        <v/>
      </c>
      <c r="Z206" s="148" t="str" cm="1">
        <f t="array" ref="Z206">Common_InputFunctions.Utility_DisplayArrayInTable(Fertiliser_SourceData.Fertiliser_Products_Data4(),FertiliserProducts[[#Headers],[Company]], 91)</f>
        <v/>
      </c>
      <c r="AA206" s="148" t="str" cm="1">
        <f t="array" ref="AA206">Common_InputFunctions.Utility_DisplayArrayInTable(Fertiliser_SourceData.Fertiliser_Products_Data4(),FertiliserProducts[[#Headers],[Company]], 91)</f>
        <v/>
      </c>
      <c r="AB206" s="148" t="str" cm="1">
        <f t="array" ref="AB206">Common_InputFunctions.Utility_DisplayArrayInTable(Fertiliser_SourceData.Fertiliser_Products_Data4(),FertiliserProducts[[#Headers],[Company]], 91)</f>
        <v/>
      </c>
      <c r="AC206" s="148" t="str" cm="1">
        <f t="array" ref="AC206">Common_InputFunctions.Utility_DisplayArrayInTable(Fertiliser_SourceData.Fertiliser_Products_Data4(),FertiliserProducts[[#Headers],[Company]], 91)</f>
        <v/>
      </c>
      <c r="AD206" s="148" t="str" cm="1">
        <f t="array" ref="AD206">Common_InputFunctions.Utility_DisplayArrayInTable(Fertiliser_SourceData.Fertiliser_Products_Data4(),FertiliserProducts[[#Headers],[Company]], 91)</f>
        <v/>
      </c>
      <c r="AE206" s="148" t="str" cm="1">
        <f t="array" ref="AE206">Common_InputFunctions.Utility_DisplayArrayInTable(Fertiliser_SourceData.Fertiliser_Products_Data4(),FertiliserProducts[[#Headers],[Company]], 91)</f>
        <v/>
      </c>
      <c r="AF206" s="148" t="str" cm="1">
        <f t="array" ref="AF206">Common_InputFunctions.Utility_DisplayArrayInTable(Fertiliser_SourceData.Fertiliser_Products_Data4(),FertiliserProducts[[#Headers],[Company]], 91)</f>
        <v/>
      </c>
      <c r="AG206" s="148" t="str" cm="1">
        <f t="array" ref="AG206">Common_InputFunctions.Utility_DisplayArrayInTable(Fertiliser_SourceData.Fertiliser_Products_Data4(),FertiliserProducts[[#Headers],[Company]], 91)</f>
        <v/>
      </c>
      <c r="AH206" s="148" t="str" cm="1">
        <f t="array" ref="AH206">Common_InputFunctions.Utility_DisplayArrayInTable(Fertiliser_SourceData.Fertiliser_Products_Data4(),FertiliserProducts[[#Headers],[Company]], 91)</f>
        <v/>
      </c>
    </row>
    <row r="207" spans="4:34" ht="20.100000000000001" customHeight="1" x14ac:dyDescent="0.2">
      <c r="D207" s="148" t="str" cm="1">
        <f t="array" ref="D207">Common_InputFunctions.Utility_DisplayArrayInTable(Fertiliser_SourceData.Fertiliser_Products_Data4(),FertiliserProducts[[#Headers],[Company]], 91)</f>
        <v>Wengfu Australia</v>
      </c>
      <c r="E207" s="148" t="str" cm="1">
        <f t="array" ref="E207">Common_InputFunctions.Utility_DisplayArrayInTable(Fertiliser_SourceData.Fertiliser_Products_Data4(),FertiliserProducts[[#Headers],[Company]], 91)</f>
        <v>Wengfu 9-20-0-10 PrimeZinc</v>
      </c>
      <c r="F207" s="148" t="str" cm="1">
        <f t="array" ref="F207">Common_InputFunctions.Utility_DisplayArrayInTable(Fertiliser_SourceData.Fertiliser_Products_Data4(),FertiliserProducts[[#Headers],[Company]], 91)</f>
        <v>kg</v>
      </c>
      <c r="G207" s="148" cm="1">
        <f t="array" ref="G207">Common_InputFunctions.Utility_DisplayArrayInTable(Fertiliser_SourceData.Fertiliser_Products_Data4(),FertiliserProducts[[#Headers],[Company]], 91)</f>
        <v>1</v>
      </c>
      <c r="H207" s="148" t="str" cm="1">
        <f t="array" ref="H207">Common_InputFunctions.Utility_DisplayArrayInTable(Fertiliser_SourceData.Fertiliser_Products_Data4(),FertiliserProducts[[#Headers],[Company]], 91)</f>
        <v/>
      </c>
      <c r="I207" s="148" t="str" cm="1">
        <f t="array" ref="I207">Common_InputFunctions.Utility_DisplayArrayInTable(Fertiliser_SourceData.Fertiliser_Products_Data4(),FertiliserProducts[[#Headers],[Company]], 91)</f>
        <v/>
      </c>
      <c r="J207" s="148" t="str" cm="1">
        <f t="array" ref="J207">Common_InputFunctions.Utility_DisplayArrayInTable(Fertiliser_SourceData.Fertiliser_Products_Data4(),FertiliserProducts[[#Headers],[Company]], 91)</f>
        <v/>
      </c>
      <c r="K207" s="148" cm="1">
        <f t="array" ref="K207">Common_InputFunctions.Utility_DisplayArrayInTable(Fertiliser_SourceData.Fertiliser_Products_Data4(),FertiliserProducts[[#Headers],[Company]], 91)</f>
        <v>9</v>
      </c>
      <c r="L207" s="148" cm="1">
        <f t="array" ref="L207">Common_InputFunctions.Utility_DisplayArrayInTable(Fertiliser_SourceData.Fertiliser_Products_Data4(),FertiliserProducts[[#Headers],[Company]], 91)</f>
        <v>19.8</v>
      </c>
      <c r="M207" s="148" cm="1">
        <f t="array" ref="M207">Common_InputFunctions.Utility_DisplayArrayInTable(Fertiliser_SourceData.Fertiliser_Products_Data4(),FertiliserProducts[[#Headers],[Company]], 91)</f>
        <v>0</v>
      </c>
      <c r="N207" s="148" cm="1">
        <f t="array" ref="N207">Common_InputFunctions.Utility_DisplayArrayInTable(Fertiliser_SourceData.Fertiliser_Products_Data4(),FertiliserProducts[[#Headers],[Company]], 91)</f>
        <v>10.4</v>
      </c>
      <c r="O207" s="148" t="str" cm="1">
        <f t="array" ref="O207">Common_InputFunctions.Utility_DisplayArrayInTable(Fertiliser_SourceData.Fertiliser_Products_Data4(),FertiliserProducts[[#Headers],[Company]], 91)</f>
        <v>Nitrogen - Generic</v>
      </c>
      <c r="P207" s="148" cm="1">
        <f t="array" ref="P207">Common_InputFunctions.Utility_DisplayArrayInTable(Fertiliser_SourceData.Fertiliser_Products_Data4(),FertiliserProducts[[#Headers],[Company]], 91)</f>
        <v>0.09</v>
      </c>
      <c r="Q207" s="148" t="str" cm="1">
        <f t="array" ref="Q207">Common_InputFunctions.Utility_DisplayArrayInTable(Fertiliser_SourceData.Fertiliser_Products_Data4(),FertiliserProducts[[#Headers],[Company]], 91)</f>
        <v>Phosphorus - Generic</v>
      </c>
      <c r="R207" s="148" cm="1">
        <f t="array" ref="R207">Common_InputFunctions.Utility_DisplayArrayInTable(Fertiliser_SourceData.Fertiliser_Products_Data4(),FertiliserProducts[[#Headers],[Company]], 91)</f>
        <v>0.19800000000000001</v>
      </c>
      <c r="S207" s="148" t="str" cm="1">
        <f t="array" ref="S207">Common_InputFunctions.Utility_DisplayArrayInTable(Fertiliser_SourceData.Fertiliser_Products_Data4(),FertiliserProducts[[#Headers],[Company]], 91)</f>
        <v>Sulfur - Generic</v>
      </c>
      <c r="T207" s="148" cm="1">
        <f t="array" ref="T207">Common_InputFunctions.Utility_DisplayArrayInTable(Fertiliser_SourceData.Fertiliser_Products_Data4(),FertiliserProducts[[#Headers],[Company]], 91)</f>
        <v>0.104</v>
      </c>
      <c r="U207" s="148" t="str" cm="1">
        <f t="array" ref="U207">Common_InputFunctions.Utility_DisplayArrayInTable(Fertiliser_SourceData.Fertiliser_Products_Data4(),FertiliserProducts[[#Headers],[Company]], 91)</f>
        <v>Zinc</v>
      </c>
      <c r="V207" s="148" cm="1">
        <f t="array" ref="V207">Common_InputFunctions.Utility_DisplayArrayInTable(Fertiliser_SourceData.Fertiliser_Products_Data4(),FertiliserProducts[[#Headers],[Company]], 91)</f>
        <v>8.9999999999999993E-3</v>
      </c>
      <c r="W207" s="148" t="str" cm="1">
        <f t="array" ref="W207">Common_InputFunctions.Utility_DisplayArrayInTable(Fertiliser_SourceData.Fertiliser_Products_Data4(),FertiliserProducts[[#Headers],[Company]], 91)</f>
        <v/>
      </c>
      <c r="X207" s="148" t="str" cm="1">
        <f t="array" ref="X207">Common_InputFunctions.Utility_DisplayArrayInTable(Fertiliser_SourceData.Fertiliser_Products_Data4(),FertiliserProducts[[#Headers],[Company]], 91)</f>
        <v/>
      </c>
      <c r="Y207" s="148" t="str" cm="1">
        <f t="array" ref="Y207">Common_InputFunctions.Utility_DisplayArrayInTable(Fertiliser_SourceData.Fertiliser_Products_Data4(),FertiliserProducts[[#Headers],[Company]], 91)</f>
        <v/>
      </c>
      <c r="Z207" s="148" t="str" cm="1">
        <f t="array" ref="Z207">Common_InputFunctions.Utility_DisplayArrayInTable(Fertiliser_SourceData.Fertiliser_Products_Data4(),FertiliserProducts[[#Headers],[Company]], 91)</f>
        <v/>
      </c>
      <c r="AA207" s="148" t="str" cm="1">
        <f t="array" ref="AA207">Common_InputFunctions.Utility_DisplayArrayInTable(Fertiliser_SourceData.Fertiliser_Products_Data4(),FertiliserProducts[[#Headers],[Company]], 91)</f>
        <v/>
      </c>
      <c r="AB207" s="148" t="str" cm="1">
        <f t="array" ref="AB207">Common_InputFunctions.Utility_DisplayArrayInTable(Fertiliser_SourceData.Fertiliser_Products_Data4(),FertiliserProducts[[#Headers],[Company]], 91)</f>
        <v/>
      </c>
      <c r="AC207" s="148" t="str" cm="1">
        <f t="array" ref="AC207">Common_InputFunctions.Utility_DisplayArrayInTable(Fertiliser_SourceData.Fertiliser_Products_Data4(),FertiliserProducts[[#Headers],[Company]], 91)</f>
        <v/>
      </c>
      <c r="AD207" s="148" t="str" cm="1">
        <f t="array" ref="AD207">Common_InputFunctions.Utility_DisplayArrayInTable(Fertiliser_SourceData.Fertiliser_Products_Data4(),FertiliserProducts[[#Headers],[Company]], 91)</f>
        <v/>
      </c>
      <c r="AE207" s="148" t="str" cm="1">
        <f t="array" ref="AE207">Common_InputFunctions.Utility_DisplayArrayInTable(Fertiliser_SourceData.Fertiliser_Products_Data4(),FertiliserProducts[[#Headers],[Company]], 91)</f>
        <v/>
      </c>
      <c r="AF207" s="148" t="str" cm="1">
        <f t="array" ref="AF207">Common_InputFunctions.Utility_DisplayArrayInTable(Fertiliser_SourceData.Fertiliser_Products_Data4(),FertiliserProducts[[#Headers],[Company]], 91)</f>
        <v/>
      </c>
      <c r="AG207" s="148" t="str" cm="1">
        <f t="array" ref="AG207">Common_InputFunctions.Utility_DisplayArrayInTable(Fertiliser_SourceData.Fertiliser_Products_Data4(),FertiliserProducts[[#Headers],[Company]], 91)</f>
        <v/>
      </c>
      <c r="AH207" s="148" t="str" cm="1">
        <f t="array" ref="AH207">Common_InputFunctions.Utility_DisplayArrayInTable(Fertiliser_SourceData.Fertiliser_Products_Data4(),FertiliserProducts[[#Headers],[Company]], 91)</f>
        <v/>
      </c>
    </row>
    <row r="208" spans="4:34" ht="20.100000000000001" customHeight="1" x14ac:dyDescent="0.2">
      <c r="D208" s="148" t="str" cm="1">
        <f t="array" ref="D208">Common_InputFunctions.Utility_DisplayArrayInTable(Fertiliser_SourceData.Fertiliser_Products_Data4(),FertiliserProducts[[#Headers],[Company]], 91)</f>
        <v>Wengfu Australia</v>
      </c>
      <c r="E208" s="148" t="str" cm="1">
        <f t="array" ref="E208">Common_InputFunctions.Utility_DisplayArrayInTable(Fertiliser_SourceData.Fertiliser_Products_Data4(),FertiliserProducts[[#Headers],[Company]], 91)</f>
        <v>Wengfu 12-18-0-6 PrimeZinc</v>
      </c>
      <c r="F208" s="148" t="str" cm="1">
        <f t="array" ref="F208">Common_InputFunctions.Utility_DisplayArrayInTable(Fertiliser_SourceData.Fertiliser_Products_Data4(),FertiliserProducts[[#Headers],[Company]], 91)</f>
        <v>kg</v>
      </c>
      <c r="G208" s="148" cm="1">
        <f t="array" ref="G208">Common_InputFunctions.Utility_DisplayArrayInTable(Fertiliser_SourceData.Fertiliser_Products_Data4(),FertiliserProducts[[#Headers],[Company]], 91)</f>
        <v>1</v>
      </c>
      <c r="H208" s="148" t="str" cm="1">
        <f t="array" ref="H208">Common_InputFunctions.Utility_DisplayArrayInTable(Fertiliser_SourceData.Fertiliser_Products_Data4(),FertiliserProducts[[#Headers],[Company]], 91)</f>
        <v/>
      </c>
      <c r="I208" s="148" t="str" cm="1">
        <f t="array" ref="I208">Common_InputFunctions.Utility_DisplayArrayInTable(Fertiliser_SourceData.Fertiliser_Products_Data4(),FertiliserProducts[[#Headers],[Company]], 91)</f>
        <v/>
      </c>
      <c r="J208" s="148" t="str" cm="1">
        <f t="array" ref="J208">Common_InputFunctions.Utility_DisplayArrayInTable(Fertiliser_SourceData.Fertiliser_Products_Data4(),FertiliserProducts[[#Headers],[Company]], 91)</f>
        <v/>
      </c>
      <c r="K208" s="148" cm="1">
        <f t="array" ref="K208">Common_InputFunctions.Utility_DisplayArrayInTable(Fertiliser_SourceData.Fertiliser_Products_Data4(),FertiliserProducts[[#Headers],[Company]], 91)</f>
        <v>11.9</v>
      </c>
      <c r="L208" s="148" cm="1">
        <f t="array" ref="L208">Common_InputFunctions.Utility_DisplayArrayInTable(Fertiliser_SourceData.Fertiliser_Products_Data4(),FertiliserProducts[[#Headers],[Company]], 91)</f>
        <v>17.600000000000001</v>
      </c>
      <c r="M208" s="148" cm="1">
        <f t="array" ref="M208">Common_InputFunctions.Utility_DisplayArrayInTable(Fertiliser_SourceData.Fertiliser_Products_Data4(),FertiliserProducts[[#Headers],[Company]], 91)</f>
        <v>0</v>
      </c>
      <c r="N208" s="148" cm="1">
        <f t="array" ref="N208">Common_InputFunctions.Utility_DisplayArrayInTable(Fertiliser_SourceData.Fertiliser_Products_Data4(),FertiliserProducts[[#Headers],[Company]], 91)</f>
        <v>5.9</v>
      </c>
      <c r="O208" s="148" t="str" cm="1">
        <f t="array" ref="O208">Common_InputFunctions.Utility_DisplayArrayInTable(Fertiliser_SourceData.Fertiliser_Products_Data4(),FertiliserProducts[[#Headers],[Company]], 91)</f>
        <v>Nitrogen - Generic</v>
      </c>
      <c r="P208" s="148" cm="1">
        <f t="array" ref="P208">Common_InputFunctions.Utility_DisplayArrayInTable(Fertiliser_SourceData.Fertiliser_Products_Data4(),FertiliserProducts[[#Headers],[Company]], 91)</f>
        <v>0.11899999999999999</v>
      </c>
      <c r="Q208" s="148" t="str" cm="1">
        <f t="array" ref="Q208">Common_InputFunctions.Utility_DisplayArrayInTable(Fertiliser_SourceData.Fertiliser_Products_Data4(),FertiliserProducts[[#Headers],[Company]], 91)</f>
        <v>Phosphorus - Generic</v>
      </c>
      <c r="R208" s="148" cm="1">
        <f t="array" ref="R208">Common_InputFunctions.Utility_DisplayArrayInTable(Fertiliser_SourceData.Fertiliser_Products_Data4(),FertiliserProducts[[#Headers],[Company]], 91)</f>
        <v>0.17599999999999999</v>
      </c>
      <c r="S208" s="148" t="str" cm="1">
        <f t="array" ref="S208">Common_InputFunctions.Utility_DisplayArrayInTable(Fertiliser_SourceData.Fertiliser_Products_Data4(),FertiliserProducts[[#Headers],[Company]], 91)</f>
        <v>Sulfur - Generic</v>
      </c>
      <c r="T208" s="148" cm="1">
        <f t="array" ref="T208">Common_InputFunctions.Utility_DisplayArrayInTable(Fertiliser_SourceData.Fertiliser_Products_Data4(),FertiliserProducts[[#Headers],[Company]], 91)</f>
        <v>5.8999999999999997E-2</v>
      </c>
      <c r="U208" s="148" t="str" cm="1">
        <f t="array" ref="U208">Common_InputFunctions.Utility_DisplayArrayInTable(Fertiliser_SourceData.Fertiliser_Products_Data4(),FertiliserProducts[[#Headers],[Company]], 91)</f>
        <v>Zinc</v>
      </c>
      <c r="V208" s="148" cm="1">
        <f t="array" ref="V208">Common_InputFunctions.Utility_DisplayArrayInTable(Fertiliser_SourceData.Fertiliser_Products_Data4(),FertiliserProducts[[#Headers],[Company]], 91)</f>
        <v>8.0000000000000002E-3</v>
      </c>
      <c r="W208" s="148" t="str" cm="1">
        <f t="array" ref="W208">Common_InputFunctions.Utility_DisplayArrayInTable(Fertiliser_SourceData.Fertiliser_Products_Data4(),FertiliserProducts[[#Headers],[Company]], 91)</f>
        <v/>
      </c>
      <c r="X208" s="148" t="str" cm="1">
        <f t="array" ref="X208">Common_InputFunctions.Utility_DisplayArrayInTable(Fertiliser_SourceData.Fertiliser_Products_Data4(),FertiliserProducts[[#Headers],[Company]], 91)</f>
        <v/>
      </c>
      <c r="Y208" s="148" t="str" cm="1">
        <f t="array" ref="Y208">Common_InputFunctions.Utility_DisplayArrayInTable(Fertiliser_SourceData.Fertiliser_Products_Data4(),FertiliserProducts[[#Headers],[Company]], 91)</f>
        <v/>
      </c>
      <c r="Z208" s="148" t="str" cm="1">
        <f t="array" ref="Z208">Common_InputFunctions.Utility_DisplayArrayInTable(Fertiliser_SourceData.Fertiliser_Products_Data4(),FertiliserProducts[[#Headers],[Company]], 91)</f>
        <v/>
      </c>
      <c r="AA208" s="148" t="str" cm="1">
        <f t="array" ref="AA208">Common_InputFunctions.Utility_DisplayArrayInTable(Fertiliser_SourceData.Fertiliser_Products_Data4(),FertiliserProducts[[#Headers],[Company]], 91)</f>
        <v/>
      </c>
      <c r="AB208" s="148" t="str" cm="1">
        <f t="array" ref="AB208">Common_InputFunctions.Utility_DisplayArrayInTable(Fertiliser_SourceData.Fertiliser_Products_Data4(),FertiliserProducts[[#Headers],[Company]], 91)</f>
        <v/>
      </c>
      <c r="AC208" s="148" t="str" cm="1">
        <f t="array" ref="AC208">Common_InputFunctions.Utility_DisplayArrayInTable(Fertiliser_SourceData.Fertiliser_Products_Data4(),FertiliserProducts[[#Headers],[Company]], 91)</f>
        <v/>
      </c>
      <c r="AD208" s="148" t="str" cm="1">
        <f t="array" ref="AD208">Common_InputFunctions.Utility_DisplayArrayInTable(Fertiliser_SourceData.Fertiliser_Products_Data4(),FertiliserProducts[[#Headers],[Company]], 91)</f>
        <v/>
      </c>
      <c r="AE208" s="148" t="str" cm="1">
        <f t="array" ref="AE208">Common_InputFunctions.Utility_DisplayArrayInTable(Fertiliser_SourceData.Fertiliser_Products_Data4(),FertiliserProducts[[#Headers],[Company]], 91)</f>
        <v/>
      </c>
      <c r="AF208" s="148" t="str" cm="1">
        <f t="array" ref="AF208">Common_InputFunctions.Utility_DisplayArrayInTable(Fertiliser_SourceData.Fertiliser_Products_Data4(),FertiliserProducts[[#Headers],[Company]], 91)</f>
        <v/>
      </c>
      <c r="AG208" s="148" t="str" cm="1">
        <f t="array" ref="AG208">Common_InputFunctions.Utility_DisplayArrayInTable(Fertiliser_SourceData.Fertiliser_Products_Data4(),FertiliserProducts[[#Headers],[Company]], 91)</f>
        <v/>
      </c>
      <c r="AH208" s="148" t="str" cm="1">
        <f t="array" ref="AH208">Common_InputFunctions.Utility_DisplayArrayInTable(Fertiliser_SourceData.Fertiliser_Products_Data4(),FertiliserProducts[[#Headers],[Company]], 91)</f>
        <v/>
      </c>
    </row>
    <row r="209" spans="1:34" ht="20.100000000000001" customHeight="1" x14ac:dyDescent="0.2">
      <c r="D209" s="148" t="str" cm="1">
        <f t="array" ref="D209">Common_InputFunctions.Utility_DisplayArrayInTable(Fertiliser_SourceData.Fertiliser_Products_Data4(),FertiliserProducts[[#Headers],[Company]], 91)</f>
        <v>Wengfu Australia</v>
      </c>
      <c r="E209" s="148" t="str" cm="1">
        <f t="array" ref="E209">Common_InputFunctions.Utility_DisplayArrayInTable(Fertiliser_SourceData.Fertiliser_Products_Data4(),FertiliserProducts[[#Headers],[Company]], 91)</f>
        <v>Wengfu 14-13-0-11 PrimeZinc</v>
      </c>
      <c r="F209" s="148" t="str" cm="1">
        <f t="array" ref="F209">Common_InputFunctions.Utility_DisplayArrayInTable(Fertiliser_SourceData.Fertiliser_Products_Data4(),FertiliserProducts[[#Headers],[Company]], 91)</f>
        <v>kg</v>
      </c>
      <c r="G209" s="148" cm="1">
        <f t="array" ref="G209">Common_InputFunctions.Utility_DisplayArrayInTable(Fertiliser_SourceData.Fertiliser_Products_Data4(),FertiliserProducts[[#Headers],[Company]], 91)</f>
        <v>1</v>
      </c>
      <c r="H209" s="148" t="str" cm="1">
        <f t="array" ref="H209">Common_InputFunctions.Utility_DisplayArrayInTable(Fertiliser_SourceData.Fertiliser_Products_Data4(),FertiliserProducts[[#Headers],[Company]], 91)</f>
        <v/>
      </c>
      <c r="I209" s="148" t="str" cm="1">
        <f t="array" ref="I209">Common_InputFunctions.Utility_DisplayArrayInTable(Fertiliser_SourceData.Fertiliser_Products_Data4(),FertiliserProducts[[#Headers],[Company]], 91)</f>
        <v/>
      </c>
      <c r="J209" s="148" t="str" cm="1">
        <f t="array" ref="J209">Common_InputFunctions.Utility_DisplayArrayInTable(Fertiliser_SourceData.Fertiliser_Products_Data4(),FertiliserProducts[[#Headers],[Company]], 91)</f>
        <v/>
      </c>
      <c r="K209" s="148" cm="1">
        <f t="array" ref="K209">Common_InputFunctions.Utility_DisplayArrayInTable(Fertiliser_SourceData.Fertiliser_Products_Data4(),FertiliserProducts[[#Headers],[Company]], 91)</f>
        <v>14.1</v>
      </c>
      <c r="L209" s="148" cm="1">
        <f t="array" ref="L209">Common_InputFunctions.Utility_DisplayArrayInTable(Fertiliser_SourceData.Fertiliser_Products_Data4(),FertiliserProducts[[#Headers],[Company]], 91)</f>
        <v>12.8</v>
      </c>
      <c r="M209" s="148" cm="1">
        <f t="array" ref="M209">Common_InputFunctions.Utility_DisplayArrayInTable(Fertiliser_SourceData.Fertiliser_Products_Data4(),FertiliserProducts[[#Headers],[Company]], 91)</f>
        <v>0</v>
      </c>
      <c r="N209" s="148" cm="1">
        <f t="array" ref="N209">Common_InputFunctions.Utility_DisplayArrayInTable(Fertiliser_SourceData.Fertiliser_Products_Data4(),FertiliserProducts[[#Headers],[Company]], 91)</f>
        <v>10.7</v>
      </c>
      <c r="O209" s="148" t="str" cm="1">
        <f t="array" ref="O209">Common_InputFunctions.Utility_DisplayArrayInTable(Fertiliser_SourceData.Fertiliser_Products_Data4(),FertiliserProducts[[#Headers],[Company]], 91)</f>
        <v>Nitrogen - Generic</v>
      </c>
      <c r="P209" s="148" cm="1">
        <f t="array" ref="P209">Common_InputFunctions.Utility_DisplayArrayInTable(Fertiliser_SourceData.Fertiliser_Products_Data4(),FertiliserProducts[[#Headers],[Company]], 91)</f>
        <v>0.14099999999999999</v>
      </c>
      <c r="Q209" s="148" t="str" cm="1">
        <f t="array" ref="Q209">Common_InputFunctions.Utility_DisplayArrayInTable(Fertiliser_SourceData.Fertiliser_Products_Data4(),FertiliserProducts[[#Headers],[Company]], 91)</f>
        <v>Phosphorus - Generic</v>
      </c>
      <c r="R209" s="148" cm="1">
        <f t="array" ref="R209">Common_InputFunctions.Utility_DisplayArrayInTable(Fertiliser_SourceData.Fertiliser_Products_Data4(),FertiliserProducts[[#Headers],[Company]], 91)</f>
        <v>0.128</v>
      </c>
      <c r="S209" s="148" t="str" cm="1">
        <f t="array" ref="S209">Common_InputFunctions.Utility_DisplayArrayInTable(Fertiliser_SourceData.Fertiliser_Products_Data4(),FertiliserProducts[[#Headers],[Company]], 91)</f>
        <v>Sulfur - Generic</v>
      </c>
      <c r="T209" s="148" cm="1">
        <f t="array" ref="T209">Common_InputFunctions.Utility_DisplayArrayInTable(Fertiliser_SourceData.Fertiliser_Products_Data4(),FertiliserProducts[[#Headers],[Company]], 91)</f>
        <v>0.107</v>
      </c>
      <c r="U209" s="148" t="str" cm="1">
        <f t="array" ref="U209">Common_InputFunctions.Utility_DisplayArrayInTable(Fertiliser_SourceData.Fertiliser_Products_Data4(),FertiliserProducts[[#Headers],[Company]], 91)</f>
        <v>Zinc</v>
      </c>
      <c r="V209" s="148" cm="1">
        <f t="array" ref="V209">Common_InputFunctions.Utility_DisplayArrayInTable(Fertiliser_SourceData.Fertiliser_Products_Data4(),FertiliserProducts[[#Headers],[Company]], 91)</f>
        <v>6.0000000000000001E-3</v>
      </c>
      <c r="W209" s="148" t="str" cm="1">
        <f t="array" ref="W209">Common_InputFunctions.Utility_DisplayArrayInTable(Fertiliser_SourceData.Fertiliser_Products_Data4(),FertiliserProducts[[#Headers],[Company]], 91)</f>
        <v/>
      </c>
      <c r="X209" s="148" t="str" cm="1">
        <f t="array" ref="X209">Common_InputFunctions.Utility_DisplayArrayInTable(Fertiliser_SourceData.Fertiliser_Products_Data4(),FertiliserProducts[[#Headers],[Company]], 91)</f>
        <v/>
      </c>
      <c r="Y209" s="148" t="str" cm="1">
        <f t="array" ref="Y209">Common_InputFunctions.Utility_DisplayArrayInTable(Fertiliser_SourceData.Fertiliser_Products_Data4(),FertiliserProducts[[#Headers],[Company]], 91)</f>
        <v/>
      </c>
      <c r="Z209" s="148" t="str" cm="1">
        <f t="array" ref="Z209">Common_InputFunctions.Utility_DisplayArrayInTable(Fertiliser_SourceData.Fertiliser_Products_Data4(),FertiliserProducts[[#Headers],[Company]], 91)</f>
        <v/>
      </c>
      <c r="AA209" s="148" t="str" cm="1">
        <f t="array" ref="AA209">Common_InputFunctions.Utility_DisplayArrayInTable(Fertiliser_SourceData.Fertiliser_Products_Data4(),FertiliserProducts[[#Headers],[Company]], 91)</f>
        <v/>
      </c>
      <c r="AB209" s="148" t="str" cm="1">
        <f t="array" ref="AB209">Common_InputFunctions.Utility_DisplayArrayInTable(Fertiliser_SourceData.Fertiliser_Products_Data4(),FertiliserProducts[[#Headers],[Company]], 91)</f>
        <v/>
      </c>
      <c r="AC209" s="148" t="str" cm="1">
        <f t="array" ref="AC209">Common_InputFunctions.Utility_DisplayArrayInTable(Fertiliser_SourceData.Fertiliser_Products_Data4(),FertiliserProducts[[#Headers],[Company]], 91)</f>
        <v/>
      </c>
      <c r="AD209" s="148" t="str" cm="1">
        <f t="array" ref="AD209">Common_InputFunctions.Utility_DisplayArrayInTable(Fertiliser_SourceData.Fertiliser_Products_Data4(),FertiliserProducts[[#Headers],[Company]], 91)</f>
        <v/>
      </c>
      <c r="AE209" s="148" t="str" cm="1">
        <f t="array" ref="AE209">Common_InputFunctions.Utility_DisplayArrayInTable(Fertiliser_SourceData.Fertiliser_Products_Data4(),FertiliserProducts[[#Headers],[Company]], 91)</f>
        <v/>
      </c>
      <c r="AF209" s="148" t="str" cm="1">
        <f t="array" ref="AF209">Common_InputFunctions.Utility_DisplayArrayInTable(Fertiliser_SourceData.Fertiliser_Products_Data4(),FertiliserProducts[[#Headers],[Company]], 91)</f>
        <v/>
      </c>
      <c r="AG209" s="148" t="str" cm="1">
        <f t="array" ref="AG209">Common_InputFunctions.Utility_DisplayArrayInTable(Fertiliser_SourceData.Fertiliser_Products_Data4(),FertiliserProducts[[#Headers],[Company]], 91)</f>
        <v/>
      </c>
      <c r="AH209" s="148" t="str" cm="1">
        <f t="array" ref="AH209">Common_InputFunctions.Utility_DisplayArrayInTable(Fertiliser_SourceData.Fertiliser_Products_Data4(),FertiliserProducts[[#Headers],[Company]], 91)</f>
        <v/>
      </c>
    </row>
    <row r="210" spans="1:34" ht="20.100000000000001" customHeight="1" x14ac:dyDescent="0.2">
      <c r="D210" s="148" t="str" cm="1">
        <f t="array" ref="D210">Common_InputFunctions.Utility_DisplayArrayInTable(Fertiliser_SourceData.Fertiliser_Products_Data5(),FertiliserProducts[[#Headers],[Company]], 121)</f>
        <v>Wengfu Australia</v>
      </c>
      <c r="E210" s="148" t="str" cm="1">
        <f t="array" ref="E210">Common_InputFunctions.Utility_DisplayArrayInTable(Fertiliser_SourceData.Fertiliser_Products_Data5(),FertiliserProducts[[#Headers],[Company]], 121)</f>
        <v>Wengfu 19-13-0-7 PrimeZinc</v>
      </c>
      <c r="F210" s="148" t="str" cm="1">
        <f t="array" ref="F210">Common_InputFunctions.Utility_DisplayArrayInTable(Fertiliser_SourceData.Fertiliser_Products_Data5(),FertiliserProducts[[#Headers],[Company]], 121)</f>
        <v>kg</v>
      </c>
      <c r="G210" s="148" cm="1">
        <f t="array" ref="G210">Common_InputFunctions.Utility_DisplayArrayInTable(Fertiliser_SourceData.Fertiliser_Products_Data5(),FertiliserProducts[[#Headers],[Company]], 121)</f>
        <v>1</v>
      </c>
      <c r="H210" s="148" t="str" cm="1">
        <f t="array" ref="H210">Common_InputFunctions.Utility_DisplayArrayInTable(Fertiliser_SourceData.Fertiliser_Products_Data5(),FertiliserProducts[[#Headers],[Company]], 121)</f>
        <v/>
      </c>
      <c r="I210" s="148" t="str" cm="1">
        <f t="array" ref="I210">Common_InputFunctions.Utility_DisplayArrayInTable(Fertiliser_SourceData.Fertiliser_Products_Data5(),FertiliserProducts[[#Headers],[Company]], 121)</f>
        <v/>
      </c>
      <c r="J210" s="148" t="str" cm="1">
        <f t="array" ref="J210">Common_InputFunctions.Utility_DisplayArrayInTable(Fertiliser_SourceData.Fertiliser_Products_Data5(),FertiliserProducts[[#Headers],[Company]], 121)</f>
        <v/>
      </c>
      <c r="K210" s="148" cm="1">
        <f t="array" ref="K210">Common_InputFunctions.Utility_DisplayArrayInTable(Fertiliser_SourceData.Fertiliser_Products_Data5(),FertiliserProducts[[#Headers],[Company]], 121)</f>
        <v>18.600000000000001</v>
      </c>
      <c r="L210" s="148" cm="1">
        <f t="array" ref="L210">Common_InputFunctions.Utility_DisplayArrayInTable(Fertiliser_SourceData.Fertiliser_Products_Data5(),FertiliserProducts[[#Headers],[Company]], 121)</f>
        <v>12.7</v>
      </c>
      <c r="M210" s="148" cm="1">
        <f t="array" ref="M210">Common_InputFunctions.Utility_DisplayArrayInTable(Fertiliser_SourceData.Fertiliser_Products_Data5(),FertiliserProducts[[#Headers],[Company]], 121)</f>
        <v>0</v>
      </c>
      <c r="N210" s="148" cm="1">
        <f t="array" ref="N210">Common_InputFunctions.Utility_DisplayArrayInTable(Fertiliser_SourceData.Fertiliser_Products_Data5(),FertiliserProducts[[#Headers],[Company]], 121)</f>
        <v>6.8</v>
      </c>
      <c r="O210" s="148" t="str" cm="1">
        <f t="array" ref="O210">Common_InputFunctions.Utility_DisplayArrayInTable(Fertiliser_SourceData.Fertiliser_Products_Data5(),FertiliserProducts[[#Headers],[Company]], 121)</f>
        <v>Nitrogen - Generic</v>
      </c>
      <c r="P210" s="148" cm="1">
        <f t="array" ref="P210">Common_InputFunctions.Utility_DisplayArrayInTable(Fertiliser_SourceData.Fertiliser_Products_Data5(),FertiliserProducts[[#Headers],[Company]], 121)</f>
        <v>0.186</v>
      </c>
      <c r="Q210" s="148" t="str" cm="1">
        <f t="array" ref="Q210">Common_InputFunctions.Utility_DisplayArrayInTable(Fertiliser_SourceData.Fertiliser_Products_Data5(),FertiliserProducts[[#Headers],[Company]], 121)</f>
        <v>Phosphorus - Generic</v>
      </c>
      <c r="R210" s="148" cm="1">
        <f t="array" ref="R210">Common_InputFunctions.Utility_DisplayArrayInTable(Fertiliser_SourceData.Fertiliser_Products_Data5(),FertiliserProducts[[#Headers],[Company]], 121)</f>
        <v>0.127</v>
      </c>
      <c r="S210" s="148" t="str" cm="1">
        <f t="array" ref="S210">Common_InputFunctions.Utility_DisplayArrayInTable(Fertiliser_SourceData.Fertiliser_Products_Data5(),FertiliserProducts[[#Headers],[Company]], 121)</f>
        <v>Sulfur - Generic</v>
      </c>
      <c r="T210" s="148" cm="1">
        <f t="array" ref="T210">Common_InputFunctions.Utility_DisplayArrayInTable(Fertiliser_SourceData.Fertiliser_Products_Data5(),FertiliserProducts[[#Headers],[Company]], 121)</f>
        <v>6.8000000000000005E-2</v>
      </c>
      <c r="U210" s="148" t="str" cm="1">
        <f t="array" ref="U210">Common_InputFunctions.Utility_DisplayArrayInTable(Fertiliser_SourceData.Fertiliser_Products_Data5(),FertiliserProducts[[#Headers],[Company]], 121)</f>
        <v>Zinc</v>
      </c>
      <c r="V210" s="148" cm="1">
        <f t="array" ref="V210">Common_InputFunctions.Utility_DisplayArrayInTable(Fertiliser_SourceData.Fertiliser_Products_Data5(),FertiliserProducts[[#Headers],[Company]], 121)</f>
        <v>6.0000000000000001E-3</v>
      </c>
      <c r="W210" s="148" t="str" cm="1">
        <f t="array" ref="W210">Common_InputFunctions.Utility_DisplayArrayInTable(Fertiliser_SourceData.Fertiliser_Products_Data5(),FertiliserProducts[[#Headers],[Company]], 121)</f>
        <v/>
      </c>
      <c r="X210" s="148" t="str" cm="1">
        <f t="array" ref="X210">Common_InputFunctions.Utility_DisplayArrayInTable(Fertiliser_SourceData.Fertiliser_Products_Data5(),FertiliserProducts[[#Headers],[Company]], 121)</f>
        <v/>
      </c>
      <c r="Y210" s="148" t="str" cm="1">
        <f t="array" ref="Y210">Common_InputFunctions.Utility_DisplayArrayInTable(Fertiliser_SourceData.Fertiliser_Products_Data5(),FertiliserProducts[[#Headers],[Company]], 121)</f>
        <v/>
      </c>
      <c r="Z210" s="148" t="str" cm="1">
        <f t="array" ref="Z210">Common_InputFunctions.Utility_DisplayArrayInTable(Fertiliser_SourceData.Fertiliser_Products_Data5(),FertiliserProducts[[#Headers],[Company]], 121)</f>
        <v/>
      </c>
      <c r="AA210" s="148" t="str" cm="1">
        <f t="array" ref="AA210">Common_InputFunctions.Utility_DisplayArrayInTable(Fertiliser_SourceData.Fertiliser_Products_Data5(),FertiliserProducts[[#Headers],[Company]], 121)</f>
        <v/>
      </c>
      <c r="AB210" s="148" t="str" cm="1">
        <f t="array" ref="AB210">Common_InputFunctions.Utility_DisplayArrayInTable(Fertiliser_SourceData.Fertiliser_Products_Data5(),FertiliserProducts[[#Headers],[Company]], 121)</f>
        <v/>
      </c>
      <c r="AC210" s="148" t="str" cm="1">
        <f t="array" ref="AC210">Common_InputFunctions.Utility_DisplayArrayInTable(Fertiliser_SourceData.Fertiliser_Products_Data5(),FertiliserProducts[[#Headers],[Company]], 121)</f>
        <v/>
      </c>
      <c r="AD210" s="148" t="str" cm="1">
        <f t="array" ref="AD210">Common_InputFunctions.Utility_DisplayArrayInTable(Fertiliser_SourceData.Fertiliser_Products_Data5(),FertiliserProducts[[#Headers],[Company]], 121)</f>
        <v/>
      </c>
      <c r="AE210" s="148" t="str" cm="1">
        <f t="array" ref="AE210">Common_InputFunctions.Utility_DisplayArrayInTable(Fertiliser_SourceData.Fertiliser_Products_Data5(),FertiliserProducts[[#Headers],[Company]], 121)</f>
        <v/>
      </c>
      <c r="AF210" s="148" t="str" cm="1">
        <f t="array" ref="AF210">Common_InputFunctions.Utility_DisplayArrayInTable(Fertiliser_SourceData.Fertiliser_Products_Data5(),FertiliserProducts[[#Headers],[Company]], 121)</f>
        <v/>
      </c>
      <c r="AG210" s="148" t="str" cm="1">
        <f t="array" ref="AG210">Common_InputFunctions.Utility_DisplayArrayInTable(Fertiliser_SourceData.Fertiliser_Products_Data5(),FertiliserProducts[[#Headers],[Company]], 121)</f>
        <v/>
      </c>
      <c r="AH210" s="148" t="str" cm="1">
        <f t="array" ref="AH210">Common_InputFunctions.Utility_DisplayArrayInTable(Fertiliser_SourceData.Fertiliser_Products_Data5(),FertiliserProducts[[#Headers],[Company]], 121)</f>
        <v/>
      </c>
    </row>
    <row r="211" spans="1:34" ht="20.100000000000001" customHeight="1" x14ac:dyDescent="0.2">
      <c r="D211" s="148" t="str" cm="1">
        <f t="array" ref="D211">Common_InputFunctions.Utility_DisplayArrayInTable(Fertiliser_SourceData.Fertiliser_Products_Data5(),FertiliserProducts[[#Headers],[Company]], 121)</f>
        <v>Wengfu Australia</v>
      </c>
      <c r="E211" s="148" t="str" cm="1">
        <f t="array" ref="E211">Common_InputFunctions.Utility_DisplayArrayInTable(Fertiliser_SourceData.Fertiliser_Products_Data5(),FertiliserProducts[[#Headers],[Company]], 121)</f>
        <v>Wengfu Booster K</v>
      </c>
      <c r="F211" s="148" t="str" cm="1">
        <f t="array" ref="F211">Common_InputFunctions.Utility_DisplayArrayInTable(Fertiliser_SourceData.Fertiliser_Products_Data5(),FertiliserProducts[[#Headers],[Company]], 121)</f>
        <v>kg</v>
      </c>
      <c r="G211" s="148" cm="1">
        <f t="array" ref="G211">Common_InputFunctions.Utility_DisplayArrayInTable(Fertiliser_SourceData.Fertiliser_Products_Data5(),FertiliserProducts[[#Headers],[Company]], 121)</f>
        <v>1</v>
      </c>
      <c r="H211" s="148" t="str" cm="1">
        <f t="array" ref="H211">Common_InputFunctions.Utility_DisplayArrayInTable(Fertiliser_SourceData.Fertiliser_Products_Data5(),FertiliserProducts[[#Headers],[Company]], 121)</f>
        <v/>
      </c>
      <c r="I211" s="148" t="str" cm="1">
        <f t="array" ref="I211">Common_InputFunctions.Utility_DisplayArrayInTable(Fertiliser_SourceData.Fertiliser_Products_Data5(),FertiliserProducts[[#Headers],[Company]], 121)</f>
        <v/>
      </c>
      <c r="J211" s="148" t="str" cm="1">
        <f t="array" ref="J211">Common_InputFunctions.Utility_DisplayArrayInTable(Fertiliser_SourceData.Fertiliser_Products_Data5(),FertiliserProducts[[#Headers],[Company]], 121)</f>
        <v/>
      </c>
      <c r="K211" s="148" cm="1">
        <f t="array" ref="K211">Common_InputFunctions.Utility_DisplayArrayInTable(Fertiliser_SourceData.Fertiliser_Products_Data5(),FertiliserProducts[[#Headers],[Company]], 121)</f>
        <v>32</v>
      </c>
      <c r="L211" s="148" cm="1">
        <f t="array" ref="L211">Common_InputFunctions.Utility_DisplayArrayInTable(Fertiliser_SourceData.Fertiliser_Products_Data5(),FertiliserProducts[[#Headers],[Company]], 121)</f>
        <v>0</v>
      </c>
      <c r="M211" s="148" cm="1">
        <f t="array" ref="M211">Common_InputFunctions.Utility_DisplayArrayInTable(Fertiliser_SourceData.Fertiliser_Products_Data5(),FertiliserProducts[[#Headers],[Company]], 121)</f>
        <v>11</v>
      </c>
      <c r="N211" s="148" cm="1">
        <f t="array" ref="N211">Common_InputFunctions.Utility_DisplayArrayInTable(Fertiliser_SourceData.Fertiliser_Products_Data5(),FertiliserProducts[[#Headers],[Company]], 121)</f>
        <v>3</v>
      </c>
      <c r="O211" s="148" t="str" cm="1">
        <f t="array" ref="O211">Common_InputFunctions.Utility_DisplayArrayInTable(Fertiliser_SourceData.Fertiliser_Products_Data5(),FertiliserProducts[[#Headers],[Company]], 121)</f>
        <v>Nitrogen - Generic</v>
      </c>
      <c r="P211" s="148" cm="1">
        <f t="array" ref="P211">Common_InputFunctions.Utility_DisplayArrayInTable(Fertiliser_SourceData.Fertiliser_Products_Data5(),FertiliserProducts[[#Headers],[Company]], 121)</f>
        <v>0.32</v>
      </c>
      <c r="Q211" s="148" t="str" cm="1">
        <f t="array" ref="Q211">Common_InputFunctions.Utility_DisplayArrayInTable(Fertiliser_SourceData.Fertiliser_Products_Data5(),FertiliserProducts[[#Headers],[Company]], 121)</f>
        <v>Potassium - Generic</v>
      </c>
      <c r="R211" s="148" cm="1">
        <f t="array" ref="R211">Common_InputFunctions.Utility_DisplayArrayInTable(Fertiliser_SourceData.Fertiliser_Products_Data5(),FertiliserProducts[[#Headers],[Company]], 121)</f>
        <v>0.11</v>
      </c>
      <c r="S211" s="148" t="str" cm="1">
        <f t="array" ref="S211">Common_InputFunctions.Utility_DisplayArrayInTable(Fertiliser_SourceData.Fertiliser_Products_Data5(),FertiliserProducts[[#Headers],[Company]], 121)</f>
        <v>Sulfur - Generic</v>
      </c>
      <c r="T211" s="148" cm="1">
        <f t="array" ref="T211">Common_InputFunctions.Utility_DisplayArrayInTable(Fertiliser_SourceData.Fertiliser_Products_Data5(),FertiliserProducts[[#Headers],[Company]], 121)</f>
        <v>0.03</v>
      </c>
      <c r="U211" s="148" t="str" cm="1">
        <f t="array" ref="U211">Common_InputFunctions.Utility_DisplayArrayInTable(Fertiliser_SourceData.Fertiliser_Products_Data5(),FertiliserProducts[[#Headers],[Company]], 121)</f>
        <v/>
      </c>
      <c r="V211" s="148" t="str" cm="1">
        <f t="array" ref="V211">Common_InputFunctions.Utility_DisplayArrayInTable(Fertiliser_SourceData.Fertiliser_Products_Data5(),FertiliserProducts[[#Headers],[Company]], 121)</f>
        <v/>
      </c>
      <c r="W211" s="148" t="str" cm="1">
        <f t="array" ref="W211">Common_InputFunctions.Utility_DisplayArrayInTable(Fertiliser_SourceData.Fertiliser_Products_Data5(),FertiliserProducts[[#Headers],[Company]], 121)</f>
        <v/>
      </c>
      <c r="X211" s="148" t="str" cm="1">
        <f t="array" ref="X211">Common_InputFunctions.Utility_DisplayArrayInTable(Fertiliser_SourceData.Fertiliser_Products_Data5(),FertiliserProducts[[#Headers],[Company]], 121)</f>
        <v/>
      </c>
      <c r="Y211" s="148" t="str" cm="1">
        <f t="array" ref="Y211">Common_InputFunctions.Utility_DisplayArrayInTable(Fertiliser_SourceData.Fertiliser_Products_Data5(),FertiliserProducts[[#Headers],[Company]], 121)</f>
        <v/>
      </c>
      <c r="Z211" s="148" t="str" cm="1">
        <f t="array" ref="Z211">Common_InputFunctions.Utility_DisplayArrayInTable(Fertiliser_SourceData.Fertiliser_Products_Data5(),FertiliserProducts[[#Headers],[Company]], 121)</f>
        <v/>
      </c>
      <c r="AA211" s="148" t="str" cm="1">
        <f t="array" ref="AA211">Common_InputFunctions.Utility_DisplayArrayInTable(Fertiliser_SourceData.Fertiliser_Products_Data5(),FertiliserProducts[[#Headers],[Company]], 121)</f>
        <v/>
      </c>
      <c r="AB211" s="148" t="str" cm="1">
        <f t="array" ref="AB211">Common_InputFunctions.Utility_DisplayArrayInTable(Fertiliser_SourceData.Fertiliser_Products_Data5(),FertiliserProducts[[#Headers],[Company]], 121)</f>
        <v/>
      </c>
      <c r="AC211" s="148" t="str" cm="1">
        <f t="array" ref="AC211">Common_InputFunctions.Utility_DisplayArrayInTable(Fertiliser_SourceData.Fertiliser_Products_Data5(),FertiliserProducts[[#Headers],[Company]], 121)</f>
        <v/>
      </c>
      <c r="AD211" s="148" t="str" cm="1">
        <f t="array" ref="AD211">Common_InputFunctions.Utility_DisplayArrayInTable(Fertiliser_SourceData.Fertiliser_Products_Data5(),FertiliserProducts[[#Headers],[Company]], 121)</f>
        <v/>
      </c>
      <c r="AE211" s="148" t="str" cm="1">
        <f t="array" ref="AE211">Common_InputFunctions.Utility_DisplayArrayInTable(Fertiliser_SourceData.Fertiliser_Products_Data5(),FertiliserProducts[[#Headers],[Company]], 121)</f>
        <v/>
      </c>
      <c r="AF211" s="148" t="str" cm="1">
        <f t="array" ref="AF211">Common_InputFunctions.Utility_DisplayArrayInTable(Fertiliser_SourceData.Fertiliser_Products_Data5(),FertiliserProducts[[#Headers],[Company]], 121)</f>
        <v/>
      </c>
      <c r="AG211" s="148" t="str" cm="1">
        <f t="array" ref="AG211">Common_InputFunctions.Utility_DisplayArrayInTable(Fertiliser_SourceData.Fertiliser_Products_Data5(),FertiliserProducts[[#Headers],[Company]], 121)</f>
        <v/>
      </c>
      <c r="AH211" s="148" t="str" cm="1">
        <f t="array" ref="AH211">Common_InputFunctions.Utility_DisplayArrayInTable(Fertiliser_SourceData.Fertiliser_Products_Data5(),FertiliserProducts[[#Headers],[Company]], 121)</f>
        <v/>
      </c>
    </row>
    <row r="212" spans="1:34" ht="20.100000000000001" customHeight="1" x14ac:dyDescent="0.2">
      <c r="D212" s="148" t="str" cm="1">
        <f t="array" ref="D212">Common_InputFunctions.Utility_DisplayArrayInTable(Fertiliser_SourceData.Fertiliser_Products_Data5(),FertiliserProducts[[#Headers],[Company]], 121)</f>
        <v>Wengfu Australia</v>
      </c>
      <c r="E212" s="148" t="str" cm="1">
        <f t="array" ref="E212">Common_InputFunctions.Utility_DisplayArrayInTable(Fertiliser_SourceData.Fertiliser_Products_Data5(),FertiliserProducts[[#Headers],[Company]], 121)</f>
        <v>Wengfu Booster Rich 1</v>
      </c>
      <c r="F212" s="148" t="str" cm="1">
        <f t="array" ref="F212">Common_InputFunctions.Utility_DisplayArrayInTable(Fertiliser_SourceData.Fertiliser_Products_Data5(),FertiliserProducts[[#Headers],[Company]], 121)</f>
        <v>kg</v>
      </c>
      <c r="G212" s="148" cm="1">
        <f t="array" ref="G212">Common_InputFunctions.Utility_DisplayArrayInTable(Fertiliser_SourceData.Fertiliser_Products_Data5(),FertiliserProducts[[#Headers],[Company]], 121)</f>
        <v>1</v>
      </c>
      <c r="H212" s="148" t="str" cm="1">
        <f t="array" ref="H212">Common_InputFunctions.Utility_DisplayArrayInTable(Fertiliser_SourceData.Fertiliser_Products_Data5(),FertiliserProducts[[#Headers],[Company]], 121)</f>
        <v/>
      </c>
      <c r="I212" s="148" t="str" cm="1">
        <f t="array" ref="I212">Common_InputFunctions.Utility_DisplayArrayInTable(Fertiliser_SourceData.Fertiliser_Products_Data5(),FertiliserProducts[[#Headers],[Company]], 121)</f>
        <v/>
      </c>
      <c r="J212" s="148" t="str" cm="1">
        <f t="array" ref="J212">Common_InputFunctions.Utility_DisplayArrayInTable(Fertiliser_SourceData.Fertiliser_Products_Data5(),FertiliserProducts[[#Headers],[Company]], 121)</f>
        <v/>
      </c>
      <c r="K212" s="148" cm="1">
        <f t="array" ref="K212">Common_InputFunctions.Utility_DisplayArrayInTable(Fertiliser_SourceData.Fertiliser_Products_Data5(),FertiliserProducts[[#Headers],[Company]], 121)</f>
        <v>31</v>
      </c>
      <c r="L212" s="148" cm="1">
        <f t="array" ref="L212">Common_InputFunctions.Utility_DisplayArrayInTable(Fertiliser_SourceData.Fertiliser_Products_Data5(),FertiliserProducts[[#Headers],[Company]], 121)</f>
        <v>6</v>
      </c>
      <c r="M212" s="148" cm="1">
        <f t="array" ref="M212">Common_InputFunctions.Utility_DisplayArrayInTable(Fertiliser_SourceData.Fertiliser_Products_Data5(),FertiliserProducts[[#Headers],[Company]], 121)</f>
        <v>0</v>
      </c>
      <c r="N212" s="148" cm="1">
        <f t="array" ref="N212">Common_InputFunctions.Utility_DisplayArrayInTable(Fertiliser_SourceData.Fertiliser_Products_Data5(),FertiliserProducts[[#Headers],[Company]], 121)</f>
        <v>6</v>
      </c>
      <c r="O212" s="148" t="str" cm="1">
        <f t="array" ref="O212">Common_InputFunctions.Utility_DisplayArrayInTable(Fertiliser_SourceData.Fertiliser_Products_Data5(),FertiliserProducts[[#Headers],[Company]], 121)</f>
        <v>Nitrogen - Generic</v>
      </c>
      <c r="P212" s="148" cm="1">
        <f t="array" ref="P212">Common_InputFunctions.Utility_DisplayArrayInTable(Fertiliser_SourceData.Fertiliser_Products_Data5(),FertiliserProducts[[#Headers],[Company]], 121)</f>
        <v>0.31</v>
      </c>
      <c r="Q212" s="148" t="str" cm="1">
        <f t="array" ref="Q212">Common_InputFunctions.Utility_DisplayArrayInTable(Fertiliser_SourceData.Fertiliser_Products_Data5(),FertiliserProducts[[#Headers],[Company]], 121)</f>
        <v>Phosphorus - Generic</v>
      </c>
      <c r="R212" s="148" cm="1">
        <f t="array" ref="R212">Common_InputFunctions.Utility_DisplayArrayInTable(Fertiliser_SourceData.Fertiliser_Products_Data5(),FertiliserProducts[[#Headers],[Company]], 121)</f>
        <v>0.06</v>
      </c>
      <c r="S212" s="148" t="str" cm="1">
        <f t="array" ref="S212">Common_InputFunctions.Utility_DisplayArrayInTable(Fertiliser_SourceData.Fertiliser_Products_Data5(),FertiliserProducts[[#Headers],[Company]], 121)</f>
        <v>Sulfur - Generic</v>
      </c>
      <c r="T212" s="148" cm="1">
        <f t="array" ref="T212">Common_InputFunctions.Utility_DisplayArrayInTable(Fertiliser_SourceData.Fertiliser_Products_Data5(),FertiliserProducts[[#Headers],[Company]], 121)</f>
        <v>0.06</v>
      </c>
      <c r="U212" s="148" t="str" cm="1">
        <f t="array" ref="U212">Common_InputFunctions.Utility_DisplayArrayInTable(Fertiliser_SourceData.Fertiliser_Products_Data5(),FertiliserProducts[[#Headers],[Company]], 121)</f>
        <v/>
      </c>
      <c r="V212" s="148" t="str" cm="1">
        <f t="array" ref="V212">Common_InputFunctions.Utility_DisplayArrayInTable(Fertiliser_SourceData.Fertiliser_Products_Data5(),FertiliserProducts[[#Headers],[Company]], 121)</f>
        <v/>
      </c>
      <c r="W212" s="148" t="str" cm="1">
        <f t="array" ref="W212">Common_InputFunctions.Utility_DisplayArrayInTable(Fertiliser_SourceData.Fertiliser_Products_Data5(),FertiliserProducts[[#Headers],[Company]], 121)</f>
        <v/>
      </c>
      <c r="X212" s="148" t="str" cm="1">
        <f t="array" ref="X212">Common_InputFunctions.Utility_DisplayArrayInTable(Fertiliser_SourceData.Fertiliser_Products_Data5(),FertiliserProducts[[#Headers],[Company]], 121)</f>
        <v/>
      </c>
      <c r="Y212" s="148" t="str" cm="1">
        <f t="array" ref="Y212">Common_InputFunctions.Utility_DisplayArrayInTable(Fertiliser_SourceData.Fertiliser_Products_Data5(),FertiliserProducts[[#Headers],[Company]], 121)</f>
        <v/>
      </c>
      <c r="Z212" s="148" t="str" cm="1">
        <f t="array" ref="Z212">Common_InputFunctions.Utility_DisplayArrayInTable(Fertiliser_SourceData.Fertiliser_Products_Data5(),FertiliserProducts[[#Headers],[Company]], 121)</f>
        <v/>
      </c>
      <c r="AA212" s="148" t="str" cm="1">
        <f t="array" ref="AA212">Common_InputFunctions.Utility_DisplayArrayInTable(Fertiliser_SourceData.Fertiliser_Products_Data5(),FertiliserProducts[[#Headers],[Company]], 121)</f>
        <v/>
      </c>
      <c r="AB212" s="148" t="str" cm="1">
        <f t="array" ref="AB212">Common_InputFunctions.Utility_DisplayArrayInTable(Fertiliser_SourceData.Fertiliser_Products_Data5(),FertiliserProducts[[#Headers],[Company]], 121)</f>
        <v/>
      </c>
      <c r="AC212" s="148" t="str" cm="1">
        <f t="array" ref="AC212">Common_InputFunctions.Utility_DisplayArrayInTable(Fertiliser_SourceData.Fertiliser_Products_Data5(),FertiliserProducts[[#Headers],[Company]], 121)</f>
        <v/>
      </c>
      <c r="AD212" s="148" t="str" cm="1">
        <f t="array" ref="AD212">Common_InputFunctions.Utility_DisplayArrayInTable(Fertiliser_SourceData.Fertiliser_Products_Data5(),FertiliserProducts[[#Headers],[Company]], 121)</f>
        <v/>
      </c>
      <c r="AE212" s="148" t="str" cm="1">
        <f t="array" ref="AE212">Common_InputFunctions.Utility_DisplayArrayInTable(Fertiliser_SourceData.Fertiliser_Products_Data5(),FertiliserProducts[[#Headers],[Company]], 121)</f>
        <v/>
      </c>
      <c r="AF212" s="148" t="str" cm="1">
        <f t="array" ref="AF212">Common_InputFunctions.Utility_DisplayArrayInTable(Fertiliser_SourceData.Fertiliser_Products_Data5(),FertiliserProducts[[#Headers],[Company]], 121)</f>
        <v/>
      </c>
      <c r="AG212" s="148" t="str" cm="1">
        <f t="array" ref="AG212">Common_InputFunctions.Utility_DisplayArrayInTable(Fertiliser_SourceData.Fertiliser_Products_Data5(),FertiliserProducts[[#Headers],[Company]], 121)</f>
        <v/>
      </c>
      <c r="AH212" s="148" t="str" cm="1">
        <f t="array" ref="AH212">Common_InputFunctions.Utility_DisplayArrayInTable(Fertiliser_SourceData.Fertiliser_Products_Data5(),FertiliserProducts[[#Headers],[Company]], 121)</f>
        <v/>
      </c>
    </row>
    <row r="213" spans="1:34" ht="20.100000000000001" customHeight="1" x14ac:dyDescent="0.2">
      <c r="D213" s="148" t="str" cm="1">
        <f t="array" ref="D213">Common_InputFunctions.Utility_DisplayArrayInTable(Fertiliser_SourceData.Fertiliser_Products_Data5(),FertiliserProducts[[#Headers],[Company]], 121)</f>
        <v>Wengfu Australia</v>
      </c>
      <c r="E213" s="148" t="str" cm="1">
        <f t="array" ref="E213">Common_InputFunctions.Utility_DisplayArrayInTable(Fertiliser_SourceData.Fertiliser_Products_Data5(),FertiliserProducts[[#Headers],[Company]], 121)</f>
        <v>Wengfu Booster Grass DAP</v>
      </c>
      <c r="F213" s="148" t="str" cm="1">
        <f t="array" ref="F213">Common_InputFunctions.Utility_DisplayArrayInTable(Fertiliser_SourceData.Fertiliser_Products_Data5(),FertiliserProducts[[#Headers],[Company]], 121)</f>
        <v>kg</v>
      </c>
      <c r="G213" s="148" cm="1">
        <f t="array" ref="G213">Common_InputFunctions.Utility_DisplayArrayInTable(Fertiliser_SourceData.Fertiliser_Products_Data5(),FertiliserProducts[[#Headers],[Company]], 121)</f>
        <v>1</v>
      </c>
      <c r="H213" s="148" t="str" cm="1">
        <f t="array" ref="H213">Common_InputFunctions.Utility_DisplayArrayInTable(Fertiliser_SourceData.Fertiliser_Products_Data5(),FertiliserProducts[[#Headers],[Company]], 121)</f>
        <v/>
      </c>
      <c r="I213" s="148" t="str" cm="1">
        <f t="array" ref="I213">Common_InputFunctions.Utility_DisplayArrayInTable(Fertiliser_SourceData.Fertiliser_Products_Data5(),FertiliserProducts[[#Headers],[Company]], 121)</f>
        <v/>
      </c>
      <c r="J213" s="148" t="str" cm="1">
        <f t="array" ref="J213">Common_InputFunctions.Utility_DisplayArrayInTable(Fertiliser_SourceData.Fertiliser_Products_Data5(),FertiliserProducts[[#Headers],[Company]], 121)</f>
        <v/>
      </c>
      <c r="K213" s="148" cm="1">
        <f t="array" ref="K213">Common_InputFunctions.Utility_DisplayArrayInTable(Fertiliser_SourceData.Fertiliser_Products_Data5(),FertiliserProducts[[#Headers],[Company]], 121)</f>
        <v>21</v>
      </c>
      <c r="L213" s="148" cm="1">
        <f t="array" ref="L213">Common_InputFunctions.Utility_DisplayArrayInTable(Fertiliser_SourceData.Fertiliser_Products_Data5(),FertiliserProducts[[#Headers],[Company]], 121)</f>
        <v>4</v>
      </c>
      <c r="M213" s="148" cm="1">
        <f t="array" ref="M213">Common_InputFunctions.Utility_DisplayArrayInTable(Fertiliser_SourceData.Fertiliser_Products_Data5(),FertiliserProducts[[#Headers],[Company]], 121)</f>
        <v>8</v>
      </c>
      <c r="N213" s="148" cm="1">
        <f t="array" ref="N213">Common_InputFunctions.Utility_DisplayArrayInTable(Fertiliser_SourceData.Fertiliser_Products_Data5(),FertiliserProducts[[#Headers],[Company]], 121)</f>
        <v>7</v>
      </c>
      <c r="O213" s="148" t="str" cm="1">
        <f t="array" ref="O213">Common_InputFunctions.Utility_DisplayArrayInTable(Fertiliser_SourceData.Fertiliser_Products_Data5(),FertiliserProducts[[#Headers],[Company]], 121)</f>
        <v>Nitrogen - Generic</v>
      </c>
      <c r="P213" s="148" cm="1">
        <f t="array" ref="P213">Common_InputFunctions.Utility_DisplayArrayInTable(Fertiliser_SourceData.Fertiliser_Products_Data5(),FertiliserProducts[[#Headers],[Company]], 121)</f>
        <v>0.21</v>
      </c>
      <c r="Q213" s="148" t="str" cm="1">
        <f t="array" ref="Q213">Common_InputFunctions.Utility_DisplayArrayInTable(Fertiliser_SourceData.Fertiliser_Products_Data5(),FertiliserProducts[[#Headers],[Company]], 121)</f>
        <v>Phosphorus - Generic</v>
      </c>
      <c r="R213" s="148" cm="1">
        <f t="array" ref="R213">Common_InputFunctions.Utility_DisplayArrayInTable(Fertiliser_SourceData.Fertiliser_Products_Data5(),FertiliserProducts[[#Headers],[Company]], 121)</f>
        <v>0.04</v>
      </c>
      <c r="S213" s="148" t="str" cm="1">
        <f t="array" ref="S213">Common_InputFunctions.Utility_DisplayArrayInTable(Fertiliser_SourceData.Fertiliser_Products_Data5(),FertiliserProducts[[#Headers],[Company]], 121)</f>
        <v>Potassium - Generic</v>
      </c>
      <c r="T213" s="148" cm="1">
        <f t="array" ref="T213">Common_InputFunctions.Utility_DisplayArrayInTable(Fertiliser_SourceData.Fertiliser_Products_Data5(),FertiliserProducts[[#Headers],[Company]], 121)</f>
        <v>0.08</v>
      </c>
      <c r="U213" s="148" t="str" cm="1">
        <f t="array" ref="U213">Common_InputFunctions.Utility_DisplayArrayInTable(Fertiliser_SourceData.Fertiliser_Products_Data5(),FertiliserProducts[[#Headers],[Company]], 121)</f>
        <v>Sulfur - Generic</v>
      </c>
      <c r="V213" s="148" cm="1">
        <f t="array" ref="V213">Common_InputFunctions.Utility_DisplayArrayInTable(Fertiliser_SourceData.Fertiliser_Products_Data5(),FertiliserProducts[[#Headers],[Company]], 121)</f>
        <v>7.0000000000000007E-2</v>
      </c>
      <c r="W213" s="148" t="str" cm="1">
        <f t="array" ref="W213">Common_InputFunctions.Utility_DisplayArrayInTable(Fertiliser_SourceData.Fertiliser_Products_Data5(),FertiliserProducts[[#Headers],[Company]], 121)</f>
        <v/>
      </c>
      <c r="X213" s="148" t="str" cm="1">
        <f t="array" ref="X213">Common_InputFunctions.Utility_DisplayArrayInTable(Fertiliser_SourceData.Fertiliser_Products_Data5(),FertiliserProducts[[#Headers],[Company]], 121)</f>
        <v/>
      </c>
      <c r="Y213" s="148" t="str" cm="1">
        <f t="array" ref="Y213">Common_InputFunctions.Utility_DisplayArrayInTable(Fertiliser_SourceData.Fertiliser_Products_Data5(),FertiliserProducts[[#Headers],[Company]], 121)</f>
        <v/>
      </c>
      <c r="Z213" s="148" t="str" cm="1">
        <f t="array" ref="Z213">Common_InputFunctions.Utility_DisplayArrayInTable(Fertiliser_SourceData.Fertiliser_Products_Data5(),FertiliserProducts[[#Headers],[Company]], 121)</f>
        <v/>
      </c>
      <c r="AA213" s="148" t="str" cm="1">
        <f t="array" ref="AA213">Common_InputFunctions.Utility_DisplayArrayInTable(Fertiliser_SourceData.Fertiliser_Products_Data5(),FertiliserProducts[[#Headers],[Company]], 121)</f>
        <v/>
      </c>
      <c r="AB213" s="148" t="str" cm="1">
        <f t="array" ref="AB213">Common_InputFunctions.Utility_DisplayArrayInTable(Fertiliser_SourceData.Fertiliser_Products_Data5(),FertiliserProducts[[#Headers],[Company]], 121)</f>
        <v/>
      </c>
      <c r="AC213" s="148" t="str" cm="1">
        <f t="array" ref="AC213">Common_InputFunctions.Utility_DisplayArrayInTable(Fertiliser_SourceData.Fertiliser_Products_Data5(),FertiliserProducts[[#Headers],[Company]], 121)</f>
        <v/>
      </c>
      <c r="AD213" s="148" t="str" cm="1">
        <f t="array" ref="AD213">Common_InputFunctions.Utility_DisplayArrayInTable(Fertiliser_SourceData.Fertiliser_Products_Data5(),FertiliserProducts[[#Headers],[Company]], 121)</f>
        <v/>
      </c>
      <c r="AE213" s="148" t="str" cm="1">
        <f t="array" ref="AE213">Common_InputFunctions.Utility_DisplayArrayInTable(Fertiliser_SourceData.Fertiliser_Products_Data5(),FertiliserProducts[[#Headers],[Company]], 121)</f>
        <v/>
      </c>
      <c r="AF213" s="148" t="str" cm="1">
        <f t="array" ref="AF213">Common_InputFunctions.Utility_DisplayArrayInTable(Fertiliser_SourceData.Fertiliser_Products_Data5(),FertiliserProducts[[#Headers],[Company]], 121)</f>
        <v/>
      </c>
      <c r="AG213" s="148" t="str" cm="1">
        <f t="array" ref="AG213">Common_InputFunctions.Utility_DisplayArrayInTable(Fertiliser_SourceData.Fertiliser_Products_Data5(),FertiliserProducts[[#Headers],[Company]], 121)</f>
        <v/>
      </c>
      <c r="AH213" s="148" t="str" cm="1">
        <f t="array" ref="AH213">Common_InputFunctions.Utility_DisplayArrayInTable(Fertiliser_SourceData.Fertiliser_Products_Data5(),FertiliserProducts[[#Headers],[Company]], 121)</f>
        <v/>
      </c>
    </row>
    <row r="214" spans="1:34" ht="20.100000000000001" customHeight="1" x14ac:dyDescent="0.2">
      <c r="D214" s="148" t="str" cm="1">
        <f t="array" ref="D214">Common_InputFunctions.Utility_DisplayArrayInTable(Fertiliser_SourceData.Fertiliser_Products_Data5(),FertiliserProducts[[#Headers],[Company]], 121)</f>
        <v>Wengfu Australia</v>
      </c>
      <c r="E214" s="148" t="str" cm="1">
        <f t="array" ref="E214">Common_InputFunctions.Utility_DisplayArrayInTable(Fertiliser_SourceData.Fertiliser_Products_Data5(),FertiliserProducts[[#Headers],[Company]], 121)</f>
        <v>Wengfu Aftergraze</v>
      </c>
      <c r="F214" s="148" t="str" cm="1">
        <f t="array" ref="F214">Common_InputFunctions.Utility_DisplayArrayInTable(Fertiliser_SourceData.Fertiliser_Products_Data5(),FertiliserProducts[[#Headers],[Company]], 121)</f>
        <v>kg</v>
      </c>
      <c r="G214" s="148" cm="1">
        <f t="array" ref="G214">Common_InputFunctions.Utility_DisplayArrayInTable(Fertiliser_SourceData.Fertiliser_Products_Data5(),FertiliserProducts[[#Headers],[Company]], 121)</f>
        <v>1</v>
      </c>
      <c r="H214" s="148" t="str" cm="1">
        <f t="array" ref="H214">Common_InputFunctions.Utility_DisplayArrayInTable(Fertiliser_SourceData.Fertiliser_Products_Data5(),FertiliserProducts[[#Headers],[Company]], 121)</f>
        <v/>
      </c>
      <c r="I214" s="148" t="str" cm="1">
        <f t="array" ref="I214">Common_InputFunctions.Utility_DisplayArrayInTable(Fertiliser_SourceData.Fertiliser_Products_Data5(),FertiliserProducts[[#Headers],[Company]], 121)</f>
        <v/>
      </c>
      <c r="J214" s="148" t="str" cm="1">
        <f t="array" ref="J214">Common_InputFunctions.Utility_DisplayArrayInTable(Fertiliser_SourceData.Fertiliser_Products_Data5(),FertiliserProducts[[#Headers],[Company]], 121)</f>
        <v/>
      </c>
      <c r="K214" s="148" cm="1">
        <f t="array" ref="K214">Common_InputFunctions.Utility_DisplayArrayInTable(Fertiliser_SourceData.Fertiliser_Products_Data5(),FertiliserProducts[[#Headers],[Company]], 121)</f>
        <v>23</v>
      </c>
      <c r="L214" s="148" cm="1">
        <f t="array" ref="L214">Common_InputFunctions.Utility_DisplayArrayInTable(Fertiliser_SourceData.Fertiliser_Products_Data5(),FertiliserProducts[[#Headers],[Company]], 121)</f>
        <v>0</v>
      </c>
      <c r="M214" s="148" cm="1">
        <f t="array" ref="M214">Common_InputFunctions.Utility_DisplayArrayInTable(Fertiliser_SourceData.Fertiliser_Products_Data5(),FertiliserProducts[[#Headers],[Company]], 121)</f>
        <v>25</v>
      </c>
      <c r="N214" s="148" cm="1">
        <f t="array" ref="N214">Common_InputFunctions.Utility_DisplayArrayInTable(Fertiliser_SourceData.Fertiliser_Products_Data5(),FertiliserProducts[[#Headers],[Company]], 121)</f>
        <v>0</v>
      </c>
      <c r="O214" s="148" t="str" cm="1">
        <f t="array" ref="O214">Common_InputFunctions.Utility_DisplayArrayInTable(Fertiliser_SourceData.Fertiliser_Products_Data5(),FertiliserProducts[[#Headers],[Company]], 121)</f>
        <v>Nitrogen - Generic</v>
      </c>
      <c r="P214" s="148" cm="1">
        <f t="array" ref="P214">Common_InputFunctions.Utility_DisplayArrayInTable(Fertiliser_SourceData.Fertiliser_Products_Data5(),FertiliserProducts[[#Headers],[Company]], 121)</f>
        <v>0.23</v>
      </c>
      <c r="Q214" s="148" t="str" cm="1">
        <f t="array" ref="Q214">Common_InputFunctions.Utility_DisplayArrayInTable(Fertiliser_SourceData.Fertiliser_Products_Data5(),FertiliserProducts[[#Headers],[Company]], 121)</f>
        <v>Potassium - Generic</v>
      </c>
      <c r="R214" s="148" cm="1">
        <f t="array" ref="R214">Common_InputFunctions.Utility_DisplayArrayInTable(Fertiliser_SourceData.Fertiliser_Products_Data5(),FertiliserProducts[[#Headers],[Company]], 121)</f>
        <v>0.25</v>
      </c>
      <c r="S214" s="148" t="str" cm="1">
        <f t="array" ref="S214">Common_InputFunctions.Utility_DisplayArrayInTable(Fertiliser_SourceData.Fertiliser_Products_Data5(),FertiliserProducts[[#Headers],[Company]], 121)</f>
        <v/>
      </c>
      <c r="T214" s="148" t="str" cm="1">
        <f t="array" ref="T214">Common_InputFunctions.Utility_DisplayArrayInTable(Fertiliser_SourceData.Fertiliser_Products_Data5(),FertiliserProducts[[#Headers],[Company]], 121)</f>
        <v/>
      </c>
      <c r="U214" s="148" t="str" cm="1">
        <f t="array" ref="U214">Common_InputFunctions.Utility_DisplayArrayInTable(Fertiliser_SourceData.Fertiliser_Products_Data5(),FertiliserProducts[[#Headers],[Company]], 121)</f>
        <v/>
      </c>
      <c r="V214" s="148" t="str" cm="1">
        <f t="array" ref="V214">Common_InputFunctions.Utility_DisplayArrayInTable(Fertiliser_SourceData.Fertiliser_Products_Data5(),FertiliserProducts[[#Headers],[Company]], 121)</f>
        <v/>
      </c>
      <c r="W214" s="148" t="str" cm="1">
        <f t="array" ref="W214">Common_InputFunctions.Utility_DisplayArrayInTable(Fertiliser_SourceData.Fertiliser_Products_Data5(),FertiliserProducts[[#Headers],[Company]], 121)</f>
        <v/>
      </c>
      <c r="X214" s="148" t="str" cm="1">
        <f t="array" ref="X214">Common_InputFunctions.Utility_DisplayArrayInTable(Fertiliser_SourceData.Fertiliser_Products_Data5(),FertiliserProducts[[#Headers],[Company]], 121)</f>
        <v/>
      </c>
      <c r="Y214" s="148" t="str" cm="1">
        <f t="array" ref="Y214">Common_InputFunctions.Utility_DisplayArrayInTable(Fertiliser_SourceData.Fertiliser_Products_Data5(),FertiliserProducts[[#Headers],[Company]], 121)</f>
        <v/>
      </c>
      <c r="Z214" s="148" t="str" cm="1">
        <f t="array" ref="Z214">Common_InputFunctions.Utility_DisplayArrayInTable(Fertiliser_SourceData.Fertiliser_Products_Data5(),FertiliserProducts[[#Headers],[Company]], 121)</f>
        <v/>
      </c>
      <c r="AA214" s="148" t="str" cm="1">
        <f t="array" ref="AA214">Common_InputFunctions.Utility_DisplayArrayInTable(Fertiliser_SourceData.Fertiliser_Products_Data5(),FertiliserProducts[[#Headers],[Company]], 121)</f>
        <v/>
      </c>
      <c r="AB214" s="148" t="str" cm="1">
        <f t="array" ref="AB214">Common_InputFunctions.Utility_DisplayArrayInTable(Fertiliser_SourceData.Fertiliser_Products_Data5(),FertiliserProducts[[#Headers],[Company]], 121)</f>
        <v/>
      </c>
      <c r="AC214" s="148" t="str" cm="1">
        <f t="array" ref="AC214">Common_InputFunctions.Utility_DisplayArrayInTable(Fertiliser_SourceData.Fertiliser_Products_Data5(),FertiliserProducts[[#Headers],[Company]], 121)</f>
        <v/>
      </c>
      <c r="AD214" s="148" t="str" cm="1">
        <f t="array" ref="AD214">Common_InputFunctions.Utility_DisplayArrayInTable(Fertiliser_SourceData.Fertiliser_Products_Data5(),FertiliserProducts[[#Headers],[Company]], 121)</f>
        <v/>
      </c>
      <c r="AE214" s="148" t="str" cm="1">
        <f t="array" ref="AE214">Common_InputFunctions.Utility_DisplayArrayInTable(Fertiliser_SourceData.Fertiliser_Products_Data5(),FertiliserProducts[[#Headers],[Company]], 121)</f>
        <v/>
      </c>
      <c r="AF214" s="148" t="str" cm="1">
        <f t="array" ref="AF214">Common_InputFunctions.Utility_DisplayArrayInTable(Fertiliser_SourceData.Fertiliser_Products_Data5(),FertiliserProducts[[#Headers],[Company]], 121)</f>
        <v/>
      </c>
      <c r="AG214" s="148" t="str" cm="1">
        <f t="array" ref="AG214">Common_InputFunctions.Utility_DisplayArrayInTable(Fertiliser_SourceData.Fertiliser_Products_Data5(),FertiliserProducts[[#Headers],[Company]], 121)</f>
        <v/>
      </c>
      <c r="AH214" s="148" t="str" cm="1">
        <f t="array" ref="AH214">Common_InputFunctions.Utility_DisplayArrayInTable(Fertiliser_SourceData.Fertiliser_Products_Data5(),FertiliserProducts[[#Headers],[Company]], 121)</f>
        <v/>
      </c>
    </row>
    <row r="215" spans="1:34" ht="20.100000000000001" customHeight="1" x14ac:dyDescent="0.2">
      <c r="D215" s="148" t="str" cm="1">
        <f t="array" ref="D215">Common_InputFunctions.Utility_DisplayArrayInTable(Fertiliser_SourceData.Fertiliser_Products_Data5(),FertiliserProducts[[#Headers],[Company]], 121)</f>
        <v>Wengfu Australia</v>
      </c>
      <c r="E215" s="148" t="str" cm="1">
        <f t="array" ref="E215">Common_InputFunctions.Utility_DisplayArrayInTable(Fertiliser_SourceData.Fertiliser_Products_Data5(),FertiliserProducts[[#Headers],[Company]], 121)</f>
        <v>Wengfu Sidedress</v>
      </c>
      <c r="F215" s="148" t="str" cm="1">
        <f t="array" ref="F215">Common_InputFunctions.Utility_DisplayArrayInTable(Fertiliser_SourceData.Fertiliser_Products_Data5(),FertiliserProducts[[#Headers],[Company]], 121)</f>
        <v>kg</v>
      </c>
      <c r="G215" s="148" cm="1">
        <f t="array" ref="G215">Common_InputFunctions.Utility_DisplayArrayInTable(Fertiliser_SourceData.Fertiliser_Products_Data5(),FertiliserProducts[[#Headers],[Company]], 121)</f>
        <v>1</v>
      </c>
      <c r="H215" s="148" t="str" cm="1">
        <f t="array" ref="H215">Common_InputFunctions.Utility_DisplayArrayInTable(Fertiliser_SourceData.Fertiliser_Products_Data5(),FertiliserProducts[[#Headers],[Company]], 121)</f>
        <v/>
      </c>
      <c r="I215" s="148" t="str" cm="1">
        <f t="array" ref="I215">Common_InputFunctions.Utility_DisplayArrayInTable(Fertiliser_SourceData.Fertiliser_Products_Data5(),FertiliserProducts[[#Headers],[Company]], 121)</f>
        <v/>
      </c>
      <c r="J215" s="148" t="str" cm="1">
        <f t="array" ref="J215">Common_InputFunctions.Utility_DisplayArrayInTable(Fertiliser_SourceData.Fertiliser_Products_Data5(),FertiliserProducts[[#Headers],[Company]], 121)</f>
        <v/>
      </c>
      <c r="K215" s="148" cm="1">
        <f t="array" ref="K215">Common_InputFunctions.Utility_DisplayArrayInTable(Fertiliser_SourceData.Fertiliser_Products_Data5(),FertiliserProducts[[#Headers],[Company]], 121)</f>
        <v>25</v>
      </c>
      <c r="L215" s="148" cm="1">
        <f t="array" ref="L215">Common_InputFunctions.Utility_DisplayArrayInTable(Fertiliser_SourceData.Fertiliser_Products_Data5(),FertiliserProducts[[#Headers],[Company]], 121)</f>
        <v>4</v>
      </c>
      <c r="M215" s="148" cm="1">
        <f t="array" ref="M215">Common_InputFunctions.Utility_DisplayArrayInTable(Fertiliser_SourceData.Fertiliser_Products_Data5(),FertiliserProducts[[#Headers],[Company]], 121)</f>
        <v>13</v>
      </c>
      <c r="N215" s="148" cm="1">
        <f t="array" ref="N215">Common_InputFunctions.Utility_DisplayArrayInTable(Fertiliser_SourceData.Fertiliser_Products_Data5(),FertiliserProducts[[#Headers],[Company]], 121)</f>
        <v>4</v>
      </c>
      <c r="O215" s="148" t="str" cm="1">
        <f t="array" ref="O215">Common_InputFunctions.Utility_DisplayArrayInTable(Fertiliser_SourceData.Fertiliser_Products_Data5(),FertiliserProducts[[#Headers],[Company]], 121)</f>
        <v>Nitrogen - Generic</v>
      </c>
      <c r="P215" s="148" cm="1">
        <f t="array" ref="P215">Common_InputFunctions.Utility_DisplayArrayInTable(Fertiliser_SourceData.Fertiliser_Products_Data5(),FertiliserProducts[[#Headers],[Company]], 121)</f>
        <v>0.25</v>
      </c>
      <c r="Q215" s="148" t="str" cm="1">
        <f t="array" ref="Q215">Common_InputFunctions.Utility_DisplayArrayInTable(Fertiliser_SourceData.Fertiliser_Products_Data5(),FertiliserProducts[[#Headers],[Company]], 121)</f>
        <v>Phosphorus - Generic</v>
      </c>
      <c r="R215" s="148" cm="1">
        <f t="array" ref="R215">Common_InputFunctions.Utility_DisplayArrayInTable(Fertiliser_SourceData.Fertiliser_Products_Data5(),FertiliserProducts[[#Headers],[Company]], 121)</f>
        <v>0.04</v>
      </c>
      <c r="S215" s="148" t="str" cm="1">
        <f t="array" ref="S215">Common_InputFunctions.Utility_DisplayArrayInTable(Fertiliser_SourceData.Fertiliser_Products_Data5(),FertiliserProducts[[#Headers],[Company]], 121)</f>
        <v>Potassium - Generic</v>
      </c>
      <c r="T215" s="148" cm="1">
        <f t="array" ref="T215">Common_InputFunctions.Utility_DisplayArrayInTable(Fertiliser_SourceData.Fertiliser_Products_Data5(),FertiliserProducts[[#Headers],[Company]], 121)</f>
        <v>0.13</v>
      </c>
      <c r="U215" s="148" t="str" cm="1">
        <f t="array" ref="U215">Common_InputFunctions.Utility_DisplayArrayInTable(Fertiliser_SourceData.Fertiliser_Products_Data5(),FertiliserProducts[[#Headers],[Company]], 121)</f>
        <v>Sulfur - Generic</v>
      </c>
      <c r="V215" s="148" cm="1">
        <f t="array" ref="V215">Common_InputFunctions.Utility_DisplayArrayInTable(Fertiliser_SourceData.Fertiliser_Products_Data5(),FertiliserProducts[[#Headers],[Company]], 121)</f>
        <v>0.04</v>
      </c>
      <c r="W215" s="148" t="str" cm="1">
        <f t="array" ref="W215">Common_InputFunctions.Utility_DisplayArrayInTable(Fertiliser_SourceData.Fertiliser_Products_Data5(),FertiliserProducts[[#Headers],[Company]], 121)</f>
        <v/>
      </c>
      <c r="X215" s="148" t="str" cm="1">
        <f t="array" ref="X215">Common_InputFunctions.Utility_DisplayArrayInTable(Fertiliser_SourceData.Fertiliser_Products_Data5(),FertiliserProducts[[#Headers],[Company]], 121)</f>
        <v/>
      </c>
      <c r="Y215" s="148" t="str" cm="1">
        <f t="array" ref="Y215">Common_InputFunctions.Utility_DisplayArrayInTable(Fertiliser_SourceData.Fertiliser_Products_Data5(),FertiliserProducts[[#Headers],[Company]], 121)</f>
        <v/>
      </c>
      <c r="Z215" s="148" t="str" cm="1">
        <f t="array" ref="Z215">Common_InputFunctions.Utility_DisplayArrayInTable(Fertiliser_SourceData.Fertiliser_Products_Data5(),FertiliserProducts[[#Headers],[Company]], 121)</f>
        <v/>
      </c>
      <c r="AA215" s="148" t="str" cm="1">
        <f t="array" ref="AA215">Common_InputFunctions.Utility_DisplayArrayInTable(Fertiliser_SourceData.Fertiliser_Products_Data5(),FertiliserProducts[[#Headers],[Company]], 121)</f>
        <v/>
      </c>
      <c r="AB215" s="148" t="str" cm="1">
        <f t="array" ref="AB215">Common_InputFunctions.Utility_DisplayArrayInTable(Fertiliser_SourceData.Fertiliser_Products_Data5(),FertiliserProducts[[#Headers],[Company]], 121)</f>
        <v/>
      </c>
      <c r="AC215" s="148" t="str" cm="1">
        <f t="array" ref="AC215">Common_InputFunctions.Utility_DisplayArrayInTable(Fertiliser_SourceData.Fertiliser_Products_Data5(),FertiliserProducts[[#Headers],[Company]], 121)</f>
        <v/>
      </c>
      <c r="AD215" s="148" t="str" cm="1">
        <f t="array" ref="AD215">Common_InputFunctions.Utility_DisplayArrayInTable(Fertiliser_SourceData.Fertiliser_Products_Data5(),FertiliserProducts[[#Headers],[Company]], 121)</f>
        <v/>
      </c>
      <c r="AE215" s="148" t="str" cm="1">
        <f t="array" ref="AE215">Common_InputFunctions.Utility_DisplayArrayInTable(Fertiliser_SourceData.Fertiliser_Products_Data5(),FertiliserProducts[[#Headers],[Company]], 121)</f>
        <v/>
      </c>
      <c r="AF215" s="148" t="str" cm="1">
        <f t="array" ref="AF215">Common_InputFunctions.Utility_DisplayArrayInTable(Fertiliser_SourceData.Fertiliser_Products_Data5(),FertiliserProducts[[#Headers],[Company]], 121)</f>
        <v/>
      </c>
      <c r="AG215" s="148" t="str" cm="1">
        <f t="array" ref="AG215">Common_InputFunctions.Utility_DisplayArrayInTable(Fertiliser_SourceData.Fertiliser_Products_Data5(),FertiliserProducts[[#Headers],[Company]], 121)</f>
        <v/>
      </c>
      <c r="AH215" s="148" t="str" cm="1">
        <f t="array" ref="AH215">Common_InputFunctions.Utility_DisplayArrayInTable(Fertiliser_SourceData.Fertiliser_Products_Data5(),FertiliserProducts[[#Headers],[Company]], 121)</f>
        <v/>
      </c>
    </row>
    <row r="216" spans="1:34" ht="20.100000000000001" customHeight="1" x14ac:dyDescent="0.2">
      <c r="D216" s="148" t="str" cm="1">
        <f t="array" ref="D216">Common_InputFunctions.Utility_DisplayArrayInTable(Fertiliser_SourceData.Fertiliser_Products_Data5(),FertiliserProducts[[#Headers],[Company]], 121)</f>
        <v>Wengfu Australia</v>
      </c>
      <c r="E216" s="148" t="str" cm="1">
        <f t="array" ref="E216">Common_InputFunctions.Utility_DisplayArrayInTable(Fertiliser_SourceData.Fertiliser_Products_Data5(),FertiliserProducts[[#Headers],[Company]], 121)</f>
        <v>Wengfu Pasture Booster</v>
      </c>
      <c r="F216" s="148" t="str" cm="1">
        <f t="array" ref="F216">Common_InputFunctions.Utility_DisplayArrayInTable(Fertiliser_SourceData.Fertiliser_Products_Data5(),FertiliserProducts[[#Headers],[Company]], 121)</f>
        <v>kg</v>
      </c>
      <c r="G216" s="148" cm="1">
        <f t="array" ref="G216">Common_InputFunctions.Utility_DisplayArrayInTable(Fertiliser_SourceData.Fertiliser_Products_Data5(),FertiliserProducts[[#Headers],[Company]], 121)</f>
        <v>1</v>
      </c>
      <c r="H216" s="148" t="str" cm="1">
        <f t="array" ref="H216">Common_InputFunctions.Utility_DisplayArrayInTable(Fertiliser_SourceData.Fertiliser_Products_Data5(),FertiliserProducts[[#Headers],[Company]], 121)</f>
        <v/>
      </c>
      <c r="I216" s="148" t="str" cm="1">
        <f t="array" ref="I216">Common_InputFunctions.Utility_DisplayArrayInTable(Fertiliser_SourceData.Fertiliser_Products_Data5(),FertiliserProducts[[#Headers],[Company]], 121)</f>
        <v/>
      </c>
      <c r="J216" s="148" t="str" cm="1">
        <f t="array" ref="J216">Common_InputFunctions.Utility_DisplayArrayInTable(Fertiliser_SourceData.Fertiliser_Products_Data5(),FertiliserProducts[[#Headers],[Company]], 121)</f>
        <v/>
      </c>
      <c r="K216" s="148" cm="1">
        <f t="array" ref="K216">Common_InputFunctions.Utility_DisplayArrayInTable(Fertiliser_SourceData.Fertiliser_Products_Data5(),FertiliserProducts[[#Headers],[Company]], 121)</f>
        <v>13</v>
      </c>
      <c r="L216" s="148" cm="1">
        <f t="array" ref="L216">Common_InputFunctions.Utility_DisplayArrayInTable(Fertiliser_SourceData.Fertiliser_Products_Data5(),FertiliserProducts[[#Headers],[Company]], 121)</f>
        <v>5</v>
      </c>
      <c r="M216" s="148" cm="1">
        <f t="array" ref="M216">Common_InputFunctions.Utility_DisplayArrayInTable(Fertiliser_SourceData.Fertiliser_Products_Data5(),FertiliserProducts[[#Headers],[Company]], 121)</f>
        <v>24</v>
      </c>
      <c r="N216" s="148" cm="1">
        <f t="array" ref="N216">Common_InputFunctions.Utility_DisplayArrayInTable(Fertiliser_SourceData.Fertiliser_Products_Data5(),FertiliserProducts[[#Headers],[Company]], 121)</f>
        <v>5</v>
      </c>
      <c r="O216" s="148" t="str" cm="1">
        <f t="array" ref="O216">Common_InputFunctions.Utility_DisplayArrayInTable(Fertiliser_SourceData.Fertiliser_Products_Data5(),FertiliserProducts[[#Headers],[Company]], 121)</f>
        <v>Nitrogen - Generic</v>
      </c>
      <c r="P216" s="148" cm="1">
        <f t="array" ref="P216">Common_InputFunctions.Utility_DisplayArrayInTable(Fertiliser_SourceData.Fertiliser_Products_Data5(),FertiliserProducts[[#Headers],[Company]], 121)</f>
        <v>0.13</v>
      </c>
      <c r="Q216" s="148" t="str" cm="1">
        <f t="array" ref="Q216">Common_InputFunctions.Utility_DisplayArrayInTable(Fertiliser_SourceData.Fertiliser_Products_Data5(),FertiliserProducts[[#Headers],[Company]], 121)</f>
        <v>Phosphorus - Generic</v>
      </c>
      <c r="R216" s="148" cm="1">
        <f t="array" ref="R216">Common_InputFunctions.Utility_DisplayArrayInTable(Fertiliser_SourceData.Fertiliser_Products_Data5(),FertiliserProducts[[#Headers],[Company]], 121)</f>
        <v>0.05</v>
      </c>
      <c r="S216" s="148" t="str" cm="1">
        <f t="array" ref="S216">Common_InputFunctions.Utility_DisplayArrayInTable(Fertiliser_SourceData.Fertiliser_Products_Data5(),FertiliserProducts[[#Headers],[Company]], 121)</f>
        <v>Potassium - Generic</v>
      </c>
      <c r="T216" s="148" cm="1">
        <f t="array" ref="T216">Common_InputFunctions.Utility_DisplayArrayInTable(Fertiliser_SourceData.Fertiliser_Products_Data5(),FertiliserProducts[[#Headers],[Company]], 121)</f>
        <v>0.24</v>
      </c>
      <c r="U216" s="148" t="str" cm="1">
        <f t="array" ref="U216">Common_InputFunctions.Utility_DisplayArrayInTable(Fertiliser_SourceData.Fertiliser_Products_Data5(),FertiliserProducts[[#Headers],[Company]], 121)</f>
        <v>Sulfur - Generic</v>
      </c>
      <c r="V216" s="148" cm="1">
        <f t="array" ref="V216">Common_InputFunctions.Utility_DisplayArrayInTable(Fertiliser_SourceData.Fertiliser_Products_Data5(),FertiliserProducts[[#Headers],[Company]], 121)</f>
        <v>0.05</v>
      </c>
      <c r="W216" s="148" t="str" cm="1">
        <f t="array" ref="W216">Common_InputFunctions.Utility_DisplayArrayInTable(Fertiliser_SourceData.Fertiliser_Products_Data5(),FertiliserProducts[[#Headers],[Company]], 121)</f>
        <v/>
      </c>
      <c r="X216" s="148" t="str" cm="1">
        <f t="array" ref="X216">Common_InputFunctions.Utility_DisplayArrayInTable(Fertiliser_SourceData.Fertiliser_Products_Data5(),FertiliserProducts[[#Headers],[Company]], 121)</f>
        <v/>
      </c>
      <c r="Y216" s="148" t="str" cm="1">
        <f t="array" ref="Y216">Common_InputFunctions.Utility_DisplayArrayInTable(Fertiliser_SourceData.Fertiliser_Products_Data5(),FertiliserProducts[[#Headers],[Company]], 121)</f>
        <v/>
      </c>
      <c r="Z216" s="148" t="str" cm="1">
        <f t="array" ref="Z216">Common_InputFunctions.Utility_DisplayArrayInTable(Fertiliser_SourceData.Fertiliser_Products_Data5(),FertiliserProducts[[#Headers],[Company]], 121)</f>
        <v/>
      </c>
      <c r="AA216" s="148" t="str" cm="1">
        <f t="array" ref="AA216">Common_InputFunctions.Utility_DisplayArrayInTable(Fertiliser_SourceData.Fertiliser_Products_Data5(),FertiliserProducts[[#Headers],[Company]], 121)</f>
        <v/>
      </c>
      <c r="AB216" s="148" t="str" cm="1">
        <f t="array" ref="AB216">Common_InputFunctions.Utility_DisplayArrayInTable(Fertiliser_SourceData.Fertiliser_Products_Data5(),FertiliserProducts[[#Headers],[Company]], 121)</f>
        <v/>
      </c>
      <c r="AC216" s="148" t="str" cm="1">
        <f t="array" ref="AC216">Common_InputFunctions.Utility_DisplayArrayInTable(Fertiliser_SourceData.Fertiliser_Products_Data5(),FertiliserProducts[[#Headers],[Company]], 121)</f>
        <v/>
      </c>
      <c r="AD216" s="148" t="str" cm="1">
        <f t="array" ref="AD216">Common_InputFunctions.Utility_DisplayArrayInTable(Fertiliser_SourceData.Fertiliser_Products_Data5(),FertiliserProducts[[#Headers],[Company]], 121)</f>
        <v/>
      </c>
      <c r="AE216" s="148" t="str" cm="1">
        <f t="array" ref="AE216">Common_InputFunctions.Utility_DisplayArrayInTable(Fertiliser_SourceData.Fertiliser_Products_Data5(),FertiliserProducts[[#Headers],[Company]], 121)</f>
        <v/>
      </c>
      <c r="AF216" s="148" t="str" cm="1">
        <f t="array" ref="AF216">Common_InputFunctions.Utility_DisplayArrayInTable(Fertiliser_SourceData.Fertiliser_Products_Data5(),FertiliserProducts[[#Headers],[Company]], 121)</f>
        <v/>
      </c>
      <c r="AG216" s="148" t="str" cm="1">
        <f t="array" ref="AG216">Common_InputFunctions.Utility_DisplayArrayInTable(Fertiliser_SourceData.Fertiliser_Products_Data5(),FertiliserProducts[[#Headers],[Company]], 121)</f>
        <v/>
      </c>
      <c r="AH216" s="148" t="str" cm="1">
        <f t="array" ref="AH216">Common_InputFunctions.Utility_DisplayArrayInTable(Fertiliser_SourceData.Fertiliser_Products_Data5(),FertiliserProducts[[#Headers],[Company]], 121)</f>
        <v/>
      </c>
    </row>
    <row r="217" spans="1:34" ht="20.100000000000001" customHeight="1" x14ac:dyDescent="0.2">
      <c r="D217" s="148" t="str" cm="1">
        <f t="array" ref="D217">Common_InputFunctions.Utility_DisplayArrayInTable(Fertiliser_SourceData.Fertiliser_Products_Data5(),FertiliserProducts[[#Headers],[Company]], 121)</f>
        <v>Wengfu Australia</v>
      </c>
      <c r="E217" s="148" t="str" cm="1">
        <f t="array" ref="E217">Common_InputFunctions.Utility_DisplayArrayInTable(Fertiliser_SourceData.Fertiliser_Products_Data5(),FertiliserProducts[[#Headers],[Company]], 121)</f>
        <v>Wengfu DAP Hay Booster</v>
      </c>
      <c r="F217" s="148" t="str" cm="1">
        <f t="array" ref="F217">Common_InputFunctions.Utility_DisplayArrayInTable(Fertiliser_SourceData.Fertiliser_Products_Data5(),FertiliserProducts[[#Headers],[Company]], 121)</f>
        <v>kg</v>
      </c>
      <c r="G217" s="148" cm="1">
        <f t="array" ref="G217">Common_InputFunctions.Utility_DisplayArrayInTable(Fertiliser_SourceData.Fertiliser_Products_Data5(),FertiliserProducts[[#Headers],[Company]], 121)</f>
        <v>1</v>
      </c>
      <c r="H217" s="148" t="str" cm="1">
        <f t="array" ref="H217">Common_InputFunctions.Utility_DisplayArrayInTable(Fertiliser_SourceData.Fertiliser_Products_Data5(),FertiliserProducts[[#Headers],[Company]], 121)</f>
        <v/>
      </c>
      <c r="I217" s="148" t="str" cm="1">
        <f t="array" ref="I217">Common_InputFunctions.Utility_DisplayArrayInTable(Fertiliser_SourceData.Fertiliser_Products_Data5(),FertiliserProducts[[#Headers],[Company]], 121)</f>
        <v/>
      </c>
      <c r="J217" s="148" t="str" cm="1">
        <f t="array" ref="J217">Common_InputFunctions.Utility_DisplayArrayInTable(Fertiliser_SourceData.Fertiliser_Products_Data5(),FertiliserProducts[[#Headers],[Company]], 121)</f>
        <v/>
      </c>
      <c r="K217" s="148" cm="1">
        <f t="array" ref="K217">Common_InputFunctions.Utility_DisplayArrayInTable(Fertiliser_SourceData.Fertiliser_Products_Data5(),FertiliserProducts[[#Headers],[Company]], 121)</f>
        <v>11</v>
      </c>
      <c r="L217" s="148" cm="1">
        <f t="array" ref="L217">Common_InputFunctions.Utility_DisplayArrayInTable(Fertiliser_SourceData.Fertiliser_Products_Data5(),FertiliserProducts[[#Headers],[Company]], 121)</f>
        <v>5</v>
      </c>
      <c r="M217" s="148" cm="1">
        <f t="array" ref="M217">Common_InputFunctions.Utility_DisplayArrayInTable(Fertiliser_SourceData.Fertiliser_Products_Data5(),FertiliserProducts[[#Headers],[Company]], 121)</f>
        <v>24</v>
      </c>
      <c r="N217" s="148" cm="1">
        <f t="array" ref="N217">Common_InputFunctions.Utility_DisplayArrayInTable(Fertiliser_SourceData.Fertiliser_Products_Data5(),FertiliserProducts[[#Headers],[Company]], 121)</f>
        <v>4</v>
      </c>
      <c r="O217" s="148" t="str" cm="1">
        <f t="array" ref="O217">Common_InputFunctions.Utility_DisplayArrayInTable(Fertiliser_SourceData.Fertiliser_Products_Data5(),FertiliserProducts[[#Headers],[Company]], 121)</f>
        <v>Nitrogen - Generic</v>
      </c>
      <c r="P217" s="148" cm="1">
        <f t="array" ref="P217">Common_InputFunctions.Utility_DisplayArrayInTable(Fertiliser_SourceData.Fertiliser_Products_Data5(),FertiliserProducts[[#Headers],[Company]], 121)</f>
        <v>0.11</v>
      </c>
      <c r="Q217" s="148" t="str" cm="1">
        <f t="array" ref="Q217">Common_InputFunctions.Utility_DisplayArrayInTable(Fertiliser_SourceData.Fertiliser_Products_Data5(),FertiliserProducts[[#Headers],[Company]], 121)</f>
        <v>Phosphorus - Generic</v>
      </c>
      <c r="R217" s="148" cm="1">
        <f t="array" ref="R217">Common_InputFunctions.Utility_DisplayArrayInTable(Fertiliser_SourceData.Fertiliser_Products_Data5(),FertiliserProducts[[#Headers],[Company]], 121)</f>
        <v>0.05</v>
      </c>
      <c r="S217" s="148" t="str" cm="1">
        <f t="array" ref="S217">Common_InputFunctions.Utility_DisplayArrayInTable(Fertiliser_SourceData.Fertiliser_Products_Data5(),FertiliserProducts[[#Headers],[Company]], 121)</f>
        <v>Potassium - Generic</v>
      </c>
      <c r="T217" s="148" cm="1">
        <f t="array" ref="T217">Common_InputFunctions.Utility_DisplayArrayInTable(Fertiliser_SourceData.Fertiliser_Products_Data5(),FertiliserProducts[[#Headers],[Company]], 121)</f>
        <v>0.24</v>
      </c>
      <c r="U217" s="148" t="str" cm="1">
        <f t="array" ref="U217">Common_InputFunctions.Utility_DisplayArrayInTable(Fertiliser_SourceData.Fertiliser_Products_Data5(),FertiliserProducts[[#Headers],[Company]], 121)</f>
        <v>Sulfur - Generic</v>
      </c>
      <c r="V217" s="148" cm="1">
        <f t="array" ref="V217">Common_InputFunctions.Utility_DisplayArrayInTable(Fertiliser_SourceData.Fertiliser_Products_Data5(),FertiliserProducts[[#Headers],[Company]], 121)</f>
        <v>0.04</v>
      </c>
      <c r="W217" s="148" t="str" cm="1">
        <f t="array" ref="W217">Common_InputFunctions.Utility_DisplayArrayInTable(Fertiliser_SourceData.Fertiliser_Products_Data5(),FertiliserProducts[[#Headers],[Company]], 121)</f>
        <v/>
      </c>
      <c r="X217" s="148" t="str" cm="1">
        <f t="array" ref="X217">Common_InputFunctions.Utility_DisplayArrayInTable(Fertiliser_SourceData.Fertiliser_Products_Data5(),FertiliserProducts[[#Headers],[Company]], 121)</f>
        <v/>
      </c>
      <c r="Y217" s="148" t="str" cm="1">
        <f t="array" ref="Y217">Common_InputFunctions.Utility_DisplayArrayInTable(Fertiliser_SourceData.Fertiliser_Products_Data5(),FertiliserProducts[[#Headers],[Company]], 121)</f>
        <v/>
      </c>
      <c r="Z217" s="148" t="str" cm="1">
        <f t="array" ref="Z217">Common_InputFunctions.Utility_DisplayArrayInTable(Fertiliser_SourceData.Fertiliser_Products_Data5(),FertiliserProducts[[#Headers],[Company]], 121)</f>
        <v/>
      </c>
      <c r="AA217" s="148" t="str" cm="1">
        <f t="array" ref="AA217">Common_InputFunctions.Utility_DisplayArrayInTable(Fertiliser_SourceData.Fertiliser_Products_Data5(),FertiliserProducts[[#Headers],[Company]], 121)</f>
        <v/>
      </c>
      <c r="AB217" s="148" t="str" cm="1">
        <f t="array" ref="AB217">Common_InputFunctions.Utility_DisplayArrayInTable(Fertiliser_SourceData.Fertiliser_Products_Data5(),FertiliserProducts[[#Headers],[Company]], 121)</f>
        <v/>
      </c>
      <c r="AC217" s="148" t="str" cm="1">
        <f t="array" ref="AC217">Common_InputFunctions.Utility_DisplayArrayInTable(Fertiliser_SourceData.Fertiliser_Products_Data5(),FertiliserProducts[[#Headers],[Company]], 121)</f>
        <v/>
      </c>
      <c r="AD217" s="148" t="str" cm="1">
        <f t="array" ref="AD217">Common_InputFunctions.Utility_DisplayArrayInTable(Fertiliser_SourceData.Fertiliser_Products_Data5(),FertiliserProducts[[#Headers],[Company]], 121)</f>
        <v/>
      </c>
      <c r="AE217" s="148" t="str" cm="1">
        <f t="array" ref="AE217">Common_InputFunctions.Utility_DisplayArrayInTable(Fertiliser_SourceData.Fertiliser_Products_Data5(),FertiliserProducts[[#Headers],[Company]], 121)</f>
        <v/>
      </c>
      <c r="AF217" s="148" t="str" cm="1">
        <f t="array" ref="AF217">Common_InputFunctions.Utility_DisplayArrayInTable(Fertiliser_SourceData.Fertiliser_Products_Data5(),FertiliserProducts[[#Headers],[Company]], 121)</f>
        <v/>
      </c>
      <c r="AG217" s="148" t="str" cm="1">
        <f t="array" ref="AG217">Common_InputFunctions.Utility_DisplayArrayInTable(Fertiliser_SourceData.Fertiliser_Products_Data5(),FertiliserProducts[[#Headers],[Company]], 121)</f>
        <v/>
      </c>
      <c r="AH217" s="148" t="str" cm="1">
        <f t="array" ref="AH217">Common_InputFunctions.Utility_DisplayArrayInTable(Fertiliser_SourceData.Fertiliser_Products_Data5(),FertiliserProducts[[#Headers],[Company]], 121)</f>
        <v/>
      </c>
    </row>
    <row r="218" spans="1:34" ht="20.100000000000001" customHeight="1" x14ac:dyDescent="0.2">
      <c r="A218" s="79" t="str">
        <f>HYPERLINK("#A1", "▲ Back to top")</f>
        <v>▲ Back to top</v>
      </c>
      <c r="D218" s="148" t="str" cm="1">
        <f t="array" ref="D218">Common_InputFunctions.Utility_DisplayArrayInTable(Fertiliser_SourceData.Fertiliser_Products_Data5(),FertiliserProducts[[#Headers],[Company]], 121)</f>
        <v>Wengfu Australia</v>
      </c>
      <c r="E218" s="148" t="str" cm="1">
        <f t="array" ref="E218">Common_InputFunctions.Utility_DisplayArrayInTable(Fertiliser_SourceData.Fertiliser_Products_Data5(),FertiliserProducts[[#Headers],[Company]], 121)</f>
        <v>Wengfu MAP Hay Booster</v>
      </c>
      <c r="F218" s="148" t="str" cm="1">
        <f t="array" ref="F218">Common_InputFunctions.Utility_DisplayArrayInTable(Fertiliser_SourceData.Fertiliser_Products_Data5(),FertiliserProducts[[#Headers],[Company]], 121)</f>
        <v>kg</v>
      </c>
      <c r="G218" s="148" cm="1">
        <f t="array" ref="G218">Common_InputFunctions.Utility_DisplayArrayInTable(Fertiliser_SourceData.Fertiliser_Products_Data5(),FertiliserProducts[[#Headers],[Company]], 121)</f>
        <v>1</v>
      </c>
      <c r="H218" s="148" t="str" cm="1">
        <f t="array" ref="H218">Common_InputFunctions.Utility_DisplayArrayInTable(Fertiliser_SourceData.Fertiliser_Products_Data5(),FertiliserProducts[[#Headers],[Company]], 121)</f>
        <v/>
      </c>
      <c r="I218" s="148" t="str" cm="1">
        <f t="array" ref="I218">Common_InputFunctions.Utility_DisplayArrayInTable(Fertiliser_SourceData.Fertiliser_Products_Data5(),FertiliserProducts[[#Headers],[Company]], 121)</f>
        <v/>
      </c>
      <c r="J218" s="148" t="str" cm="1">
        <f t="array" ref="J218">Common_InputFunctions.Utility_DisplayArrayInTable(Fertiliser_SourceData.Fertiliser_Products_Data5(),FertiliserProducts[[#Headers],[Company]], 121)</f>
        <v/>
      </c>
      <c r="K218" s="148" cm="1">
        <f t="array" ref="K218">Common_InputFunctions.Utility_DisplayArrayInTable(Fertiliser_SourceData.Fertiliser_Products_Data5(),FertiliserProducts[[#Headers],[Company]], 121)</f>
        <v>11</v>
      </c>
      <c r="L218" s="148" cm="1">
        <f t="array" ref="L218">Common_InputFunctions.Utility_DisplayArrayInTable(Fertiliser_SourceData.Fertiliser_Products_Data5(),FertiliserProducts[[#Headers],[Company]], 121)</f>
        <v>8</v>
      </c>
      <c r="M218" s="148" cm="1">
        <f t="array" ref="M218">Common_InputFunctions.Utility_DisplayArrayInTable(Fertiliser_SourceData.Fertiliser_Products_Data5(),FertiliserProducts[[#Headers],[Company]], 121)</f>
        <v>20</v>
      </c>
      <c r="N218" s="148" cm="1">
        <f t="array" ref="N218">Common_InputFunctions.Utility_DisplayArrayInTable(Fertiliser_SourceData.Fertiliser_Products_Data5(),FertiliserProducts[[#Headers],[Company]], 121)</f>
        <v>6</v>
      </c>
      <c r="O218" s="148" t="str" cm="1">
        <f t="array" ref="O218">Common_InputFunctions.Utility_DisplayArrayInTable(Fertiliser_SourceData.Fertiliser_Products_Data5(),FertiliserProducts[[#Headers],[Company]], 121)</f>
        <v>Nitrogen - Generic</v>
      </c>
      <c r="P218" s="148" cm="1">
        <f t="array" ref="P218">Common_InputFunctions.Utility_DisplayArrayInTable(Fertiliser_SourceData.Fertiliser_Products_Data5(),FertiliserProducts[[#Headers],[Company]], 121)</f>
        <v>0.11</v>
      </c>
      <c r="Q218" s="148" t="str" cm="1">
        <f t="array" ref="Q218">Common_InputFunctions.Utility_DisplayArrayInTable(Fertiliser_SourceData.Fertiliser_Products_Data5(),FertiliserProducts[[#Headers],[Company]], 121)</f>
        <v>Phosphorus - Generic</v>
      </c>
      <c r="R218" s="148" cm="1">
        <f t="array" ref="R218">Common_InputFunctions.Utility_DisplayArrayInTable(Fertiliser_SourceData.Fertiliser_Products_Data5(),FertiliserProducts[[#Headers],[Company]], 121)</f>
        <v>0.08</v>
      </c>
      <c r="S218" s="148" t="str" cm="1">
        <f t="array" ref="S218">Common_InputFunctions.Utility_DisplayArrayInTable(Fertiliser_SourceData.Fertiliser_Products_Data5(),FertiliserProducts[[#Headers],[Company]], 121)</f>
        <v>Potassium - Generic</v>
      </c>
      <c r="T218" s="148" cm="1">
        <f t="array" ref="T218">Common_InputFunctions.Utility_DisplayArrayInTable(Fertiliser_SourceData.Fertiliser_Products_Data5(),FertiliserProducts[[#Headers],[Company]], 121)</f>
        <v>0.2</v>
      </c>
      <c r="U218" s="148" t="str" cm="1">
        <f t="array" ref="U218">Common_InputFunctions.Utility_DisplayArrayInTable(Fertiliser_SourceData.Fertiliser_Products_Data5(),FertiliserProducts[[#Headers],[Company]], 121)</f>
        <v>Sulfur - Generic</v>
      </c>
      <c r="V218" s="148" cm="1">
        <f t="array" ref="V218">Common_InputFunctions.Utility_DisplayArrayInTable(Fertiliser_SourceData.Fertiliser_Products_Data5(),FertiliserProducts[[#Headers],[Company]], 121)</f>
        <v>0.06</v>
      </c>
      <c r="W218" s="148" t="str" cm="1">
        <f t="array" ref="W218">Common_InputFunctions.Utility_DisplayArrayInTable(Fertiliser_SourceData.Fertiliser_Products_Data5(),FertiliserProducts[[#Headers],[Company]], 121)</f>
        <v/>
      </c>
      <c r="X218" s="148" t="str" cm="1">
        <f t="array" ref="X218">Common_InputFunctions.Utility_DisplayArrayInTable(Fertiliser_SourceData.Fertiliser_Products_Data5(),FertiliserProducts[[#Headers],[Company]], 121)</f>
        <v/>
      </c>
      <c r="Y218" s="148" t="str" cm="1">
        <f t="array" ref="Y218">Common_InputFunctions.Utility_DisplayArrayInTable(Fertiliser_SourceData.Fertiliser_Products_Data5(),FertiliserProducts[[#Headers],[Company]], 121)</f>
        <v/>
      </c>
      <c r="Z218" s="148" t="str" cm="1">
        <f t="array" ref="Z218">Common_InputFunctions.Utility_DisplayArrayInTable(Fertiliser_SourceData.Fertiliser_Products_Data5(),FertiliserProducts[[#Headers],[Company]], 121)</f>
        <v/>
      </c>
      <c r="AA218" s="148" t="str" cm="1">
        <f t="array" ref="AA218">Common_InputFunctions.Utility_DisplayArrayInTable(Fertiliser_SourceData.Fertiliser_Products_Data5(),FertiliserProducts[[#Headers],[Company]], 121)</f>
        <v/>
      </c>
      <c r="AB218" s="148" t="str" cm="1">
        <f t="array" ref="AB218">Common_InputFunctions.Utility_DisplayArrayInTable(Fertiliser_SourceData.Fertiliser_Products_Data5(),FertiliserProducts[[#Headers],[Company]], 121)</f>
        <v/>
      </c>
      <c r="AC218" s="148" t="str" cm="1">
        <f t="array" ref="AC218">Common_InputFunctions.Utility_DisplayArrayInTable(Fertiliser_SourceData.Fertiliser_Products_Data5(),FertiliserProducts[[#Headers],[Company]], 121)</f>
        <v/>
      </c>
      <c r="AD218" s="148" t="str" cm="1">
        <f t="array" ref="AD218">Common_InputFunctions.Utility_DisplayArrayInTable(Fertiliser_SourceData.Fertiliser_Products_Data5(),FertiliserProducts[[#Headers],[Company]], 121)</f>
        <v/>
      </c>
      <c r="AE218" s="148" t="str" cm="1">
        <f t="array" ref="AE218">Common_InputFunctions.Utility_DisplayArrayInTable(Fertiliser_SourceData.Fertiliser_Products_Data5(),FertiliserProducts[[#Headers],[Company]], 121)</f>
        <v/>
      </c>
      <c r="AF218" s="148" t="str" cm="1">
        <f t="array" ref="AF218">Common_InputFunctions.Utility_DisplayArrayInTable(Fertiliser_SourceData.Fertiliser_Products_Data5(),FertiliserProducts[[#Headers],[Company]], 121)</f>
        <v/>
      </c>
      <c r="AG218" s="148" t="str" cm="1">
        <f t="array" ref="AG218">Common_InputFunctions.Utility_DisplayArrayInTable(Fertiliser_SourceData.Fertiliser_Products_Data5(),FertiliserProducts[[#Headers],[Company]], 121)</f>
        <v/>
      </c>
      <c r="AH218" s="148" t="str" cm="1">
        <f t="array" ref="AH218">Common_InputFunctions.Utility_DisplayArrayInTable(Fertiliser_SourceData.Fertiliser_Products_Data5(),FertiliserProducts[[#Headers],[Company]], 121)</f>
        <v/>
      </c>
    </row>
    <row r="219" spans="1:34" ht="20.100000000000001" customHeight="1" x14ac:dyDescent="0.2">
      <c r="D219" s="148" t="str" cm="1">
        <f t="array" ref="D219">Common_InputFunctions.Utility_DisplayArrayInTable(Fertiliser_SourceData.Fertiliser_Products_Data5(),FertiliserProducts[[#Headers],[Company]], 121)</f>
        <v>Wengfu Australia</v>
      </c>
      <c r="E219" s="148" t="str" cm="1">
        <f t="array" ref="E219">Common_InputFunctions.Utility_DisplayArrayInTable(Fertiliser_SourceData.Fertiliser_Products_Data5(),FertiliserProducts[[#Headers],[Company]], 121)</f>
        <v>Wengfu Fodder Booster</v>
      </c>
      <c r="F219" s="148" t="str" cm="1">
        <f t="array" ref="F219">Common_InputFunctions.Utility_DisplayArrayInTable(Fertiliser_SourceData.Fertiliser_Products_Data5(),FertiliserProducts[[#Headers],[Company]], 121)</f>
        <v>kg</v>
      </c>
      <c r="G219" s="148" cm="1">
        <f t="array" ref="G219">Common_InputFunctions.Utility_DisplayArrayInTable(Fertiliser_SourceData.Fertiliser_Products_Data5(),FertiliserProducts[[#Headers],[Company]], 121)</f>
        <v>1</v>
      </c>
      <c r="H219" s="148" t="str" cm="1">
        <f t="array" ref="H219">Common_InputFunctions.Utility_DisplayArrayInTable(Fertiliser_SourceData.Fertiliser_Products_Data5(),FertiliserProducts[[#Headers],[Company]], 121)</f>
        <v/>
      </c>
      <c r="I219" s="148" t="str" cm="1">
        <f t="array" ref="I219">Common_InputFunctions.Utility_DisplayArrayInTable(Fertiliser_SourceData.Fertiliser_Products_Data5(),FertiliserProducts[[#Headers],[Company]], 121)</f>
        <v/>
      </c>
      <c r="J219" s="148" t="str" cm="1">
        <f t="array" ref="J219">Common_InputFunctions.Utility_DisplayArrayInTable(Fertiliser_SourceData.Fertiliser_Products_Data5(),FertiliserProducts[[#Headers],[Company]], 121)</f>
        <v/>
      </c>
      <c r="K219" s="148" cm="1">
        <f t="array" ref="K219">Common_InputFunctions.Utility_DisplayArrayInTable(Fertiliser_SourceData.Fertiliser_Products_Data5(),FertiliserProducts[[#Headers],[Company]], 121)</f>
        <v>9</v>
      </c>
      <c r="L219" s="148" cm="1">
        <f t="array" ref="L219">Common_InputFunctions.Utility_DisplayArrayInTable(Fertiliser_SourceData.Fertiliser_Products_Data5(),FertiliserProducts[[#Headers],[Company]], 121)</f>
        <v>4</v>
      </c>
      <c r="M219" s="148" cm="1">
        <f t="array" ref="M219">Common_InputFunctions.Utility_DisplayArrayInTable(Fertiliser_SourceData.Fertiliser_Products_Data5(),FertiliserProducts[[#Headers],[Company]], 121)</f>
        <v>5</v>
      </c>
      <c r="N219" s="148" cm="1">
        <f t="array" ref="N219">Common_InputFunctions.Utility_DisplayArrayInTable(Fertiliser_SourceData.Fertiliser_Products_Data5(),FertiliserProducts[[#Headers],[Company]], 121)</f>
        <v>15</v>
      </c>
      <c r="O219" s="148" t="str" cm="1">
        <f t="array" ref="O219">Common_InputFunctions.Utility_DisplayArrayInTable(Fertiliser_SourceData.Fertiliser_Products_Data5(),FertiliserProducts[[#Headers],[Company]], 121)</f>
        <v>Nitrogen - Generic</v>
      </c>
      <c r="P219" s="148" cm="1">
        <f t="array" ref="P219">Common_InputFunctions.Utility_DisplayArrayInTable(Fertiliser_SourceData.Fertiliser_Products_Data5(),FertiliserProducts[[#Headers],[Company]], 121)</f>
        <v>0.09</v>
      </c>
      <c r="Q219" s="148" t="str" cm="1">
        <f t="array" ref="Q219">Common_InputFunctions.Utility_DisplayArrayInTable(Fertiliser_SourceData.Fertiliser_Products_Data5(),FertiliserProducts[[#Headers],[Company]], 121)</f>
        <v>Phosphorus - Generic</v>
      </c>
      <c r="R219" s="148" cm="1">
        <f t="array" ref="R219">Common_InputFunctions.Utility_DisplayArrayInTable(Fertiliser_SourceData.Fertiliser_Products_Data5(),FertiliserProducts[[#Headers],[Company]], 121)</f>
        <v>0.04</v>
      </c>
      <c r="S219" s="148" t="str" cm="1">
        <f t="array" ref="S219">Common_InputFunctions.Utility_DisplayArrayInTable(Fertiliser_SourceData.Fertiliser_Products_Data5(),FertiliserProducts[[#Headers],[Company]], 121)</f>
        <v>Potassium - Generic</v>
      </c>
      <c r="T219" s="148" cm="1">
        <f t="array" ref="T219">Common_InputFunctions.Utility_DisplayArrayInTable(Fertiliser_SourceData.Fertiliser_Products_Data5(),FertiliserProducts[[#Headers],[Company]], 121)</f>
        <v>0.05</v>
      </c>
      <c r="U219" s="148" t="str" cm="1">
        <f t="array" ref="U219">Common_InputFunctions.Utility_DisplayArrayInTable(Fertiliser_SourceData.Fertiliser_Products_Data5(),FertiliserProducts[[#Headers],[Company]], 121)</f>
        <v>Sulfur - Generic</v>
      </c>
      <c r="V219" s="148" cm="1">
        <f t="array" ref="V219">Common_InputFunctions.Utility_DisplayArrayInTable(Fertiliser_SourceData.Fertiliser_Products_Data5(),FertiliserProducts[[#Headers],[Company]], 121)</f>
        <v>0.15</v>
      </c>
      <c r="W219" s="148" t="str" cm="1">
        <f t="array" ref="W219">Common_InputFunctions.Utility_DisplayArrayInTable(Fertiliser_SourceData.Fertiliser_Products_Data5(),FertiliserProducts[[#Headers],[Company]], 121)</f>
        <v/>
      </c>
      <c r="X219" s="148" t="str" cm="1">
        <f t="array" ref="X219">Common_InputFunctions.Utility_DisplayArrayInTable(Fertiliser_SourceData.Fertiliser_Products_Data5(),FertiliserProducts[[#Headers],[Company]], 121)</f>
        <v/>
      </c>
      <c r="Y219" s="148" t="str" cm="1">
        <f t="array" ref="Y219">Common_InputFunctions.Utility_DisplayArrayInTable(Fertiliser_SourceData.Fertiliser_Products_Data5(),FertiliserProducts[[#Headers],[Company]], 121)</f>
        <v/>
      </c>
      <c r="Z219" s="148" t="str" cm="1">
        <f t="array" ref="Z219">Common_InputFunctions.Utility_DisplayArrayInTable(Fertiliser_SourceData.Fertiliser_Products_Data5(),FertiliserProducts[[#Headers],[Company]], 121)</f>
        <v/>
      </c>
      <c r="AA219" s="148" t="str" cm="1">
        <f t="array" ref="AA219">Common_InputFunctions.Utility_DisplayArrayInTable(Fertiliser_SourceData.Fertiliser_Products_Data5(),FertiliserProducts[[#Headers],[Company]], 121)</f>
        <v/>
      </c>
      <c r="AB219" s="148" t="str" cm="1">
        <f t="array" ref="AB219">Common_InputFunctions.Utility_DisplayArrayInTable(Fertiliser_SourceData.Fertiliser_Products_Data5(),FertiliserProducts[[#Headers],[Company]], 121)</f>
        <v/>
      </c>
      <c r="AC219" s="148" t="str" cm="1">
        <f t="array" ref="AC219">Common_InputFunctions.Utility_DisplayArrayInTable(Fertiliser_SourceData.Fertiliser_Products_Data5(),FertiliserProducts[[#Headers],[Company]], 121)</f>
        <v/>
      </c>
      <c r="AD219" s="148" t="str" cm="1">
        <f t="array" ref="AD219">Common_InputFunctions.Utility_DisplayArrayInTable(Fertiliser_SourceData.Fertiliser_Products_Data5(),FertiliserProducts[[#Headers],[Company]], 121)</f>
        <v/>
      </c>
      <c r="AE219" s="148" t="str" cm="1">
        <f t="array" ref="AE219">Common_InputFunctions.Utility_DisplayArrayInTable(Fertiliser_SourceData.Fertiliser_Products_Data5(),FertiliserProducts[[#Headers],[Company]], 121)</f>
        <v/>
      </c>
      <c r="AF219" s="148" t="str" cm="1">
        <f t="array" ref="AF219">Common_InputFunctions.Utility_DisplayArrayInTable(Fertiliser_SourceData.Fertiliser_Products_Data5(),FertiliserProducts[[#Headers],[Company]], 121)</f>
        <v/>
      </c>
      <c r="AG219" s="148" t="str" cm="1">
        <f t="array" ref="AG219">Common_InputFunctions.Utility_DisplayArrayInTable(Fertiliser_SourceData.Fertiliser_Products_Data5(),FertiliserProducts[[#Headers],[Company]], 121)</f>
        <v/>
      </c>
      <c r="AH219" s="148" t="str" cm="1">
        <f t="array" ref="AH219">Common_InputFunctions.Utility_DisplayArrayInTable(Fertiliser_SourceData.Fertiliser_Products_Data5(),FertiliserProducts[[#Headers],[Company]], 121)</f>
        <v/>
      </c>
    </row>
    <row r="220" spans="1:34" ht="20.100000000000001" customHeight="1" x14ac:dyDescent="0.2">
      <c r="D220" s="148" t="str" cm="1">
        <f t="array" ref="D220">Common_InputFunctions.Utility_DisplayArrayInTable(Fertiliser_SourceData.Fertiliser_Products_Data5(),FertiliserProducts[[#Headers],[Company]], 121)</f>
        <v>CSBP</v>
      </c>
      <c r="E220" s="148" t="str" cm="1">
        <f t="array" ref="E220">Common_InputFunctions.Utility_DisplayArrayInTable(Fertiliser_SourceData.Fertiliser_Products_Data5(),FertiliserProducts[[#Headers],[Company]], 121)</f>
        <v>K-Till Extra</v>
      </c>
      <c r="F220" s="148" t="str" cm="1">
        <f t="array" ref="F220">Common_InputFunctions.Utility_DisplayArrayInTable(Fertiliser_SourceData.Fertiliser_Products_Data5(),FertiliserProducts[[#Headers],[Company]], 121)</f>
        <v>kg</v>
      </c>
      <c r="G220" s="148" cm="1">
        <f t="array" ref="G220">Common_InputFunctions.Utility_DisplayArrayInTable(Fertiliser_SourceData.Fertiliser_Products_Data5(),FertiliserProducts[[#Headers],[Company]], 121)</f>
        <v>1</v>
      </c>
      <c r="H220" s="148" t="str" cm="1">
        <f t="array" ref="H220">Common_InputFunctions.Utility_DisplayArrayInTable(Fertiliser_SourceData.Fertiliser_Products_Data5(),FertiliserProducts[[#Headers],[Company]], 121)</f>
        <v/>
      </c>
      <c r="I220" s="148" t="str" cm="1">
        <f t="array" ref="I220">Common_InputFunctions.Utility_DisplayArrayInTable(Fertiliser_SourceData.Fertiliser_Products_Data5(),FertiliserProducts[[#Headers],[Company]], 121)</f>
        <v/>
      </c>
      <c r="J220" s="148" t="str" cm="1">
        <f t="array" ref="J220">Common_InputFunctions.Utility_DisplayArrayInTable(Fertiliser_SourceData.Fertiliser_Products_Data5(),FertiliserProducts[[#Headers],[Company]], 121)</f>
        <v/>
      </c>
      <c r="K220" s="148" cm="1">
        <f t="array" ref="K220">Common_InputFunctions.Utility_DisplayArrayInTable(Fertiliser_SourceData.Fertiliser_Products_Data5(),FertiliserProducts[[#Headers],[Company]], 121)</f>
        <v>10.73</v>
      </c>
      <c r="L220" s="148" cm="1">
        <f t="array" ref="L220">Common_InputFunctions.Utility_DisplayArrayInTable(Fertiliser_SourceData.Fertiliser_Products_Data5(),FertiliserProducts[[#Headers],[Company]], 121)</f>
        <v>10.95</v>
      </c>
      <c r="M220" s="148" cm="1">
        <f t="array" ref="M220">Common_InputFunctions.Utility_DisplayArrayInTable(Fertiliser_SourceData.Fertiliser_Products_Data5(),FertiliserProducts[[#Headers],[Company]], 121)</f>
        <v>11.35</v>
      </c>
      <c r="N220" s="148" cm="1">
        <f t="array" ref="N220">Common_InputFunctions.Utility_DisplayArrayInTable(Fertiliser_SourceData.Fertiliser_Products_Data5(),FertiliserProducts[[#Headers],[Company]], 121)</f>
        <v>6.55</v>
      </c>
      <c r="O220" s="148" t="str" cm="1">
        <f t="array" ref="O220">Common_InputFunctions.Utility_DisplayArrayInTable(Fertiliser_SourceData.Fertiliser_Products_Data5(),FertiliserProducts[[#Headers],[Company]], 121)</f>
        <v>Monoammonium phosphate (MAP)</v>
      </c>
      <c r="P220" s="148" cm="1">
        <f t="array" ref="P220">Common_InputFunctions.Utility_DisplayArrayInTable(Fertiliser_SourceData.Fertiliser_Products_Data5(),FertiliserProducts[[#Headers],[Company]], 121)</f>
        <v>0.5</v>
      </c>
      <c r="Q220" s="148" t="str" cm="1">
        <f t="array" ref="Q220">Common_InputFunctions.Utility_DisplayArrayInTable(Fertiliser_SourceData.Fertiliser_Products_Data5(),FertiliserProducts[[#Headers],[Company]], 121)</f>
        <v>Sulphate of ammonia (SOA)</v>
      </c>
      <c r="R220" s="148" cm="1">
        <f t="array" ref="R220">Common_InputFunctions.Utility_DisplayArrayInTable(Fertiliser_SourceData.Fertiliser_Products_Data5(),FertiliserProducts[[#Headers],[Company]], 121)</f>
        <v>0.27300000000000002</v>
      </c>
      <c r="S220" s="148" t="str" cm="1">
        <f t="array" ref="S220">Common_InputFunctions.Utility_DisplayArrayInTable(Fertiliser_SourceData.Fertiliser_Products_Data5(),FertiliserProducts[[#Headers],[Company]], 121)</f>
        <v>Muriate of potash (MOP)</v>
      </c>
      <c r="T220" s="148" cm="1">
        <f t="array" ref="T220">Common_InputFunctions.Utility_DisplayArrayInTable(Fertiliser_SourceData.Fertiliser_Products_Data5(),FertiliserProducts[[#Headers],[Company]], 121)</f>
        <v>0.22700000000000001</v>
      </c>
      <c r="U220" s="148" t="str" cm="1">
        <f t="array" ref="U220">Common_InputFunctions.Utility_DisplayArrayInTable(Fertiliser_SourceData.Fertiliser_Products_Data5(),FertiliserProducts[[#Headers],[Company]], 121)</f>
        <v>Copper</v>
      </c>
      <c r="V220" s="148" t="str" cm="1">
        <f t="array" ref="V220">Common_InputFunctions.Utility_DisplayArrayInTable(Fertiliser_SourceData.Fertiliser_Products_Data5(),FertiliserProducts[[#Headers],[Company]], 121)</f>
        <v>No data</v>
      </c>
      <c r="W220" s="148" t="str" cm="1">
        <f t="array" ref="W220">Common_InputFunctions.Utility_DisplayArrayInTable(Fertiliser_SourceData.Fertiliser_Products_Data5(),FertiliserProducts[[#Headers],[Company]], 121)</f>
        <v>Zinc</v>
      </c>
      <c r="X220" s="148" t="str" cm="1">
        <f t="array" ref="X220">Common_InputFunctions.Utility_DisplayArrayInTable(Fertiliser_SourceData.Fertiliser_Products_Data5(),FertiliserProducts[[#Headers],[Company]], 121)</f>
        <v>No data</v>
      </c>
      <c r="Y220" s="148" t="str" cm="1">
        <f t="array" ref="Y220">Common_InputFunctions.Utility_DisplayArrayInTable(Fertiliser_SourceData.Fertiliser_Products_Data5(),FertiliserProducts[[#Headers],[Company]], 121)</f>
        <v/>
      </c>
      <c r="Z220" s="148" t="str" cm="1">
        <f t="array" ref="Z220">Common_InputFunctions.Utility_DisplayArrayInTable(Fertiliser_SourceData.Fertiliser_Products_Data5(),FertiliserProducts[[#Headers],[Company]], 121)</f>
        <v/>
      </c>
      <c r="AA220" s="148" t="str" cm="1">
        <f t="array" ref="AA220">Common_InputFunctions.Utility_DisplayArrayInTable(Fertiliser_SourceData.Fertiliser_Products_Data5(),FertiliserProducts[[#Headers],[Company]], 121)</f>
        <v/>
      </c>
      <c r="AB220" s="148" t="str" cm="1">
        <f t="array" ref="AB220">Common_InputFunctions.Utility_DisplayArrayInTable(Fertiliser_SourceData.Fertiliser_Products_Data5(),FertiliserProducts[[#Headers],[Company]], 121)</f>
        <v/>
      </c>
      <c r="AC220" s="148" t="str" cm="1">
        <f t="array" ref="AC220">Common_InputFunctions.Utility_DisplayArrayInTable(Fertiliser_SourceData.Fertiliser_Products_Data5(),FertiliserProducts[[#Headers],[Company]], 121)</f>
        <v/>
      </c>
      <c r="AD220" s="148" t="str" cm="1">
        <f t="array" ref="AD220">Common_InputFunctions.Utility_DisplayArrayInTable(Fertiliser_SourceData.Fertiliser_Products_Data5(),FertiliserProducts[[#Headers],[Company]], 121)</f>
        <v/>
      </c>
      <c r="AE220" s="148" t="str" cm="1">
        <f t="array" ref="AE220">Common_InputFunctions.Utility_DisplayArrayInTable(Fertiliser_SourceData.Fertiliser_Products_Data5(),FertiliserProducts[[#Headers],[Company]], 121)</f>
        <v/>
      </c>
      <c r="AF220" s="148" t="str" cm="1">
        <f t="array" ref="AF220">Common_InputFunctions.Utility_DisplayArrayInTable(Fertiliser_SourceData.Fertiliser_Products_Data5(),FertiliserProducts[[#Headers],[Company]], 121)</f>
        <v/>
      </c>
      <c r="AG220" s="148" t="str" cm="1">
        <f t="array" ref="AG220">Common_InputFunctions.Utility_DisplayArrayInTable(Fertiliser_SourceData.Fertiliser_Products_Data5(),FertiliserProducts[[#Headers],[Company]], 121)</f>
        <v/>
      </c>
      <c r="AH220" s="148" t="str" cm="1">
        <f t="array" ref="AH220">Common_InputFunctions.Utility_DisplayArrayInTable(Fertiliser_SourceData.Fertiliser_Products_Data5(),FertiliserProducts[[#Headers],[Company]], 121)</f>
        <v/>
      </c>
    </row>
    <row r="221" spans="1:34" ht="20.100000000000001" customHeight="1" x14ac:dyDescent="0.2">
      <c r="D221" s="148" t="str" cm="1">
        <f t="array" ref="D221">Common_InputFunctions.Utility_DisplayArrayInTable(Fertiliser_SourceData.Fertiliser_Products_Data5(),FertiliserProducts[[#Headers],[Company]], 121)</f>
        <v>CSBP</v>
      </c>
      <c r="E221" s="148" t="str" cm="1">
        <f t="array" ref="E221">Common_InputFunctions.Utility_DisplayArrayInTable(Fertiliser_SourceData.Fertiliser_Products_Data5(),FertiliserProducts[[#Headers],[Company]], 121)</f>
        <v>Agras Extra</v>
      </c>
      <c r="F221" s="148" t="str" cm="1">
        <f t="array" ref="F221">Common_InputFunctions.Utility_DisplayArrayInTable(Fertiliser_SourceData.Fertiliser_Products_Data5(),FertiliserProducts[[#Headers],[Company]], 121)</f>
        <v>kg</v>
      </c>
      <c r="G221" s="148" cm="1">
        <f t="array" ref="G221">Common_InputFunctions.Utility_DisplayArrayInTable(Fertiliser_SourceData.Fertiliser_Products_Data5(),FertiliserProducts[[#Headers],[Company]], 121)</f>
        <v>1</v>
      </c>
      <c r="H221" s="148" t="str" cm="1">
        <f t="array" ref="H221">Common_InputFunctions.Utility_DisplayArrayInTable(Fertiliser_SourceData.Fertiliser_Products_Data5(),FertiliserProducts[[#Headers],[Company]], 121)</f>
        <v/>
      </c>
      <c r="I221" s="148" t="str" cm="1">
        <f t="array" ref="I221">Common_InputFunctions.Utility_DisplayArrayInTable(Fertiliser_SourceData.Fertiliser_Products_Data5(),FertiliserProducts[[#Headers],[Company]], 121)</f>
        <v/>
      </c>
      <c r="J221" s="148" t="str" cm="1">
        <f t="array" ref="J221">Common_InputFunctions.Utility_DisplayArrayInTable(Fertiliser_SourceData.Fertiliser_Products_Data5(),FertiliserProducts[[#Headers],[Company]], 121)</f>
        <v/>
      </c>
      <c r="K221" s="148" cm="1">
        <f t="array" ref="K221">Common_InputFunctions.Utility_DisplayArrayInTable(Fertiliser_SourceData.Fertiliser_Products_Data5(),FertiliserProducts[[#Headers],[Company]], 121)</f>
        <v>16.95</v>
      </c>
      <c r="L221" s="148" cm="1">
        <f t="array" ref="L221">Common_InputFunctions.Utility_DisplayArrayInTable(Fertiliser_SourceData.Fertiliser_Products_Data5(),FertiliserProducts[[#Headers],[Company]], 121)</f>
        <v>8.06</v>
      </c>
      <c r="M221" s="148" t="str" cm="1">
        <f t="array" ref="M221">Common_InputFunctions.Utility_DisplayArrayInTable(Fertiliser_SourceData.Fertiliser_Products_Data5(),FertiliserProducts[[#Headers],[Company]], 121)</f>
        <v/>
      </c>
      <c r="N221" s="148" cm="1">
        <f t="array" ref="N221">Common_InputFunctions.Utility_DisplayArrayInTable(Fertiliser_SourceData.Fertiliser_Products_Data5(),FertiliserProducts[[#Headers],[Company]], 121)</f>
        <v>15.17</v>
      </c>
      <c r="O221" s="148" t="str" cm="1">
        <f t="array" ref="O221">Common_InputFunctions.Utility_DisplayArrayInTable(Fertiliser_SourceData.Fertiliser_Products_Data5(),FertiliserProducts[[#Headers],[Company]], 121)</f>
        <v>Sulphate of ammonia (SOA)</v>
      </c>
      <c r="P221" s="148" cm="1">
        <f t="array" ref="P221">Common_InputFunctions.Utility_DisplayArrayInTable(Fertiliser_SourceData.Fertiliser_Products_Data5(),FertiliserProducts[[#Headers],[Company]], 121)</f>
        <v>0.63200000000000001</v>
      </c>
      <c r="Q221" s="148" t="str" cm="1">
        <f t="array" ref="Q221">Common_InputFunctions.Utility_DisplayArrayInTable(Fertiliser_SourceData.Fertiliser_Products_Data5(),FertiliserProducts[[#Headers],[Company]], 121)</f>
        <v>Monoammonium phosphate (MAP)</v>
      </c>
      <c r="R221" s="148" cm="1">
        <f t="array" ref="R221">Common_InputFunctions.Utility_DisplayArrayInTable(Fertiliser_SourceData.Fertiliser_Products_Data5(),FertiliserProducts[[#Headers],[Company]], 121)</f>
        <v>0.36799999999999999</v>
      </c>
      <c r="S221" s="148" t="str" cm="1">
        <f t="array" ref="S221">Common_InputFunctions.Utility_DisplayArrayInTable(Fertiliser_SourceData.Fertiliser_Products_Data5(),FertiliserProducts[[#Headers],[Company]], 121)</f>
        <v>Zinc</v>
      </c>
      <c r="T221" s="148" t="str" cm="1">
        <f t="array" ref="T221">Common_InputFunctions.Utility_DisplayArrayInTable(Fertiliser_SourceData.Fertiliser_Products_Data5(),FertiliserProducts[[#Headers],[Company]], 121)</f>
        <v>No data</v>
      </c>
      <c r="U221" s="148" t="str" cm="1">
        <f t="array" ref="U221">Common_InputFunctions.Utility_DisplayArrayInTable(Fertiliser_SourceData.Fertiliser_Products_Data5(),FertiliserProducts[[#Headers],[Company]], 121)</f>
        <v>Copper</v>
      </c>
      <c r="V221" s="148" t="str" cm="1">
        <f t="array" ref="V221">Common_InputFunctions.Utility_DisplayArrayInTable(Fertiliser_SourceData.Fertiliser_Products_Data5(),FertiliserProducts[[#Headers],[Company]], 121)</f>
        <v>No data</v>
      </c>
      <c r="W221" s="148" t="str" cm="1">
        <f t="array" ref="W221">Common_InputFunctions.Utility_DisplayArrayInTable(Fertiliser_SourceData.Fertiliser_Products_Data5(),FertiliserProducts[[#Headers],[Company]], 121)</f>
        <v>Molybdenum</v>
      </c>
      <c r="X221" s="148" t="str" cm="1">
        <f t="array" ref="X221">Common_InputFunctions.Utility_DisplayArrayInTable(Fertiliser_SourceData.Fertiliser_Products_Data5(),FertiliserProducts[[#Headers],[Company]], 121)</f>
        <v>No data</v>
      </c>
      <c r="Y221" s="148" t="str" cm="1">
        <f t="array" ref="Y221">Common_InputFunctions.Utility_DisplayArrayInTable(Fertiliser_SourceData.Fertiliser_Products_Data5(),FertiliserProducts[[#Headers],[Company]], 121)</f>
        <v>Cobalt</v>
      </c>
      <c r="Z221" s="148" t="str" cm="1">
        <f t="array" ref="Z221">Common_InputFunctions.Utility_DisplayArrayInTable(Fertiliser_SourceData.Fertiliser_Products_Data5(),FertiliserProducts[[#Headers],[Company]], 121)</f>
        <v>No data</v>
      </c>
      <c r="AA221" s="148" t="str" cm="1">
        <f t="array" ref="AA221">Common_InputFunctions.Utility_DisplayArrayInTable(Fertiliser_SourceData.Fertiliser_Products_Data5(),FertiliserProducts[[#Headers],[Company]], 121)</f>
        <v/>
      </c>
      <c r="AB221" s="148" t="str" cm="1">
        <f t="array" ref="AB221">Common_InputFunctions.Utility_DisplayArrayInTable(Fertiliser_SourceData.Fertiliser_Products_Data5(),FertiliserProducts[[#Headers],[Company]], 121)</f>
        <v/>
      </c>
      <c r="AC221" s="148" t="str" cm="1">
        <f t="array" ref="AC221">Common_InputFunctions.Utility_DisplayArrayInTable(Fertiliser_SourceData.Fertiliser_Products_Data5(),FertiliserProducts[[#Headers],[Company]], 121)</f>
        <v/>
      </c>
      <c r="AD221" s="148" t="str" cm="1">
        <f t="array" ref="AD221">Common_InputFunctions.Utility_DisplayArrayInTable(Fertiliser_SourceData.Fertiliser_Products_Data5(),FertiliserProducts[[#Headers],[Company]], 121)</f>
        <v/>
      </c>
      <c r="AE221" s="148" t="str" cm="1">
        <f t="array" ref="AE221">Common_InputFunctions.Utility_DisplayArrayInTable(Fertiliser_SourceData.Fertiliser_Products_Data5(),FertiliserProducts[[#Headers],[Company]], 121)</f>
        <v/>
      </c>
      <c r="AF221" s="148" t="str" cm="1">
        <f t="array" ref="AF221">Common_InputFunctions.Utility_DisplayArrayInTable(Fertiliser_SourceData.Fertiliser_Products_Data5(),FertiliserProducts[[#Headers],[Company]], 121)</f>
        <v/>
      </c>
      <c r="AG221" s="148" t="str" cm="1">
        <f t="array" ref="AG221">Common_InputFunctions.Utility_DisplayArrayInTable(Fertiliser_SourceData.Fertiliser_Products_Data5(),FertiliserProducts[[#Headers],[Company]], 121)</f>
        <v/>
      </c>
      <c r="AH221" s="148" t="str" cm="1">
        <f t="array" ref="AH221">Common_InputFunctions.Utility_DisplayArrayInTable(Fertiliser_SourceData.Fertiliser_Products_Data5(),FertiliserProducts[[#Headers],[Company]], 121)</f>
        <v/>
      </c>
    </row>
    <row r="222" spans="1:34" ht="20.100000000000001" customHeight="1" x14ac:dyDescent="0.2">
      <c r="D222" s="148" t="str" cm="1">
        <f t="array" ref="D222">Common_InputFunctions.Utility_DisplayArrayInTable(Fertiliser_SourceData.Fertiliser_Products_Data5(),FertiliserProducts[[#Headers],[Company]], 121)</f>
        <v>CSBP</v>
      </c>
      <c r="E222" s="148" t="str" cm="1">
        <f t="array" ref="E222">Common_InputFunctions.Utility_DisplayArrayInTable(Fertiliser_SourceData.Fertiliser_Products_Data5(),FertiliserProducts[[#Headers],[Company]], 121)</f>
        <v>Super Copper Zinc Moly</v>
      </c>
      <c r="F222" s="148" t="str" cm="1">
        <f t="array" ref="F222">Common_InputFunctions.Utility_DisplayArrayInTable(Fertiliser_SourceData.Fertiliser_Products_Data5(),FertiliserProducts[[#Headers],[Company]], 121)</f>
        <v>kg</v>
      </c>
      <c r="G222" s="148" cm="1">
        <f t="array" ref="G222">Common_InputFunctions.Utility_DisplayArrayInTable(Fertiliser_SourceData.Fertiliser_Products_Data5(),FertiliserProducts[[#Headers],[Company]], 121)</f>
        <v>1</v>
      </c>
      <c r="H222" s="148" t="str" cm="1">
        <f t="array" ref="H222">Common_InputFunctions.Utility_DisplayArrayInTable(Fertiliser_SourceData.Fertiliser_Products_Data5(),FertiliserProducts[[#Headers],[Company]], 121)</f>
        <v/>
      </c>
      <c r="I222" s="148" t="str" cm="1">
        <f t="array" ref="I222">Common_InputFunctions.Utility_DisplayArrayInTable(Fertiliser_SourceData.Fertiliser_Products_Data5(),FertiliserProducts[[#Headers],[Company]], 121)</f>
        <v/>
      </c>
      <c r="J222" s="148" t="str" cm="1">
        <f t="array" ref="J222">Common_InputFunctions.Utility_DisplayArrayInTable(Fertiliser_SourceData.Fertiliser_Products_Data5(),FertiliserProducts[[#Headers],[Company]], 121)</f>
        <v/>
      </c>
      <c r="K222" s="148" t="str" cm="1">
        <f t="array" ref="K222">Common_InputFunctions.Utility_DisplayArrayInTable(Fertiliser_SourceData.Fertiliser_Products_Data5(),FertiliserProducts[[#Headers],[Company]], 121)</f>
        <v/>
      </c>
      <c r="L222" s="148" cm="1">
        <f t="array" ref="L222">Common_InputFunctions.Utility_DisplayArrayInTable(Fertiliser_SourceData.Fertiliser_Products_Data5(),FertiliserProducts[[#Headers],[Company]], 121)</f>
        <v>8.8000000000000007</v>
      </c>
      <c r="M222" s="148" t="str" cm="1">
        <f t="array" ref="M222">Common_InputFunctions.Utility_DisplayArrayInTable(Fertiliser_SourceData.Fertiliser_Products_Data5(),FertiliserProducts[[#Headers],[Company]], 121)</f>
        <v/>
      </c>
      <c r="N222" s="148" cm="1">
        <f t="array" ref="N222">Common_InputFunctions.Utility_DisplayArrayInTable(Fertiliser_SourceData.Fertiliser_Products_Data5(),FertiliserProducts[[#Headers],[Company]], 121)</f>
        <v>11</v>
      </c>
      <c r="O222" s="148" t="str" cm="1">
        <f t="array" ref="O222">Common_InputFunctions.Utility_DisplayArrayInTable(Fertiliser_SourceData.Fertiliser_Products_Data5(),FertiliserProducts[[#Headers],[Company]], 121)</f>
        <v>Single superphosphate (SSP)</v>
      </c>
      <c r="P222" s="148" cm="1">
        <f t="array" ref="P222">Common_InputFunctions.Utility_DisplayArrayInTable(Fertiliser_SourceData.Fertiliser_Products_Data5(),FertiliserProducts[[#Headers],[Company]], 121)</f>
        <v>1</v>
      </c>
      <c r="Q222" s="148" t="str" cm="1">
        <f t="array" ref="Q222">Common_InputFunctions.Utility_DisplayArrayInTable(Fertiliser_SourceData.Fertiliser_Products_Data5(),FertiliserProducts[[#Headers],[Company]], 121)</f>
        <v>Copper</v>
      </c>
      <c r="R222" s="148" cm="1">
        <f t="array" ref="R222">Common_InputFunctions.Utility_DisplayArrayInTable(Fertiliser_SourceData.Fertiliser_Products_Data5(),FertiliserProducts[[#Headers],[Company]], 121)</f>
        <v>6.0000000000000001E-3</v>
      </c>
      <c r="S222" s="148" t="str" cm="1">
        <f t="array" ref="S222">Common_InputFunctions.Utility_DisplayArrayInTable(Fertiliser_SourceData.Fertiliser_Products_Data5(),FertiliserProducts[[#Headers],[Company]], 121)</f>
        <v>Zinc</v>
      </c>
      <c r="T222" s="148" cm="1">
        <f t="array" ref="T222">Common_InputFunctions.Utility_DisplayArrayInTable(Fertiliser_SourceData.Fertiliser_Products_Data5(),FertiliserProducts[[#Headers],[Company]], 121)</f>
        <v>3.0000000000000001E-3</v>
      </c>
      <c r="U222" s="148" t="str" cm="1">
        <f t="array" ref="U222">Common_InputFunctions.Utility_DisplayArrayInTable(Fertiliser_SourceData.Fertiliser_Products_Data5(),FertiliserProducts[[#Headers],[Company]], 121)</f>
        <v>Molybdenum</v>
      </c>
      <c r="V222" s="148" cm="1">
        <f t="array" ref="V222">Common_InputFunctions.Utility_DisplayArrayInTable(Fertiliser_SourceData.Fertiliser_Products_Data5(),FertiliserProducts[[#Headers],[Company]], 121)</f>
        <v>5.9999999999999995E-4</v>
      </c>
      <c r="W222" s="148" t="str" cm="1">
        <f t="array" ref="W222">Common_InputFunctions.Utility_DisplayArrayInTable(Fertiliser_SourceData.Fertiliser_Products_Data5(),FertiliserProducts[[#Headers],[Company]], 121)</f>
        <v/>
      </c>
      <c r="X222" s="148" t="str" cm="1">
        <f t="array" ref="X222">Common_InputFunctions.Utility_DisplayArrayInTable(Fertiliser_SourceData.Fertiliser_Products_Data5(),FertiliserProducts[[#Headers],[Company]], 121)</f>
        <v/>
      </c>
      <c r="Y222" s="148" t="str" cm="1">
        <f t="array" ref="Y222">Common_InputFunctions.Utility_DisplayArrayInTable(Fertiliser_SourceData.Fertiliser_Products_Data5(),FertiliserProducts[[#Headers],[Company]], 121)</f>
        <v/>
      </c>
      <c r="Z222" s="148" t="str" cm="1">
        <f t="array" ref="Z222">Common_InputFunctions.Utility_DisplayArrayInTable(Fertiliser_SourceData.Fertiliser_Products_Data5(),FertiliserProducts[[#Headers],[Company]], 121)</f>
        <v/>
      </c>
      <c r="AA222" s="148" t="str" cm="1">
        <f t="array" ref="AA222">Common_InputFunctions.Utility_DisplayArrayInTable(Fertiliser_SourceData.Fertiliser_Products_Data5(),FertiliserProducts[[#Headers],[Company]], 121)</f>
        <v/>
      </c>
      <c r="AB222" s="148" t="str" cm="1">
        <f t="array" ref="AB222">Common_InputFunctions.Utility_DisplayArrayInTable(Fertiliser_SourceData.Fertiliser_Products_Data5(),FertiliserProducts[[#Headers],[Company]], 121)</f>
        <v/>
      </c>
      <c r="AC222" s="148" t="str" cm="1">
        <f t="array" ref="AC222">Common_InputFunctions.Utility_DisplayArrayInTable(Fertiliser_SourceData.Fertiliser_Products_Data5(),FertiliserProducts[[#Headers],[Company]], 121)</f>
        <v/>
      </c>
      <c r="AD222" s="148" t="str" cm="1">
        <f t="array" ref="AD222">Common_InputFunctions.Utility_DisplayArrayInTable(Fertiliser_SourceData.Fertiliser_Products_Data5(),FertiliserProducts[[#Headers],[Company]], 121)</f>
        <v/>
      </c>
      <c r="AE222" s="148" t="str" cm="1">
        <f t="array" ref="AE222">Common_InputFunctions.Utility_DisplayArrayInTable(Fertiliser_SourceData.Fertiliser_Products_Data5(),FertiliserProducts[[#Headers],[Company]], 121)</f>
        <v/>
      </c>
      <c r="AF222" s="148" t="str" cm="1">
        <f t="array" ref="AF222">Common_InputFunctions.Utility_DisplayArrayInTable(Fertiliser_SourceData.Fertiliser_Products_Data5(),FertiliserProducts[[#Headers],[Company]], 121)</f>
        <v/>
      </c>
      <c r="AG222" s="148" t="str" cm="1">
        <f t="array" ref="AG222">Common_InputFunctions.Utility_DisplayArrayInTable(Fertiliser_SourceData.Fertiliser_Products_Data5(),FertiliserProducts[[#Headers],[Company]], 121)</f>
        <v/>
      </c>
      <c r="AH222" s="148" t="str" cm="1">
        <f t="array" ref="AH222">Common_InputFunctions.Utility_DisplayArrayInTable(Fertiliser_SourceData.Fertiliser_Products_Data5(),FertiliserProducts[[#Headers],[Company]], 121)</f>
        <v/>
      </c>
    </row>
    <row r="223" spans="1:34" ht="20.100000000000001" customHeight="1" x14ac:dyDescent="0.2">
      <c r="D223" s="148" t="str" cm="1">
        <f t="array" ref="D223">Common_InputFunctions.Utility_DisplayArrayInTable(Fertiliser_SourceData.Fertiliser_Products_Data5(),FertiliserProducts[[#Headers],[Company]], 121)</f>
        <v>CSBP</v>
      </c>
      <c r="E223" s="148" t="str" cm="1">
        <f t="array" ref="E223">Common_InputFunctions.Utility_DisplayArrayInTable(Fertiliser_SourceData.Fertiliser_Products_Data5(),FertiliserProducts[[#Headers],[Company]], 121)</f>
        <v>Flexi-N</v>
      </c>
      <c r="F223" s="148" t="str" cm="1">
        <f t="array" ref="F223">Common_InputFunctions.Utility_DisplayArrayInTable(Fertiliser_SourceData.Fertiliser_Products_Data5(),FertiliserProducts[[#Headers],[Company]], 121)</f>
        <v>L</v>
      </c>
      <c r="G223" s="148" cm="1">
        <f t="array" ref="G223">Common_InputFunctions.Utility_DisplayArrayInTable(Fertiliser_SourceData.Fertiliser_Products_Data5(),FertiliserProducts[[#Headers],[Company]], 121)</f>
        <v>1.32</v>
      </c>
      <c r="H223" s="148" t="str" cm="1">
        <f t="array" ref="H223">Common_InputFunctions.Utility_DisplayArrayInTable(Fertiliser_SourceData.Fertiliser_Products_Data5(),FertiliserProducts[[#Headers],[Company]], 121)</f>
        <v/>
      </c>
      <c r="I223" s="148" t="str" cm="1">
        <f t="array" ref="I223">Common_InputFunctions.Utility_DisplayArrayInTable(Fertiliser_SourceData.Fertiliser_Products_Data5(),FertiliserProducts[[#Headers],[Company]], 121)</f>
        <v/>
      </c>
      <c r="J223" s="148" t="str" cm="1">
        <f t="array" ref="J223">Common_InputFunctions.Utility_DisplayArrayInTable(Fertiliser_SourceData.Fertiliser_Products_Data5(),FertiliserProducts[[#Headers],[Company]], 121)</f>
        <v/>
      </c>
      <c r="K223" s="148" cm="1">
        <f t="array" ref="K223">Common_InputFunctions.Utility_DisplayArrayInTable(Fertiliser_SourceData.Fertiliser_Products_Data5(),FertiliserProducts[[#Headers],[Company]], 121)</f>
        <v>32</v>
      </c>
      <c r="L223" s="148" t="str" cm="1">
        <f t="array" ref="L223">Common_InputFunctions.Utility_DisplayArrayInTable(Fertiliser_SourceData.Fertiliser_Products_Data5(),FertiliserProducts[[#Headers],[Company]], 121)</f>
        <v/>
      </c>
      <c r="M223" s="148" t="str" cm="1">
        <f t="array" ref="M223">Common_InputFunctions.Utility_DisplayArrayInTable(Fertiliser_SourceData.Fertiliser_Products_Data5(),FertiliserProducts[[#Headers],[Company]], 121)</f>
        <v/>
      </c>
      <c r="N223" s="148" t="str" cm="1">
        <f t="array" ref="N223">Common_InputFunctions.Utility_DisplayArrayInTable(Fertiliser_SourceData.Fertiliser_Products_Data5(),FertiliserProducts[[#Headers],[Company]], 121)</f>
        <v/>
      </c>
      <c r="O223" s="148" t="str" cm="1">
        <f t="array" ref="O223">Common_InputFunctions.Utility_DisplayArrayInTable(Fertiliser_SourceData.Fertiliser_Products_Data5(),FertiliserProducts[[#Headers],[Company]], 121)</f>
        <v>Urea-ammonium nitrate (UAN)</v>
      </c>
      <c r="P223" s="148" cm="1">
        <f t="array" ref="P223">Common_InputFunctions.Utility_DisplayArrayInTable(Fertiliser_SourceData.Fertiliser_Products_Data5(),FertiliserProducts[[#Headers],[Company]], 121)</f>
        <v>1</v>
      </c>
      <c r="Q223" s="148" t="str" cm="1">
        <f t="array" ref="Q223">Common_InputFunctions.Utility_DisplayArrayInTable(Fertiliser_SourceData.Fertiliser_Products_Data5(),FertiliserProducts[[#Headers],[Company]], 121)</f>
        <v/>
      </c>
      <c r="R223" s="148" t="str" cm="1">
        <f t="array" ref="R223">Common_InputFunctions.Utility_DisplayArrayInTable(Fertiliser_SourceData.Fertiliser_Products_Data5(),FertiliserProducts[[#Headers],[Company]], 121)</f>
        <v/>
      </c>
      <c r="S223" s="148" t="str" cm="1">
        <f t="array" ref="S223">Common_InputFunctions.Utility_DisplayArrayInTable(Fertiliser_SourceData.Fertiliser_Products_Data5(),FertiliserProducts[[#Headers],[Company]], 121)</f>
        <v/>
      </c>
      <c r="T223" s="148" t="str" cm="1">
        <f t="array" ref="T223">Common_InputFunctions.Utility_DisplayArrayInTable(Fertiliser_SourceData.Fertiliser_Products_Data5(),FertiliserProducts[[#Headers],[Company]], 121)</f>
        <v/>
      </c>
      <c r="U223" s="148" t="str" cm="1">
        <f t="array" ref="U223">Common_InputFunctions.Utility_DisplayArrayInTable(Fertiliser_SourceData.Fertiliser_Products_Data5(),FertiliserProducts[[#Headers],[Company]], 121)</f>
        <v/>
      </c>
      <c r="V223" s="148" t="str" cm="1">
        <f t="array" ref="V223">Common_InputFunctions.Utility_DisplayArrayInTable(Fertiliser_SourceData.Fertiliser_Products_Data5(),FertiliserProducts[[#Headers],[Company]], 121)</f>
        <v/>
      </c>
      <c r="W223" s="148" t="str" cm="1">
        <f t="array" ref="W223">Common_InputFunctions.Utility_DisplayArrayInTable(Fertiliser_SourceData.Fertiliser_Products_Data5(),FertiliserProducts[[#Headers],[Company]], 121)</f>
        <v/>
      </c>
      <c r="X223" s="148" t="str" cm="1">
        <f t="array" ref="X223">Common_InputFunctions.Utility_DisplayArrayInTable(Fertiliser_SourceData.Fertiliser_Products_Data5(),FertiliserProducts[[#Headers],[Company]], 121)</f>
        <v/>
      </c>
      <c r="Y223" s="148" t="str" cm="1">
        <f t="array" ref="Y223">Common_InputFunctions.Utility_DisplayArrayInTable(Fertiliser_SourceData.Fertiliser_Products_Data5(),FertiliserProducts[[#Headers],[Company]], 121)</f>
        <v/>
      </c>
      <c r="Z223" s="148" t="str" cm="1">
        <f t="array" ref="Z223">Common_InputFunctions.Utility_DisplayArrayInTable(Fertiliser_SourceData.Fertiliser_Products_Data5(),FertiliserProducts[[#Headers],[Company]], 121)</f>
        <v/>
      </c>
      <c r="AA223" s="148" t="str" cm="1">
        <f t="array" ref="AA223">Common_InputFunctions.Utility_DisplayArrayInTable(Fertiliser_SourceData.Fertiliser_Products_Data5(),FertiliserProducts[[#Headers],[Company]], 121)</f>
        <v/>
      </c>
      <c r="AB223" s="148" t="str" cm="1">
        <f t="array" ref="AB223">Common_InputFunctions.Utility_DisplayArrayInTable(Fertiliser_SourceData.Fertiliser_Products_Data5(),FertiliserProducts[[#Headers],[Company]], 121)</f>
        <v/>
      </c>
      <c r="AC223" s="148" t="str" cm="1">
        <f t="array" ref="AC223">Common_InputFunctions.Utility_DisplayArrayInTable(Fertiliser_SourceData.Fertiliser_Products_Data5(),FertiliserProducts[[#Headers],[Company]], 121)</f>
        <v/>
      </c>
      <c r="AD223" s="148" t="str" cm="1">
        <f t="array" ref="AD223">Common_InputFunctions.Utility_DisplayArrayInTable(Fertiliser_SourceData.Fertiliser_Products_Data5(),FertiliserProducts[[#Headers],[Company]], 121)</f>
        <v/>
      </c>
      <c r="AE223" s="148" t="str" cm="1">
        <f t="array" ref="AE223">Common_InputFunctions.Utility_DisplayArrayInTable(Fertiliser_SourceData.Fertiliser_Products_Data5(),FertiliserProducts[[#Headers],[Company]], 121)</f>
        <v/>
      </c>
      <c r="AF223" s="148" t="str" cm="1">
        <f t="array" ref="AF223">Common_InputFunctions.Utility_DisplayArrayInTable(Fertiliser_SourceData.Fertiliser_Products_Data5(),FertiliserProducts[[#Headers],[Company]], 121)</f>
        <v/>
      </c>
      <c r="AG223" s="148" t="str" cm="1">
        <f t="array" ref="AG223">Common_InputFunctions.Utility_DisplayArrayInTable(Fertiliser_SourceData.Fertiliser_Products_Data5(),FertiliserProducts[[#Headers],[Company]], 121)</f>
        <v/>
      </c>
      <c r="AH223" s="148" t="str" cm="1">
        <f t="array" ref="AH223">Common_InputFunctions.Utility_DisplayArrayInTable(Fertiliser_SourceData.Fertiliser_Products_Data5(),FertiliserProducts[[#Headers],[Company]], 121)</f>
        <v/>
      </c>
    </row>
  </sheetData>
  <pageMargins left="0.7" right="0.7" top="0.75" bottom="0.75" header="0.3" footer="0.3"/>
  <pageSetup paperSize="9" orientation="portrait" r:id="rId1"/>
  <tableParts count="11">
    <tablePart r:id="rId2"/>
    <tablePart r:id="rId3"/>
    <tablePart r:id="rId4"/>
    <tablePart r:id="rId5"/>
    <tablePart r:id="rId6"/>
    <tablePart r:id="rId7"/>
    <tablePart r:id="rId8"/>
    <tablePart r:id="rId9"/>
    <tablePart r:id="rId10"/>
    <tablePart r:id="rId11"/>
    <tablePart r:id="rId12"/>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3A63A-D209-4B3F-9994-E143EA3709A5}">
  <sheetPr>
    <tabColor theme="2" tint="-0.499984740745262"/>
  </sheetPr>
  <dimension ref="A1:AI16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638</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Fuel_SourceData.Fuel_Scope1Scope3EmissionFactorsTransport_Title()</f>
        <v>Fuel scope 1 and 3 emission factors - Transport</v>
      </c>
      <c r="E5" s="154"/>
      <c r="F5" s="154"/>
      <c r="G5" s="154"/>
      <c r="H5" s="154"/>
      <c r="I5" s="154"/>
      <c r="J5" s="154"/>
      <c r="K5" s="154"/>
      <c r="L5" s="154"/>
    </row>
    <row r="6" spans="1:35" ht="20.100000000000001" customHeight="1" x14ac:dyDescent="0.2">
      <c r="D6" s="1" t="str" cm="1">
        <f t="array" ref="D6">Fuel_SourceData.Fuel_Scope1Scope3EmissionFactorsTransport_Description()</f>
        <v>Direct (scope 1) and indirect (scope 3) emission factors for the consumption of transport fuels in different transport equipment</v>
      </c>
      <c r="E6" s="154"/>
      <c r="F6" s="154"/>
      <c r="G6" s="154"/>
      <c r="H6" s="154"/>
      <c r="I6" s="154"/>
      <c r="J6" s="154"/>
      <c r="K6" s="154"/>
      <c r="L6" s="154"/>
    </row>
    <row r="7" spans="1:35" ht="20.100000000000001" customHeight="1" x14ac:dyDescent="0.2">
      <c r="D7" s="17" t="str" cm="1">
        <f t="array" ref="D7">Fuel_SourceData.Fuel_Scope1Scope3EmissionFactorsTransport_Source()</f>
        <v>Australian National Greenhouse Accounts Factors 2025 - Table 9</v>
      </c>
      <c r="E7" s="154"/>
      <c r="F7" s="154"/>
      <c r="G7" s="154"/>
      <c r="H7" s="154"/>
      <c r="I7" s="154"/>
      <c r="J7" s="154"/>
      <c r="K7" s="154"/>
      <c r="L7" s="154"/>
    </row>
    <row r="8" spans="1:35" ht="20.100000000000001" customHeight="1" x14ac:dyDescent="0.2">
      <c r="A8" s="7" t="s">
        <v>0</v>
      </c>
      <c r="D8" s="25" t="str" cm="1">
        <f t="array" ref="D8">"⚠️" &amp; Fuel_SourceData.Fuel_Scope1Scope3EmissionFactorsTransport_Variation()</f>
        <v>⚠️VARIATION OF SOURCE DATA: 'NE' values returned as zero for calculations.</v>
      </c>
      <c r="E8" s="154"/>
      <c r="F8" s="154"/>
      <c r="G8" s="154"/>
      <c r="H8" s="154"/>
      <c r="I8" s="154"/>
      <c r="J8" s="154"/>
      <c r="K8" s="154"/>
      <c r="L8" s="154"/>
    </row>
    <row r="9" spans="1:35" ht="20.100000000000001" customHeight="1" x14ac:dyDescent="0.2">
      <c r="A9" s="5" t="str">
        <f>HYPERLINK("#'Input - Enterprise'!A1", "Enterprise")</f>
        <v>Enterprise</v>
      </c>
      <c r="D9" s="181" t="s">
        <v>639</v>
      </c>
      <c r="E9" s="181" t="s">
        <v>640</v>
      </c>
      <c r="F9" s="181" t="s">
        <v>641</v>
      </c>
      <c r="G9" s="181" t="s">
        <v>642</v>
      </c>
      <c r="H9" s="181" t="s">
        <v>643</v>
      </c>
      <c r="I9" s="181" t="s">
        <v>644</v>
      </c>
      <c r="J9" s="181" t="s">
        <v>645</v>
      </c>
      <c r="K9" s="181" t="s">
        <v>646</v>
      </c>
      <c r="L9" s="181" t="s">
        <v>647</v>
      </c>
    </row>
    <row r="10" spans="1:35" ht="20.100000000000001" customHeight="1" x14ac:dyDescent="0.2">
      <c r="A10" s="5" t="str">
        <f>HYPERLINK("#'Input - Site'!A1", "Site")</f>
        <v>Site</v>
      </c>
      <c r="D10" s="182" t="str" cm="1">
        <f t="array" ref="D10">Common_InputFunctions.Utility_DisplayArrayInTable(Fuel_SourceData.Fuel_Scope1Scope3EmissionFactorsTransport_Data(), Table_Fuel_EFs_Transport[[#Headers],[Transport type]], 0)</f>
        <v>Cars and light commercial vehicles</v>
      </c>
      <c r="E10" s="182" t="str" cm="1">
        <f t="array" ref="E10">Common_InputFunctions.Utility_DisplayArrayInTable(Fuel_SourceData.Fuel_Scope1Scope3EmissionFactorsTransport_Data(), Table_Fuel_EFs_Transport[[#Headers],[Transport type]], 0)</f>
        <v>Gasoline</v>
      </c>
      <c r="F10" s="182" cm="1">
        <f t="array" ref="F10">Common_InputFunctions.Utility_DisplayArrayInTable(Fuel_SourceData.Fuel_Scope1Scope3EmissionFactorsTransport_Data(), Table_Fuel_EFs_Transport[[#Headers],[Transport type]], 0)</f>
        <v>34.200000000000003</v>
      </c>
      <c r="G10" s="182" t="str" cm="1">
        <f t="array" ref="G10">Common_InputFunctions.Utility_DisplayArrayInTable(Fuel_SourceData.Fuel_Scope1Scope3EmissionFactorsTransport_Data(), Table_Fuel_EFs_Transport[[#Headers],[Transport type]], 0)</f>
        <v>kl</v>
      </c>
      <c r="H10" s="182" cm="1">
        <f t="array" ref="H10">Common_InputFunctions.Utility_DisplayArrayInTable(Fuel_SourceData.Fuel_Scope1Scope3EmissionFactorsTransport_Data(), Table_Fuel_EFs_Transport[[#Headers],[Transport type]], 0)</f>
        <v>67.400000000000006</v>
      </c>
      <c r="I10" s="182" cm="1">
        <f t="array" ref="I10">Common_InputFunctions.Utility_DisplayArrayInTable(Fuel_SourceData.Fuel_Scope1Scope3EmissionFactorsTransport_Data(), Table_Fuel_EFs_Transport[[#Headers],[Transport type]], 0)</f>
        <v>0.02</v>
      </c>
      <c r="J10" s="182" cm="1">
        <f t="array" ref="J10">Common_InputFunctions.Utility_DisplayArrayInTable(Fuel_SourceData.Fuel_Scope1Scope3EmissionFactorsTransport_Data(), Table_Fuel_EFs_Transport[[#Headers],[Transport type]], 0)</f>
        <v>0.2</v>
      </c>
      <c r="K10" s="182" cm="1">
        <f t="array" ref="K10">Common_InputFunctions.Utility_DisplayArrayInTable(Fuel_SourceData.Fuel_Scope1Scope3EmissionFactorsTransport_Data(), Table_Fuel_EFs_Transport[[#Headers],[Transport type]], 0)</f>
        <v>67.62</v>
      </c>
      <c r="L10" s="182" cm="1">
        <f t="array" ref="L10">Common_InputFunctions.Utility_DisplayArrayInTable(Fuel_SourceData.Fuel_Scope1Scope3EmissionFactorsTransport_Data(), Table_Fuel_EFs_Transport[[#Headers],[Transport type]], 0)</f>
        <v>17.2</v>
      </c>
    </row>
    <row r="11" spans="1:35" ht="20.100000000000001" customHeight="1" x14ac:dyDescent="0.2">
      <c r="A11" s="5" t="str">
        <f>HYPERLINK("#'Input - Poultry'!A1", "Poultry")</f>
        <v>Poultry</v>
      </c>
      <c r="D11" s="182" t="str" cm="1">
        <f t="array" ref="D11">Common_InputFunctions.Utility_DisplayArrayInTable(Fuel_SourceData.Fuel_Scope1Scope3EmissionFactorsTransport_Data(), Table_Fuel_EFs_Transport[[#Headers],[Transport type]], 0)</f>
        <v>Cars and light commercial vehicles</v>
      </c>
      <c r="E11" s="182" t="str" cm="1">
        <f t="array" ref="E11">Common_InputFunctions.Utility_DisplayArrayInTable(Fuel_SourceData.Fuel_Scope1Scope3EmissionFactorsTransport_Data(), Table_Fuel_EFs_Transport[[#Headers],[Transport type]], 0)</f>
        <v>Diesel oil</v>
      </c>
      <c r="F11" s="182" cm="1">
        <f t="array" ref="F11">Common_InputFunctions.Utility_DisplayArrayInTable(Fuel_SourceData.Fuel_Scope1Scope3EmissionFactorsTransport_Data(), Table_Fuel_EFs_Transport[[#Headers],[Transport type]], 0)</f>
        <v>38.6</v>
      </c>
      <c r="G11" s="182" t="str" cm="1">
        <f t="array" ref="G11">Common_InputFunctions.Utility_DisplayArrayInTable(Fuel_SourceData.Fuel_Scope1Scope3EmissionFactorsTransport_Data(), Table_Fuel_EFs_Transport[[#Headers],[Transport type]], 0)</f>
        <v>kl</v>
      </c>
      <c r="H11" s="182" cm="1">
        <f t="array" ref="H11">Common_InputFunctions.Utility_DisplayArrayInTable(Fuel_SourceData.Fuel_Scope1Scope3EmissionFactorsTransport_Data(), Table_Fuel_EFs_Transport[[#Headers],[Transport type]], 0)</f>
        <v>69.900000000000006</v>
      </c>
      <c r="I11" s="182" cm="1">
        <f t="array" ref="I11">Common_InputFunctions.Utility_DisplayArrayInTable(Fuel_SourceData.Fuel_Scope1Scope3EmissionFactorsTransport_Data(), Table_Fuel_EFs_Transport[[#Headers],[Transport type]], 0)</f>
        <v>0.01</v>
      </c>
      <c r="J11" s="182" cm="1">
        <f t="array" ref="J11">Common_InputFunctions.Utility_DisplayArrayInTable(Fuel_SourceData.Fuel_Scope1Scope3EmissionFactorsTransport_Data(), Table_Fuel_EFs_Transport[[#Headers],[Transport type]], 0)</f>
        <v>0.5</v>
      </c>
      <c r="K11" s="182" cm="1">
        <f t="array" ref="K11">Common_InputFunctions.Utility_DisplayArrayInTable(Fuel_SourceData.Fuel_Scope1Scope3EmissionFactorsTransport_Data(), Table_Fuel_EFs_Transport[[#Headers],[Transport type]], 0)</f>
        <v>70.41</v>
      </c>
      <c r="L11" s="182" cm="1">
        <f t="array" ref="L11">Common_InputFunctions.Utility_DisplayArrayInTable(Fuel_SourceData.Fuel_Scope1Scope3EmissionFactorsTransport_Data(), Table_Fuel_EFs_Transport[[#Headers],[Transport type]], 0)</f>
        <v>17.3</v>
      </c>
    </row>
    <row r="12" spans="1:35" ht="20.100000000000001" customHeight="1" x14ac:dyDescent="0.2">
      <c r="A12" s="5" t="str">
        <f>HYPERLINK("#'Input - Livestock sales'!A1", "Livestock sales")</f>
        <v>Livestock sales</v>
      </c>
      <c r="D12" s="182" t="str" cm="1">
        <f t="array" ref="D12">Common_InputFunctions.Utility_DisplayArrayInTable(Fuel_SourceData.Fuel_Scope1Scope3EmissionFactorsTransport_Data(), Table_Fuel_EFs_Transport[[#Headers],[Transport type]], 0)</f>
        <v>Cars and light commercial vehicles</v>
      </c>
      <c r="E12" s="182" t="str" cm="1">
        <f t="array" ref="E12">Common_InputFunctions.Utility_DisplayArrayInTable(Fuel_SourceData.Fuel_Scope1Scope3EmissionFactorsTransport_Data(), Table_Fuel_EFs_Transport[[#Headers],[Transport type]], 0)</f>
        <v>Liquefied petroleum gas (LPG)</v>
      </c>
      <c r="F12" s="182" cm="1">
        <f t="array" ref="F12">Common_InputFunctions.Utility_DisplayArrayInTable(Fuel_SourceData.Fuel_Scope1Scope3EmissionFactorsTransport_Data(), Table_Fuel_EFs_Transport[[#Headers],[Transport type]], 0)</f>
        <v>26.2</v>
      </c>
      <c r="G12" s="182" t="str" cm="1">
        <f t="array" ref="G12">Common_InputFunctions.Utility_DisplayArrayInTable(Fuel_SourceData.Fuel_Scope1Scope3EmissionFactorsTransport_Data(), Table_Fuel_EFs_Transport[[#Headers],[Transport type]], 0)</f>
        <v>kl</v>
      </c>
      <c r="H12" s="182" cm="1">
        <f t="array" ref="H12">Common_InputFunctions.Utility_DisplayArrayInTable(Fuel_SourceData.Fuel_Scope1Scope3EmissionFactorsTransport_Data(), Table_Fuel_EFs_Transport[[#Headers],[Transport type]], 0)</f>
        <v>60.2</v>
      </c>
      <c r="I12" s="182" cm="1">
        <f t="array" ref="I12">Common_InputFunctions.Utility_DisplayArrayInTable(Fuel_SourceData.Fuel_Scope1Scope3EmissionFactorsTransport_Data(), Table_Fuel_EFs_Transport[[#Headers],[Transport type]], 0)</f>
        <v>0.5</v>
      </c>
      <c r="J12" s="182" cm="1">
        <f t="array" ref="J12">Common_InputFunctions.Utility_DisplayArrayInTable(Fuel_SourceData.Fuel_Scope1Scope3EmissionFactorsTransport_Data(), Table_Fuel_EFs_Transport[[#Headers],[Transport type]], 0)</f>
        <v>0.3</v>
      </c>
      <c r="K12" s="182" cm="1">
        <f t="array" ref="K12">Common_InputFunctions.Utility_DisplayArrayInTable(Fuel_SourceData.Fuel_Scope1Scope3EmissionFactorsTransport_Data(), Table_Fuel_EFs_Transport[[#Headers],[Transport type]], 0)</f>
        <v>61</v>
      </c>
      <c r="L12" s="182" cm="1">
        <f t="array" ref="L12">Common_InputFunctions.Utility_DisplayArrayInTable(Fuel_SourceData.Fuel_Scope1Scope3EmissionFactorsTransport_Data(), Table_Fuel_EFs_Transport[[#Headers],[Transport type]], 0)</f>
        <v>20.2</v>
      </c>
    </row>
    <row r="13" spans="1:35" ht="20.100000000000001" customHeight="1" x14ac:dyDescent="0.2">
      <c r="A13" s="5" t="str">
        <f>HYPERLINK("#'Input - Poultry purchases'!A1", "Poultry purchases")</f>
        <v>Poultry purchases</v>
      </c>
      <c r="D13" s="182" t="str" cm="1">
        <f t="array" ref="D13">Common_InputFunctions.Utility_DisplayArrayInTable(Fuel_SourceData.Fuel_Scope1Scope3EmissionFactorsTransport_Data(), Table_Fuel_EFs_Transport[[#Headers],[Transport type]], 0)</f>
        <v>Cars and light commercial vehicles</v>
      </c>
      <c r="E13" s="182" t="str" cm="1">
        <f t="array" ref="E13">Common_InputFunctions.Utility_DisplayArrayInTable(Fuel_SourceData.Fuel_Scope1Scope3EmissionFactorsTransport_Data(), Table_Fuel_EFs_Transport[[#Headers],[Transport type]], 0)</f>
        <v>Fuel oil</v>
      </c>
      <c r="F13" s="182" cm="1">
        <f t="array" ref="F13">Common_InputFunctions.Utility_DisplayArrayInTable(Fuel_SourceData.Fuel_Scope1Scope3EmissionFactorsTransport_Data(), Table_Fuel_EFs_Transport[[#Headers],[Transport type]], 0)</f>
        <v>39.700000000000003</v>
      </c>
      <c r="G13" s="182" t="str" cm="1">
        <f t="array" ref="G13">Common_InputFunctions.Utility_DisplayArrayInTable(Fuel_SourceData.Fuel_Scope1Scope3EmissionFactorsTransport_Data(), Table_Fuel_EFs_Transport[[#Headers],[Transport type]], 0)</f>
        <v>kl</v>
      </c>
      <c r="H13" s="182" cm="1">
        <f t="array" ref="H13">Common_InputFunctions.Utility_DisplayArrayInTable(Fuel_SourceData.Fuel_Scope1Scope3EmissionFactorsTransport_Data(), Table_Fuel_EFs_Transport[[#Headers],[Transport type]], 0)</f>
        <v>73.599999999999994</v>
      </c>
      <c r="I13" s="182" cm="1">
        <f t="array" ref="I13">Common_InputFunctions.Utility_DisplayArrayInTable(Fuel_SourceData.Fuel_Scope1Scope3EmissionFactorsTransport_Data(), Table_Fuel_EFs_Transport[[#Headers],[Transport type]], 0)</f>
        <v>0.08</v>
      </c>
      <c r="J13" s="182" cm="1">
        <f t="array" ref="J13">Common_InputFunctions.Utility_DisplayArrayInTable(Fuel_SourceData.Fuel_Scope1Scope3EmissionFactorsTransport_Data(), Table_Fuel_EFs_Transport[[#Headers],[Transport type]], 0)</f>
        <v>0.5</v>
      </c>
      <c r="K13" s="182" cm="1">
        <f t="array" ref="K13">Common_InputFunctions.Utility_DisplayArrayInTable(Fuel_SourceData.Fuel_Scope1Scope3EmissionFactorsTransport_Data(), Table_Fuel_EFs_Transport[[#Headers],[Transport type]], 0)</f>
        <v>74.180000000000007</v>
      </c>
      <c r="L13" s="182" cm="1">
        <f t="array" ref="L13">Common_InputFunctions.Utility_DisplayArrayInTable(Fuel_SourceData.Fuel_Scope1Scope3EmissionFactorsTransport_Data(), Table_Fuel_EFs_Transport[[#Headers],[Transport type]], 0)</f>
        <v>18</v>
      </c>
    </row>
    <row r="14" spans="1:35" ht="20.100000000000001" customHeight="1" x14ac:dyDescent="0.2">
      <c r="A14" s="5" t="str">
        <f>HYPERLINK("#'Input - Fuel'!A1", "Fuel")</f>
        <v>Fuel</v>
      </c>
      <c r="D14" s="182" t="str" cm="1">
        <f t="array" ref="D14">Common_InputFunctions.Utility_DisplayArrayInTable(Fuel_SourceData.Fuel_Scope1Scope3EmissionFactorsTransport_Data(), Table_Fuel_EFs_Transport[[#Headers],[Transport type]], 0)</f>
        <v>Cars and light commercial vehicles</v>
      </c>
      <c r="E14" s="182" t="str" cm="1">
        <f t="array" ref="E14">Common_InputFunctions.Utility_DisplayArrayInTable(Fuel_SourceData.Fuel_Scope1Scope3EmissionFactorsTransport_Data(), Table_Fuel_EFs_Transport[[#Headers],[Transport type]], 0)</f>
        <v>Ethanol</v>
      </c>
      <c r="F14" s="182" cm="1">
        <f t="array" ref="F14">Common_InputFunctions.Utility_DisplayArrayInTable(Fuel_SourceData.Fuel_Scope1Scope3EmissionFactorsTransport_Data(), Table_Fuel_EFs_Transport[[#Headers],[Transport type]], 0)</f>
        <v>23.4</v>
      </c>
      <c r="G14" s="182" t="str" cm="1">
        <f t="array" ref="G14">Common_InputFunctions.Utility_DisplayArrayInTable(Fuel_SourceData.Fuel_Scope1Scope3EmissionFactorsTransport_Data(), Table_Fuel_EFs_Transport[[#Headers],[Transport type]], 0)</f>
        <v>kl</v>
      </c>
      <c r="H14" s="182" cm="1">
        <f t="array" ref="H14">Common_InputFunctions.Utility_DisplayArrayInTable(Fuel_SourceData.Fuel_Scope1Scope3EmissionFactorsTransport_Data(), Table_Fuel_EFs_Transport[[#Headers],[Transport type]], 0)</f>
        <v>0</v>
      </c>
      <c r="I14" s="182" cm="1">
        <f t="array" ref="I14">Common_InputFunctions.Utility_DisplayArrayInTable(Fuel_SourceData.Fuel_Scope1Scope3EmissionFactorsTransport_Data(), Table_Fuel_EFs_Transport[[#Headers],[Transport type]], 0)</f>
        <v>0.2</v>
      </c>
      <c r="J14" s="182" cm="1">
        <f t="array" ref="J14">Common_InputFunctions.Utility_DisplayArrayInTable(Fuel_SourceData.Fuel_Scope1Scope3EmissionFactorsTransport_Data(), Table_Fuel_EFs_Transport[[#Headers],[Transport type]], 0)</f>
        <v>0.2</v>
      </c>
      <c r="K14" s="182" cm="1">
        <f t="array" ref="K14">Common_InputFunctions.Utility_DisplayArrayInTable(Fuel_SourceData.Fuel_Scope1Scope3EmissionFactorsTransport_Data(), Table_Fuel_EFs_Transport[[#Headers],[Transport type]], 0)</f>
        <v>0.4</v>
      </c>
      <c r="L14" s="182" t="str" cm="1">
        <f t="array" ref="L14">Common_InputFunctions.Utility_DisplayArrayInTable(Fuel_SourceData.Fuel_Scope1Scope3EmissionFactorsTransport_Data(), Table_Fuel_EFs_Transport[[#Headers],[Transport type]], 0)</f>
        <v>NE</v>
      </c>
    </row>
    <row r="15" spans="1:35" ht="20.100000000000001" customHeight="1" x14ac:dyDescent="0.2">
      <c r="A15" s="5" t="str">
        <f>HYPERLINK("#'Input - Electricity'!A1", "Electricity")</f>
        <v>Electricity</v>
      </c>
      <c r="D15" s="182" t="str" cm="1">
        <f t="array" ref="D15">Common_InputFunctions.Utility_DisplayArrayInTable(Fuel_SourceData.Fuel_Scope1Scope3EmissionFactorsTransport_Data(), Table_Fuel_EFs_Transport[[#Headers],[Transport type]], 0)</f>
        <v>Cars and light commercial vehicles</v>
      </c>
      <c r="E15" s="182" t="str" cm="1">
        <f t="array" ref="E15">Common_InputFunctions.Utility_DisplayArrayInTable(Fuel_SourceData.Fuel_Scope1Scope3EmissionFactorsTransport_Data(), Table_Fuel_EFs_Transport[[#Headers],[Transport type]], 0)</f>
        <v>Biodiesel</v>
      </c>
      <c r="F15" s="182" cm="1">
        <f t="array" ref="F15">Common_InputFunctions.Utility_DisplayArrayInTable(Fuel_SourceData.Fuel_Scope1Scope3EmissionFactorsTransport_Data(), Table_Fuel_EFs_Transport[[#Headers],[Transport type]], 0)</f>
        <v>34.6</v>
      </c>
      <c r="G15" s="182" t="str" cm="1">
        <f t="array" ref="G15">Common_InputFunctions.Utility_DisplayArrayInTable(Fuel_SourceData.Fuel_Scope1Scope3EmissionFactorsTransport_Data(), Table_Fuel_EFs_Transport[[#Headers],[Transport type]], 0)</f>
        <v>kl</v>
      </c>
      <c r="H15" s="182" cm="1">
        <f t="array" ref="H15">Common_InputFunctions.Utility_DisplayArrayInTable(Fuel_SourceData.Fuel_Scope1Scope3EmissionFactorsTransport_Data(), Table_Fuel_EFs_Transport[[#Headers],[Transport type]], 0)</f>
        <v>0</v>
      </c>
      <c r="I15" s="182" cm="1">
        <f t="array" ref="I15">Common_InputFunctions.Utility_DisplayArrayInTable(Fuel_SourceData.Fuel_Scope1Scope3EmissionFactorsTransport_Data(), Table_Fuel_EFs_Transport[[#Headers],[Transport type]], 0)</f>
        <v>0.8</v>
      </c>
      <c r="J15" s="182" cm="1">
        <f t="array" ref="J15">Common_InputFunctions.Utility_DisplayArrayInTable(Fuel_SourceData.Fuel_Scope1Scope3EmissionFactorsTransport_Data(), Table_Fuel_EFs_Transport[[#Headers],[Transport type]], 0)</f>
        <v>1.7</v>
      </c>
      <c r="K15" s="182" cm="1">
        <f t="array" ref="K15">Common_InputFunctions.Utility_DisplayArrayInTable(Fuel_SourceData.Fuel_Scope1Scope3EmissionFactorsTransport_Data(), Table_Fuel_EFs_Transport[[#Headers],[Transport type]], 0)</f>
        <v>2.5</v>
      </c>
      <c r="L15" s="182" t="str" cm="1">
        <f t="array" ref="L15">Common_InputFunctions.Utility_DisplayArrayInTable(Fuel_SourceData.Fuel_Scope1Scope3EmissionFactorsTransport_Data(), Table_Fuel_EFs_Transport[[#Headers],[Transport type]], 0)</f>
        <v>NE</v>
      </c>
    </row>
    <row r="16" spans="1:35" ht="20.100000000000001" customHeight="1" x14ac:dyDescent="0.2">
      <c r="A16" s="5" t="str">
        <f>HYPERLINK("#'Input - Common farm inputs'!A1", "Common farm inputs")</f>
        <v>Common farm inputs</v>
      </c>
      <c r="D16" s="182" t="str" cm="1">
        <f t="array" ref="D16">Common_InputFunctions.Utility_DisplayArrayInTable(Fuel_SourceData.Fuel_Scope1Scope3EmissionFactorsTransport_Data(), Table_Fuel_EFs_Transport[[#Headers],[Transport type]], 0)</f>
        <v>Cars and light commercial vehicles</v>
      </c>
      <c r="E16" s="182" t="str" cm="1">
        <f t="array" ref="E16">Common_InputFunctions.Utility_DisplayArrayInTable(Fuel_SourceData.Fuel_Scope1Scope3EmissionFactorsTransport_Data(), Table_Fuel_EFs_Transport[[#Headers],[Transport type]], 0)</f>
        <v>Renewable diesel</v>
      </c>
      <c r="F16" s="182" cm="1">
        <f t="array" ref="F16">Common_InputFunctions.Utility_DisplayArrayInTable(Fuel_SourceData.Fuel_Scope1Scope3EmissionFactorsTransport_Data(), Table_Fuel_EFs_Transport[[#Headers],[Transport type]], 0)</f>
        <v>38.6</v>
      </c>
      <c r="G16" s="182" t="str" cm="1">
        <f t="array" ref="G16">Common_InputFunctions.Utility_DisplayArrayInTable(Fuel_SourceData.Fuel_Scope1Scope3EmissionFactorsTransport_Data(), Table_Fuel_EFs_Transport[[#Headers],[Transport type]], 0)</f>
        <v>kl</v>
      </c>
      <c r="H16" s="182" cm="1">
        <f t="array" ref="H16">Common_InputFunctions.Utility_DisplayArrayInTable(Fuel_SourceData.Fuel_Scope1Scope3EmissionFactorsTransport_Data(), Table_Fuel_EFs_Transport[[#Headers],[Transport type]], 0)</f>
        <v>0</v>
      </c>
      <c r="I16" s="182" cm="1">
        <f t="array" ref="I16">Common_InputFunctions.Utility_DisplayArrayInTable(Fuel_SourceData.Fuel_Scope1Scope3EmissionFactorsTransport_Data(), Table_Fuel_EFs_Transport[[#Headers],[Transport type]], 0)</f>
        <v>0.01</v>
      </c>
      <c r="J16" s="182" cm="1">
        <f t="array" ref="J16">Common_InputFunctions.Utility_DisplayArrayInTable(Fuel_SourceData.Fuel_Scope1Scope3EmissionFactorsTransport_Data(), Table_Fuel_EFs_Transport[[#Headers],[Transport type]], 0)</f>
        <v>0.5</v>
      </c>
      <c r="K16" s="182" cm="1">
        <f t="array" ref="K16">Common_InputFunctions.Utility_DisplayArrayInTable(Fuel_SourceData.Fuel_Scope1Scope3EmissionFactorsTransport_Data(), Table_Fuel_EFs_Transport[[#Headers],[Transport type]], 0)</f>
        <v>0.51</v>
      </c>
      <c r="L16" s="182" t="str" cm="1">
        <f t="array" ref="L16">Common_InputFunctions.Utility_DisplayArrayInTable(Fuel_SourceData.Fuel_Scope1Scope3EmissionFactorsTransport_Data(), Table_Fuel_EFs_Transport[[#Headers],[Transport type]], 0)</f>
        <v>NE</v>
      </c>
    </row>
    <row r="17" spans="1:12" ht="20.100000000000001" customHeight="1" x14ac:dyDescent="0.2">
      <c r="A17" s="5" t="str">
        <f>HYPERLINK("#'Input - Livestock farm Inputs'!A1", "Livestock farm Inputs")</f>
        <v>Livestock farm Inputs</v>
      </c>
      <c r="D17" s="182" t="str" cm="1">
        <f t="array" ref="D17">Common_InputFunctions.Utility_DisplayArrayInTable(Fuel_SourceData.Fuel_Scope1Scope3EmissionFactorsTransport_Data(), Table_Fuel_EFs_Transport[[#Headers],[Transport type]], 0)</f>
        <v>Cars and light commercial vehicles</v>
      </c>
      <c r="E17" s="182" t="str" cm="1">
        <f t="array" ref="E17">Common_InputFunctions.Utility_DisplayArrayInTable(Fuel_SourceData.Fuel_Scope1Scope3EmissionFactorsTransport_Data(), Table_Fuel_EFs_Transport[[#Headers],[Transport type]], 0)</f>
        <v>Other biofuels</v>
      </c>
      <c r="F17" s="182" cm="1">
        <f t="array" ref="F17">Common_InputFunctions.Utility_DisplayArrayInTable(Fuel_SourceData.Fuel_Scope1Scope3EmissionFactorsTransport_Data(), Table_Fuel_EFs_Transport[[#Headers],[Transport type]], 0)</f>
        <v>23.4</v>
      </c>
      <c r="G17" s="182" t="str" cm="1">
        <f t="array" ref="G17">Common_InputFunctions.Utility_DisplayArrayInTable(Fuel_SourceData.Fuel_Scope1Scope3EmissionFactorsTransport_Data(), Table_Fuel_EFs_Transport[[#Headers],[Transport type]], 0)</f>
        <v>kl</v>
      </c>
      <c r="H17" s="182" cm="1">
        <f t="array" ref="H17">Common_InputFunctions.Utility_DisplayArrayInTable(Fuel_SourceData.Fuel_Scope1Scope3EmissionFactorsTransport_Data(), Table_Fuel_EFs_Transport[[#Headers],[Transport type]], 0)</f>
        <v>0</v>
      </c>
      <c r="I17" s="182" cm="1">
        <f t="array" ref="I17">Common_InputFunctions.Utility_DisplayArrayInTable(Fuel_SourceData.Fuel_Scope1Scope3EmissionFactorsTransport_Data(), Table_Fuel_EFs_Transport[[#Headers],[Transport type]], 0)</f>
        <v>0.8</v>
      </c>
      <c r="J17" s="182" cm="1">
        <f t="array" ref="J17">Common_InputFunctions.Utility_DisplayArrayInTable(Fuel_SourceData.Fuel_Scope1Scope3EmissionFactorsTransport_Data(), Table_Fuel_EFs_Transport[[#Headers],[Transport type]], 0)</f>
        <v>1.7</v>
      </c>
      <c r="K17" s="182" cm="1">
        <f t="array" ref="K17">Common_InputFunctions.Utility_DisplayArrayInTable(Fuel_SourceData.Fuel_Scope1Scope3EmissionFactorsTransport_Data(), Table_Fuel_EFs_Transport[[#Headers],[Transport type]], 0)</f>
        <v>2.5</v>
      </c>
      <c r="L17" s="182" t="str" cm="1">
        <f t="array" ref="L17">Common_InputFunctions.Utility_DisplayArrayInTable(Fuel_SourceData.Fuel_Scope1Scope3EmissionFactorsTransport_Data(), Table_Fuel_EFs_Transport[[#Headers],[Transport type]], 0)</f>
        <v>NE</v>
      </c>
    </row>
    <row r="18" spans="1:12" ht="20.100000000000001" customHeight="1" x14ac:dyDescent="0.2">
      <c r="A18" s="5" t="str">
        <f>HYPERLINK("#'Input - Freight'!A1", "Freight")</f>
        <v>Freight</v>
      </c>
      <c r="D18" s="182" t="str" cm="1">
        <f t="array" ref="D18">Common_InputFunctions.Utility_DisplayArrayInTable(Fuel_SourceData.Fuel_Scope1Scope3EmissionFactorsTransport_Data(), Table_Fuel_EFs_Transport[[#Headers],[Transport type]], 0)</f>
        <v>Light duty vehicles</v>
      </c>
      <c r="E18" s="182" t="str" cm="1">
        <f t="array" ref="E18">Common_InputFunctions.Utility_DisplayArrayInTable(Fuel_SourceData.Fuel_Scope1Scope3EmissionFactorsTransport_Data(), Table_Fuel_EFs_Transport[[#Headers],[Transport type]], 0)</f>
        <v>Compressed natural gas</v>
      </c>
      <c r="F18" s="182" cm="1">
        <f t="array" ref="F18">Common_InputFunctions.Utility_DisplayArrayInTable(Fuel_SourceData.Fuel_Scope1Scope3EmissionFactorsTransport_Data(), Table_Fuel_EFs_Transport[[#Headers],[Transport type]], 0)</f>
        <v>3.9300000000000002E-2</v>
      </c>
      <c r="G18" s="182" t="str" cm="1">
        <f t="array" ref="G18">Common_InputFunctions.Utility_DisplayArrayInTable(Fuel_SourceData.Fuel_Scope1Scope3EmissionFactorsTransport_Data(), Table_Fuel_EFs_Transport[[#Headers],[Transport type]], 0)</f>
        <v>m3</v>
      </c>
      <c r="H18" s="182" cm="1">
        <f t="array" ref="H18">Common_InputFunctions.Utility_DisplayArrayInTable(Fuel_SourceData.Fuel_Scope1Scope3EmissionFactorsTransport_Data(), Table_Fuel_EFs_Transport[[#Headers],[Transport type]], 0)</f>
        <v>51.4</v>
      </c>
      <c r="I18" s="182" cm="1">
        <f t="array" ref="I18">Common_InputFunctions.Utility_DisplayArrayInTable(Fuel_SourceData.Fuel_Scope1Scope3EmissionFactorsTransport_Data(), Table_Fuel_EFs_Transport[[#Headers],[Transport type]], 0)</f>
        <v>7.3</v>
      </c>
      <c r="J18" s="182" cm="1">
        <f t="array" ref="J18">Common_InputFunctions.Utility_DisplayArrayInTable(Fuel_SourceData.Fuel_Scope1Scope3EmissionFactorsTransport_Data(), Table_Fuel_EFs_Transport[[#Headers],[Transport type]], 0)</f>
        <v>0.3</v>
      </c>
      <c r="K18" s="182" cm="1">
        <f t="array" ref="K18">Common_InputFunctions.Utility_DisplayArrayInTable(Fuel_SourceData.Fuel_Scope1Scope3EmissionFactorsTransport_Data(), Table_Fuel_EFs_Transport[[#Headers],[Transport type]], 0)</f>
        <v>59</v>
      </c>
      <c r="L18" s="182" cm="1">
        <f t="array" ref="L18">Common_InputFunctions.Utility_DisplayArrayInTable(Fuel_SourceData.Fuel_Scope1Scope3EmissionFactorsTransport_Data(), Table_Fuel_EFs_Transport[[#Headers],[Transport type]], 0)</f>
        <v>18</v>
      </c>
    </row>
    <row r="19" spans="1:12" ht="20.100000000000001" customHeight="1" x14ac:dyDescent="0.2">
      <c r="A19" s="5" t="str">
        <f>HYPERLINK("#'Input - Solid waste'!A1", "Solid waste")</f>
        <v>Solid waste</v>
      </c>
      <c r="D19" s="182" t="str" cm="1">
        <f t="array" ref="D19">Common_InputFunctions.Utility_DisplayArrayInTable(Fuel_SourceData.Fuel_Scope1Scope3EmissionFactorsTransport_Data(), Table_Fuel_EFs_Transport[[#Headers],[Transport type]], 0)</f>
        <v>Light duty vehicles</v>
      </c>
      <c r="E19" s="182" t="str" cm="1">
        <f t="array" ref="E19">Common_InputFunctions.Utility_DisplayArrayInTable(Fuel_SourceData.Fuel_Scope1Scope3EmissionFactorsTransport_Data(), Table_Fuel_EFs_Transport[[#Headers],[Transport type]], 0)</f>
        <v>Liquefied natural gas</v>
      </c>
      <c r="F19" s="182" cm="1">
        <f t="array" ref="F19">Common_InputFunctions.Utility_DisplayArrayInTable(Fuel_SourceData.Fuel_Scope1Scope3EmissionFactorsTransport_Data(), Table_Fuel_EFs_Transport[[#Headers],[Transport type]], 0)</f>
        <v>25.3</v>
      </c>
      <c r="G19" s="182" t="str" cm="1">
        <f t="array" ref="G19">Common_InputFunctions.Utility_DisplayArrayInTable(Fuel_SourceData.Fuel_Scope1Scope3EmissionFactorsTransport_Data(), Table_Fuel_EFs_Transport[[#Headers],[Transport type]], 0)</f>
        <v>kl</v>
      </c>
      <c r="H19" s="182" cm="1">
        <f t="array" ref="H19">Common_InputFunctions.Utility_DisplayArrayInTable(Fuel_SourceData.Fuel_Scope1Scope3EmissionFactorsTransport_Data(), Table_Fuel_EFs_Transport[[#Headers],[Transport type]], 0)</f>
        <v>51.4</v>
      </c>
      <c r="I19" s="182" cm="1">
        <f t="array" ref="I19">Common_InputFunctions.Utility_DisplayArrayInTable(Fuel_SourceData.Fuel_Scope1Scope3EmissionFactorsTransport_Data(), Table_Fuel_EFs_Transport[[#Headers],[Transport type]], 0)</f>
        <v>7.3</v>
      </c>
      <c r="J19" s="182" cm="1">
        <f t="array" ref="J19">Common_InputFunctions.Utility_DisplayArrayInTable(Fuel_SourceData.Fuel_Scope1Scope3EmissionFactorsTransport_Data(), Table_Fuel_EFs_Transport[[#Headers],[Transport type]], 0)</f>
        <v>0.3</v>
      </c>
      <c r="K19" s="182" cm="1">
        <f t="array" ref="K19">Common_InputFunctions.Utility_DisplayArrayInTable(Fuel_SourceData.Fuel_Scope1Scope3EmissionFactorsTransport_Data(), Table_Fuel_EFs_Transport[[#Headers],[Transport type]], 0)</f>
        <v>59</v>
      </c>
      <c r="L19" s="182" cm="1">
        <f t="array" ref="L19">Common_InputFunctions.Utility_DisplayArrayInTable(Fuel_SourceData.Fuel_Scope1Scope3EmissionFactorsTransport_Data(), Table_Fuel_EFs_Transport[[#Headers],[Transport type]], 0)</f>
        <v>18</v>
      </c>
    </row>
    <row r="20" spans="1:12" ht="20.100000000000001" customHeight="1" x14ac:dyDescent="0.2">
      <c r="A20" s="5" t="str">
        <f>HYPERLINK("#'Input - Manure sent off-site'!A1", "Manure sent off-site")</f>
        <v>Manure sent off-site</v>
      </c>
      <c r="D20" s="182" t="str" cm="1">
        <f t="array" ref="D20">Common_InputFunctions.Utility_DisplayArrayInTable(Fuel_SourceData.Fuel_Scope1Scope3EmissionFactorsTransport_Data(), Table_Fuel_EFs_Transport[[#Headers],[Transport type]], 0)</f>
        <v>Heavy duty vehicles</v>
      </c>
      <c r="E20" s="182" t="str" cm="1">
        <f t="array" ref="E20">Common_InputFunctions.Utility_DisplayArrayInTable(Fuel_SourceData.Fuel_Scope1Scope3EmissionFactorsTransport_Data(), Table_Fuel_EFs_Transport[[#Headers],[Transport type]], 0)</f>
        <v>Compressed natural gas</v>
      </c>
      <c r="F20" s="182" cm="1">
        <f t="array" ref="F20">Common_InputFunctions.Utility_DisplayArrayInTable(Fuel_SourceData.Fuel_Scope1Scope3EmissionFactorsTransport_Data(), Table_Fuel_EFs_Transport[[#Headers],[Transport type]], 0)</f>
        <v>3.9300000000000002E-2</v>
      </c>
      <c r="G20" s="182" t="str" cm="1">
        <f t="array" ref="G20">Common_InputFunctions.Utility_DisplayArrayInTable(Fuel_SourceData.Fuel_Scope1Scope3EmissionFactorsTransport_Data(), Table_Fuel_EFs_Transport[[#Headers],[Transport type]], 0)</f>
        <v>m3</v>
      </c>
      <c r="H20" s="182" cm="1">
        <f t="array" ref="H20">Common_InputFunctions.Utility_DisplayArrayInTable(Fuel_SourceData.Fuel_Scope1Scope3EmissionFactorsTransport_Data(), Table_Fuel_EFs_Transport[[#Headers],[Transport type]], 0)</f>
        <v>51.4</v>
      </c>
      <c r="I20" s="182" cm="1">
        <f t="array" ref="I20">Common_InputFunctions.Utility_DisplayArrayInTable(Fuel_SourceData.Fuel_Scope1Scope3EmissionFactorsTransport_Data(), Table_Fuel_EFs_Transport[[#Headers],[Transport type]], 0)</f>
        <v>2.8</v>
      </c>
      <c r="J20" s="182" cm="1">
        <f t="array" ref="J20">Common_InputFunctions.Utility_DisplayArrayInTable(Fuel_SourceData.Fuel_Scope1Scope3EmissionFactorsTransport_Data(), Table_Fuel_EFs_Transport[[#Headers],[Transport type]], 0)</f>
        <v>0.3</v>
      </c>
      <c r="K20" s="182" cm="1">
        <f t="array" ref="K20">Common_InputFunctions.Utility_DisplayArrayInTable(Fuel_SourceData.Fuel_Scope1Scope3EmissionFactorsTransport_Data(), Table_Fuel_EFs_Transport[[#Headers],[Transport type]], 0)</f>
        <v>54.5</v>
      </c>
      <c r="L20" s="182" cm="1">
        <f t="array" ref="L20">Common_InputFunctions.Utility_DisplayArrayInTable(Fuel_SourceData.Fuel_Scope1Scope3EmissionFactorsTransport_Data(), Table_Fuel_EFs_Transport[[#Headers],[Transport type]], 0)</f>
        <v>18</v>
      </c>
    </row>
    <row r="21" spans="1:12" ht="20.100000000000001" customHeight="1" x14ac:dyDescent="0.2">
      <c r="A21" s="5" t="str">
        <f>HYPERLINK("#'Input - Data quality'!A1", "Data quality")</f>
        <v>Data quality</v>
      </c>
      <c r="D21" s="182" t="str" cm="1">
        <f t="array" ref="D21">Common_InputFunctions.Utility_DisplayArrayInTable(Fuel_SourceData.Fuel_Scope1Scope3EmissionFactorsTransport_Data(), Table_Fuel_EFs_Transport[[#Headers],[Transport type]], 0)</f>
        <v>Heavy duty vehicles</v>
      </c>
      <c r="E21" s="182" t="str" cm="1">
        <f t="array" ref="E21">Common_InputFunctions.Utility_DisplayArrayInTable(Fuel_SourceData.Fuel_Scope1Scope3EmissionFactorsTransport_Data(), Table_Fuel_EFs_Transport[[#Headers],[Transport type]], 0)</f>
        <v>Liquefied natural gas</v>
      </c>
      <c r="F21" s="182" cm="1">
        <f t="array" ref="F21">Common_InputFunctions.Utility_DisplayArrayInTable(Fuel_SourceData.Fuel_Scope1Scope3EmissionFactorsTransport_Data(), Table_Fuel_EFs_Transport[[#Headers],[Transport type]], 0)</f>
        <v>25.3</v>
      </c>
      <c r="G21" s="182" t="str" cm="1">
        <f t="array" ref="G21">Common_InputFunctions.Utility_DisplayArrayInTable(Fuel_SourceData.Fuel_Scope1Scope3EmissionFactorsTransport_Data(), Table_Fuel_EFs_Transport[[#Headers],[Transport type]], 0)</f>
        <v>kl</v>
      </c>
      <c r="H21" s="182" cm="1">
        <f t="array" ref="H21">Common_InputFunctions.Utility_DisplayArrayInTable(Fuel_SourceData.Fuel_Scope1Scope3EmissionFactorsTransport_Data(), Table_Fuel_EFs_Transport[[#Headers],[Transport type]], 0)</f>
        <v>51.4</v>
      </c>
      <c r="I21" s="182" cm="1">
        <f t="array" ref="I21">Common_InputFunctions.Utility_DisplayArrayInTable(Fuel_SourceData.Fuel_Scope1Scope3EmissionFactorsTransport_Data(), Table_Fuel_EFs_Transport[[#Headers],[Transport type]], 0)</f>
        <v>2.8</v>
      </c>
      <c r="J21" s="182" cm="1">
        <f t="array" ref="J21">Common_InputFunctions.Utility_DisplayArrayInTable(Fuel_SourceData.Fuel_Scope1Scope3EmissionFactorsTransport_Data(), Table_Fuel_EFs_Transport[[#Headers],[Transport type]], 0)</f>
        <v>0.3</v>
      </c>
      <c r="K21" s="182" cm="1">
        <f t="array" ref="K21">Common_InputFunctions.Utility_DisplayArrayInTable(Fuel_SourceData.Fuel_Scope1Scope3EmissionFactorsTransport_Data(), Table_Fuel_EFs_Transport[[#Headers],[Transport type]], 0)</f>
        <v>54.5</v>
      </c>
      <c r="L21" s="182" cm="1">
        <f t="array" ref="L21">Common_InputFunctions.Utility_DisplayArrayInTable(Fuel_SourceData.Fuel_Scope1Scope3EmissionFactorsTransport_Data(), Table_Fuel_EFs_Transport[[#Headers],[Transport type]], 0)</f>
        <v>18</v>
      </c>
    </row>
    <row r="22" spans="1:12" ht="20.100000000000001" customHeight="1" x14ac:dyDescent="0.2">
      <c r="A22" s="5" t="str">
        <f>HYPERLINK("#'Input - Fert Prod System'!A1", "Fert Prod System")</f>
        <v>Fert Prod System</v>
      </c>
      <c r="D22" s="182" t="str" cm="1">
        <f t="array" ref="D22">Common_InputFunctions.Utility_DisplayArrayInTable(Fuel_SourceData.Fuel_Scope1Scope3EmissionFactorsTransport_Data(), Table_Fuel_EFs_Transport[[#Headers],[Transport type]], 0)</f>
        <v>Heavy duty vehicles</v>
      </c>
      <c r="E22" s="182" t="str" cm="1">
        <f t="array" ref="E22">Common_InputFunctions.Utility_DisplayArrayInTable(Fuel_SourceData.Fuel_Scope1Scope3EmissionFactorsTransport_Data(), Table_Fuel_EFs_Transport[[#Headers],[Transport type]], 0)</f>
        <v>Diesel oil - Euro iv or higher</v>
      </c>
      <c r="F22" s="182" cm="1">
        <f t="array" ref="F22">Common_InputFunctions.Utility_DisplayArrayInTable(Fuel_SourceData.Fuel_Scope1Scope3EmissionFactorsTransport_Data(), Table_Fuel_EFs_Transport[[#Headers],[Transport type]], 0)</f>
        <v>38.6</v>
      </c>
      <c r="G22" s="182" t="str" cm="1">
        <f t="array" ref="G22">Common_InputFunctions.Utility_DisplayArrayInTable(Fuel_SourceData.Fuel_Scope1Scope3EmissionFactorsTransport_Data(), Table_Fuel_EFs_Transport[[#Headers],[Transport type]], 0)</f>
        <v>kl</v>
      </c>
      <c r="H22" s="182" cm="1">
        <f t="array" ref="H22">Common_InputFunctions.Utility_DisplayArrayInTable(Fuel_SourceData.Fuel_Scope1Scope3EmissionFactorsTransport_Data(), Table_Fuel_EFs_Transport[[#Headers],[Transport type]], 0)</f>
        <v>69.900000000000006</v>
      </c>
      <c r="I22" s="182" cm="1">
        <f t="array" ref="I22">Common_InputFunctions.Utility_DisplayArrayInTable(Fuel_SourceData.Fuel_Scope1Scope3EmissionFactorsTransport_Data(), Table_Fuel_EFs_Transport[[#Headers],[Transport type]], 0)</f>
        <v>7.0000000000000007E-2</v>
      </c>
      <c r="J22" s="182" cm="1">
        <f t="array" ref="J22">Common_InputFunctions.Utility_DisplayArrayInTable(Fuel_SourceData.Fuel_Scope1Scope3EmissionFactorsTransport_Data(), Table_Fuel_EFs_Transport[[#Headers],[Transport type]], 0)</f>
        <v>0.4</v>
      </c>
      <c r="K22" s="182" cm="1">
        <f t="array" ref="K22">Common_InputFunctions.Utility_DisplayArrayInTable(Fuel_SourceData.Fuel_Scope1Scope3EmissionFactorsTransport_Data(), Table_Fuel_EFs_Transport[[#Headers],[Transport type]], 0)</f>
        <v>70.37</v>
      </c>
      <c r="L22" s="182" cm="1">
        <f t="array" ref="L22">Common_InputFunctions.Utility_DisplayArrayInTable(Fuel_SourceData.Fuel_Scope1Scope3EmissionFactorsTransport_Data(), Table_Fuel_EFs_Transport[[#Headers],[Transport type]], 0)</f>
        <v>17.3</v>
      </c>
    </row>
    <row r="23" spans="1:12" ht="20.100000000000001" customHeight="1" x14ac:dyDescent="0.2">
      <c r="A23" s="5" t="str">
        <f>HYPERLINK("#'Input - Fertiliser'!A1", "Fertiliser")</f>
        <v>Fertiliser</v>
      </c>
      <c r="D23" s="182" t="str" cm="1">
        <f t="array" ref="D23">Common_InputFunctions.Utility_DisplayArrayInTable(Fuel_SourceData.Fuel_Scope1Scope3EmissionFactorsTransport_Data(), Table_Fuel_EFs_Transport[[#Headers],[Transport type]], 0)</f>
        <v>Heavy duty vehicles</v>
      </c>
      <c r="E23" s="182" t="str" cm="1">
        <f t="array" ref="E23">Common_InputFunctions.Utility_DisplayArrayInTable(Fuel_SourceData.Fuel_Scope1Scope3EmissionFactorsTransport_Data(), Table_Fuel_EFs_Transport[[#Headers],[Transport type]], 0)</f>
        <v>Diesel oil - Euro iii</v>
      </c>
      <c r="F23" s="182" cm="1">
        <f t="array" ref="F23">Common_InputFunctions.Utility_DisplayArrayInTable(Fuel_SourceData.Fuel_Scope1Scope3EmissionFactorsTransport_Data(), Table_Fuel_EFs_Transport[[#Headers],[Transport type]], 0)</f>
        <v>38.6</v>
      </c>
      <c r="G23" s="182" t="str" cm="1">
        <f t="array" ref="G23">Common_InputFunctions.Utility_DisplayArrayInTable(Fuel_SourceData.Fuel_Scope1Scope3EmissionFactorsTransport_Data(), Table_Fuel_EFs_Transport[[#Headers],[Transport type]], 0)</f>
        <v>kl</v>
      </c>
      <c r="H23" s="182" cm="1">
        <f t="array" ref="H23">Common_InputFunctions.Utility_DisplayArrayInTable(Fuel_SourceData.Fuel_Scope1Scope3EmissionFactorsTransport_Data(), Table_Fuel_EFs_Transport[[#Headers],[Transport type]], 0)</f>
        <v>69.900000000000006</v>
      </c>
      <c r="I23" s="182" cm="1">
        <f t="array" ref="I23">Common_InputFunctions.Utility_DisplayArrayInTable(Fuel_SourceData.Fuel_Scope1Scope3EmissionFactorsTransport_Data(), Table_Fuel_EFs_Transport[[#Headers],[Transport type]], 0)</f>
        <v>0.1</v>
      </c>
      <c r="J23" s="182" cm="1">
        <f t="array" ref="J23">Common_InputFunctions.Utility_DisplayArrayInTable(Fuel_SourceData.Fuel_Scope1Scope3EmissionFactorsTransport_Data(), Table_Fuel_EFs_Transport[[#Headers],[Transport type]], 0)</f>
        <v>0.4</v>
      </c>
      <c r="K23" s="182" cm="1">
        <f t="array" ref="K23">Common_InputFunctions.Utility_DisplayArrayInTable(Fuel_SourceData.Fuel_Scope1Scope3EmissionFactorsTransport_Data(), Table_Fuel_EFs_Transport[[#Headers],[Transport type]], 0)</f>
        <v>70.400000000000006</v>
      </c>
      <c r="L23" s="182" cm="1">
        <f t="array" ref="L23">Common_InputFunctions.Utility_DisplayArrayInTable(Fuel_SourceData.Fuel_Scope1Scope3EmissionFactorsTransport_Data(), Table_Fuel_EFs_Transport[[#Headers],[Transport type]], 0)</f>
        <v>17.3</v>
      </c>
    </row>
    <row r="24" spans="1:12" ht="20.100000000000001" customHeight="1" x14ac:dyDescent="0.2">
      <c r="D24" s="182" t="str" cm="1">
        <f t="array" ref="D24">Common_InputFunctions.Utility_DisplayArrayInTable(Fuel_SourceData.Fuel_Scope1Scope3EmissionFactorsTransport_Data(), Table_Fuel_EFs_Transport[[#Headers],[Transport type]], 0)</f>
        <v>Heavy duty vehicles</v>
      </c>
      <c r="E24" s="182" t="str" cm="1">
        <f t="array" ref="E24">Common_InputFunctions.Utility_DisplayArrayInTable(Fuel_SourceData.Fuel_Scope1Scope3EmissionFactorsTransport_Data(), Table_Fuel_EFs_Transport[[#Headers],[Transport type]], 0)</f>
        <v>Diesel oil - Euro i</v>
      </c>
      <c r="F24" s="182" cm="1">
        <f t="array" ref="F24">Common_InputFunctions.Utility_DisplayArrayInTable(Fuel_SourceData.Fuel_Scope1Scope3EmissionFactorsTransport_Data(), Table_Fuel_EFs_Transport[[#Headers],[Transport type]], 0)</f>
        <v>38.6</v>
      </c>
      <c r="G24" s="182" t="str" cm="1">
        <f t="array" ref="G24">Common_InputFunctions.Utility_DisplayArrayInTable(Fuel_SourceData.Fuel_Scope1Scope3EmissionFactorsTransport_Data(), Table_Fuel_EFs_Transport[[#Headers],[Transport type]], 0)</f>
        <v>kl</v>
      </c>
      <c r="H24" s="182" cm="1">
        <f t="array" ref="H24">Common_InputFunctions.Utility_DisplayArrayInTable(Fuel_SourceData.Fuel_Scope1Scope3EmissionFactorsTransport_Data(), Table_Fuel_EFs_Transport[[#Headers],[Transport type]], 0)</f>
        <v>69.900000000000006</v>
      </c>
      <c r="I24" s="182" cm="1">
        <f t="array" ref="I24">Common_InputFunctions.Utility_DisplayArrayInTable(Fuel_SourceData.Fuel_Scope1Scope3EmissionFactorsTransport_Data(), Table_Fuel_EFs_Transport[[#Headers],[Transport type]], 0)</f>
        <v>0.2</v>
      </c>
      <c r="J24" s="182" cm="1">
        <f t="array" ref="J24">Common_InputFunctions.Utility_DisplayArrayInTable(Fuel_SourceData.Fuel_Scope1Scope3EmissionFactorsTransport_Data(), Table_Fuel_EFs_Transport[[#Headers],[Transport type]], 0)</f>
        <v>0.4</v>
      </c>
      <c r="K24" s="182" cm="1">
        <f t="array" ref="K24">Common_InputFunctions.Utility_DisplayArrayInTable(Fuel_SourceData.Fuel_Scope1Scope3EmissionFactorsTransport_Data(), Table_Fuel_EFs_Transport[[#Headers],[Transport type]], 0)</f>
        <v>70.5</v>
      </c>
      <c r="L24" s="182" cm="1">
        <f t="array" ref="L24">Common_InputFunctions.Utility_DisplayArrayInTable(Fuel_SourceData.Fuel_Scope1Scope3EmissionFactorsTransport_Data(), Table_Fuel_EFs_Transport[[#Headers],[Transport type]], 0)</f>
        <v>17.3</v>
      </c>
    </row>
    <row r="25" spans="1:12" ht="20.100000000000001" customHeight="1" x14ac:dyDescent="0.2">
      <c r="D25" s="182" t="str" cm="1">
        <f t="array" ref="D25">Common_InputFunctions.Utility_DisplayArrayInTable(Fuel_SourceData.Fuel_Scope1Scope3EmissionFactorsTransport_Data(), Table_Fuel_EFs_Transport[[#Headers],[Transport type]], 0)</f>
        <v>Heavy duty vehicles</v>
      </c>
      <c r="E25" s="182" t="str" cm="1">
        <f t="array" ref="E25">Common_InputFunctions.Utility_DisplayArrayInTable(Fuel_SourceData.Fuel_Scope1Scope3EmissionFactorsTransport_Data(), Table_Fuel_EFs_Transport[[#Headers],[Transport type]], 0)</f>
        <v>Renewable diesel – Euro iv or higher</v>
      </c>
      <c r="F25" s="182" cm="1">
        <f t="array" ref="F25">Common_InputFunctions.Utility_DisplayArrayInTable(Fuel_SourceData.Fuel_Scope1Scope3EmissionFactorsTransport_Data(), Table_Fuel_EFs_Transport[[#Headers],[Transport type]], 0)</f>
        <v>38.6</v>
      </c>
      <c r="G25" s="182" t="str" cm="1">
        <f t="array" ref="G25">Common_InputFunctions.Utility_DisplayArrayInTable(Fuel_SourceData.Fuel_Scope1Scope3EmissionFactorsTransport_Data(), Table_Fuel_EFs_Transport[[#Headers],[Transport type]], 0)</f>
        <v>kl</v>
      </c>
      <c r="H25" s="182" cm="1">
        <f t="array" ref="H25">Common_InputFunctions.Utility_DisplayArrayInTable(Fuel_SourceData.Fuel_Scope1Scope3EmissionFactorsTransport_Data(), Table_Fuel_EFs_Transport[[#Headers],[Transport type]], 0)</f>
        <v>0</v>
      </c>
      <c r="I25" s="182" cm="1">
        <f t="array" ref="I25">Common_InputFunctions.Utility_DisplayArrayInTable(Fuel_SourceData.Fuel_Scope1Scope3EmissionFactorsTransport_Data(), Table_Fuel_EFs_Transport[[#Headers],[Transport type]], 0)</f>
        <v>7.0000000000000007E-2</v>
      </c>
      <c r="J25" s="182" cm="1">
        <f t="array" ref="J25">Common_InputFunctions.Utility_DisplayArrayInTable(Fuel_SourceData.Fuel_Scope1Scope3EmissionFactorsTransport_Data(), Table_Fuel_EFs_Transport[[#Headers],[Transport type]], 0)</f>
        <v>0.4</v>
      </c>
      <c r="K25" s="182" cm="1">
        <f t="array" ref="K25">Common_InputFunctions.Utility_DisplayArrayInTable(Fuel_SourceData.Fuel_Scope1Scope3EmissionFactorsTransport_Data(), Table_Fuel_EFs_Transport[[#Headers],[Transport type]], 0)</f>
        <v>0.47</v>
      </c>
      <c r="L25" s="182" t="str" cm="1">
        <f t="array" ref="L25">Common_InputFunctions.Utility_DisplayArrayInTable(Fuel_SourceData.Fuel_Scope1Scope3EmissionFactorsTransport_Data(), Table_Fuel_EFs_Transport[[#Headers],[Transport type]], 0)</f>
        <v>NE</v>
      </c>
    </row>
    <row r="26" spans="1:12" ht="20.100000000000001" customHeight="1" x14ac:dyDescent="0.2">
      <c r="A26" s="6" t="s">
        <v>2</v>
      </c>
      <c r="D26" s="182" t="str" cm="1">
        <f t="array" ref="D26">Common_InputFunctions.Utility_DisplayArrayInTable(Fuel_SourceData.Fuel_Scope1Scope3EmissionFactorsTransport_Data(), Table_Fuel_EFs_Transport[[#Headers],[Transport type]], 0)</f>
        <v>Heavy duty vehicles</v>
      </c>
      <c r="E26" s="182" t="str" cm="1">
        <f t="array" ref="E26">Common_InputFunctions.Utility_DisplayArrayInTable(Fuel_SourceData.Fuel_Scope1Scope3EmissionFactorsTransport_Data(), Table_Fuel_EFs_Transport[[#Headers],[Transport type]], 0)</f>
        <v>Renewable diesel – Euro iii</v>
      </c>
      <c r="F26" s="182" cm="1">
        <f t="array" ref="F26">Common_InputFunctions.Utility_DisplayArrayInTable(Fuel_SourceData.Fuel_Scope1Scope3EmissionFactorsTransport_Data(), Table_Fuel_EFs_Transport[[#Headers],[Transport type]], 0)</f>
        <v>38.6</v>
      </c>
      <c r="G26" s="182" t="str" cm="1">
        <f t="array" ref="G26">Common_InputFunctions.Utility_DisplayArrayInTable(Fuel_SourceData.Fuel_Scope1Scope3EmissionFactorsTransport_Data(), Table_Fuel_EFs_Transport[[#Headers],[Transport type]], 0)</f>
        <v>kl</v>
      </c>
      <c r="H26" s="182" cm="1">
        <f t="array" ref="H26">Common_InputFunctions.Utility_DisplayArrayInTable(Fuel_SourceData.Fuel_Scope1Scope3EmissionFactorsTransport_Data(), Table_Fuel_EFs_Transport[[#Headers],[Transport type]], 0)</f>
        <v>0</v>
      </c>
      <c r="I26" s="182" cm="1">
        <f t="array" ref="I26">Common_InputFunctions.Utility_DisplayArrayInTable(Fuel_SourceData.Fuel_Scope1Scope3EmissionFactorsTransport_Data(), Table_Fuel_EFs_Transport[[#Headers],[Transport type]], 0)</f>
        <v>0.1</v>
      </c>
      <c r="J26" s="182" cm="1">
        <f t="array" ref="J26">Common_InputFunctions.Utility_DisplayArrayInTable(Fuel_SourceData.Fuel_Scope1Scope3EmissionFactorsTransport_Data(), Table_Fuel_EFs_Transport[[#Headers],[Transport type]], 0)</f>
        <v>0.4</v>
      </c>
      <c r="K26" s="182" cm="1">
        <f t="array" ref="K26">Common_InputFunctions.Utility_DisplayArrayInTable(Fuel_SourceData.Fuel_Scope1Scope3EmissionFactorsTransport_Data(), Table_Fuel_EFs_Transport[[#Headers],[Transport type]], 0)</f>
        <v>0.5</v>
      </c>
      <c r="L26" s="182" t="str" cm="1">
        <f t="array" ref="L26">Common_InputFunctions.Utility_DisplayArrayInTable(Fuel_SourceData.Fuel_Scope1Scope3EmissionFactorsTransport_Data(), Table_Fuel_EFs_Transport[[#Headers],[Transport type]], 0)</f>
        <v>NE</v>
      </c>
    </row>
    <row r="27" spans="1:12" ht="20.100000000000001" customHeight="1" x14ac:dyDescent="0.2">
      <c r="A27" s="5" t="str">
        <f>HYPERLINK("#'4.6.1.1-2 Methane'!A1", "4.6.1.1-2 Manure Methane")</f>
        <v>4.6.1.1-2 Manure Methane</v>
      </c>
      <c r="D27" s="182" t="str" cm="1">
        <f t="array" ref="D27">Common_InputFunctions.Utility_DisplayArrayInTable(Fuel_SourceData.Fuel_Scope1Scope3EmissionFactorsTransport_Data(), Table_Fuel_EFs_Transport[[#Headers],[Transport type]], 0)</f>
        <v>Heavy duty vehicles</v>
      </c>
      <c r="E27" s="182" t="str" cm="1">
        <f t="array" ref="E27">Common_InputFunctions.Utility_DisplayArrayInTable(Fuel_SourceData.Fuel_Scope1Scope3EmissionFactorsTransport_Data(), Table_Fuel_EFs_Transport[[#Headers],[Transport type]], 0)</f>
        <v>Renewable diesel – Euro i</v>
      </c>
      <c r="F27" s="182" cm="1">
        <f t="array" ref="F27">Common_InputFunctions.Utility_DisplayArrayInTable(Fuel_SourceData.Fuel_Scope1Scope3EmissionFactorsTransport_Data(), Table_Fuel_EFs_Transport[[#Headers],[Transport type]], 0)</f>
        <v>38.6</v>
      </c>
      <c r="G27" s="182" t="str" cm="1">
        <f t="array" ref="G27">Common_InputFunctions.Utility_DisplayArrayInTable(Fuel_SourceData.Fuel_Scope1Scope3EmissionFactorsTransport_Data(), Table_Fuel_EFs_Transport[[#Headers],[Transport type]], 0)</f>
        <v>kl</v>
      </c>
      <c r="H27" s="182" cm="1">
        <f t="array" ref="H27">Common_InputFunctions.Utility_DisplayArrayInTable(Fuel_SourceData.Fuel_Scope1Scope3EmissionFactorsTransport_Data(), Table_Fuel_EFs_Transport[[#Headers],[Transport type]], 0)</f>
        <v>0</v>
      </c>
      <c r="I27" s="182" cm="1">
        <f t="array" ref="I27">Common_InputFunctions.Utility_DisplayArrayInTable(Fuel_SourceData.Fuel_Scope1Scope3EmissionFactorsTransport_Data(), Table_Fuel_EFs_Transport[[#Headers],[Transport type]], 0)</f>
        <v>0.2</v>
      </c>
      <c r="J27" s="182" cm="1">
        <f t="array" ref="J27">Common_InputFunctions.Utility_DisplayArrayInTable(Fuel_SourceData.Fuel_Scope1Scope3EmissionFactorsTransport_Data(), Table_Fuel_EFs_Transport[[#Headers],[Transport type]], 0)</f>
        <v>0.4</v>
      </c>
      <c r="K27" s="182" cm="1">
        <f t="array" ref="K27">Common_InputFunctions.Utility_DisplayArrayInTable(Fuel_SourceData.Fuel_Scope1Scope3EmissionFactorsTransport_Data(), Table_Fuel_EFs_Transport[[#Headers],[Transport type]], 0)</f>
        <v>0.6</v>
      </c>
      <c r="L27" s="182" t="str" cm="1">
        <f t="array" ref="L27">Common_InputFunctions.Utility_DisplayArrayInTable(Fuel_SourceData.Fuel_Scope1Scope3EmissionFactorsTransport_Data(), Table_Fuel_EFs_Transport[[#Headers],[Transport type]], 0)</f>
        <v>NE</v>
      </c>
    </row>
    <row r="28" spans="1:12" ht="20.100000000000001" customHeight="1" x14ac:dyDescent="0.2">
      <c r="A28" s="5" t="str">
        <f>HYPERLINK("#'4.6.1.3-4 Direct N20'!A1", "4.6.1.3-4 Manure Direct N2O")</f>
        <v>4.6.1.3-4 Manure Direct N2O</v>
      </c>
      <c r="D28" s="182" t="str" cm="1">
        <f t="array" ref="D28">Common_InputFunctions.Utility_DisplayArrayInTable(Fuel_SourceData.Fuel_Scope1Scope3EmissionFactorsTransport_Data(), Table_Fuel_EFs_Transport[[#Headers],[Transport type]], 0)</f>
        <v>Aviation</v>
      </c>
      <c r="E28" s="182" t="str" cm="1">
        <f t="array" ref="E28">Common_InputFunctions.Utility_DisplayArrayInTable(Fuel_SourceData.Fuel_Scope1Scope3EmissionFactorsTransport_Data(), Table_Fuel_EFs_Transport[[#Headers],[Transport type]], 0)</f>
        <v>Gasoline for use as fuel in an aircraft</v>
      </c>
      <c r="F28" s="182" cm="1">
        <f t="array" ref="F28">Common_InputFunctions.Utility_DisplayArrayInTable(Fuel_SourceData.Fuel_Scope1Scope3EmissionFactorsTransport_Data(), Table_Fuel_EFs_Transport[[#Headers],[Transport type]], 0)</f>
        <v>33.1</v>
      </c>
      <c r="G28" s="182" t="str" cm="1">
        <f t="array" ref="G28">Common_InputFunctions.Utility_DisplayArrayInTable(Fuel_SourceData.Fuel_Scope1Scope3EmissionFactorsTransport_Data(), Table_Fuel_EFs_Transport[[#Headers],[Transport type]], 0)</f>
        <v>kl</v>
      </c>
      <c r="H28" s="182" cm="1">
        <f t="array" ref="H28">Common_InputFunctions.Utility_DisplayArrayInTable(Fuel_SourceData.Fuel_Scope1Scope3EmissionFactorsTransport_Data(), Table_Fuel_EFs_Transport[[#Headers],[Transport type]], 0)</f>
        <v>67</v>
      </c>
      <c r="I28" s="182" cm="1">
        <f t="array" ref="I28">Common_InputFunctions.Utility_DisplayArrayInTable(Fuel_SourceData.Fuel_Scope1Scope3EmissionFactorsTransport_Data(), Table_Fuel_EFs_Transport[[#Headers],[Transport type]], 0)</f>
        <v>0.06</v>
      </c>
      <c r="J28" s="182" cm="1">
        <f t="array" ref="J28">Common_InputFunctions.Utility_DisplayArrayInTable(Fuel_SourceData.Fuel_Scope1Scope3EmissionFactorsTransport_Data(), Table_Fuel_EFs_Transport[[#Headers],[Transport type]], 0)</f>
        <v>0.6</v>
      </c>
      <c r="K28" s="182" cm="1">
        <f t="array" ref="K28">Common_InputFunctions.Utility_DisplayArrayInTable(Fuel_SourceData.Fuel_Scope1Scope3EmissionFactorsTransport_Data(), Table_Fuel_EFs_Transport[[#Headers],[Transport type]], 0)</f>
        <v>67.66</v>
      </c>
      <c r="L28" s="182" cm="1">
        <f t="array" ref="L28">Common_InputFunctions.Utility_DisplayArrayInTable(Fuel_SourceData.Fuel_Scope1Scope3EmissionFactorsTransport_Data(), Table_Fuel_EFs_Transport[[#Headers],[Transport type]], 0)</f>
        <v>18</v>
      </c>
    </row>
    <row r="29" spans="1:12" ht="20.100000000000001" customHeight="1" x14ac:dyDescent="0.2">
      <c r="A29" s="5" t="str">
        <f>HYPERLINK("#'4.6.1.5-6 Atmos Dep'!A1", "4.6.1.5-6 Manure Atmos Dep")</f>
        <v>4.6.1.5-6 Manure Atmos Dep</v>
      </c>
      <c r="D29" s="182" t="str" cm="1">
        <f t="array" ref="D29">Common_InputFunctions.Utility_DisplayArrayInTable(Fuel_SourceData.Fuel_Scope1Scope3EmissionFactorsTransport_Data(), Table_Fuel_EFs_Transport[[#Headers],[Transport type]], 0)</f>
        <v>Aviation</v>
      </c>
      <c r="E29" s="182" t="str" cm="1">
        <f t="array" ref="E29">Common_InputFunctions.Utility_DisplayArrayInTable(Fuel_SourceData.Fuel_Scope1Scope3EmissionFactorsTransport_Data(), Table_Fuel_EFs_Transport[[#Headers],[Transport type]], 0)</f>
        <v>Kerosene for use as fuel in an aircraft</v>
      </c>
      <c r="F29" s="182" cm="1">
        <f t="array" ref="F29">Common_InputFunctions.Utility_DisplayArrayInTable(Fuel_SourceData.Fuel_Scope1Scope3EmissionFactorsTransport_Data(), Table_Fuel_EFs_Transport[[#Headers],[Transport type]], 0)</f>
        <v>36.799999999999997</v>
      </c>
      <c r="G29" s="182" t="str" cm="1">
        <f t="array" ref="G29">Common_InputFunctions.Utility_DisplayArrayInTable(Fuel_SourceData.Fuel_Scope1Scope3EmissionFactorsTransport_Data(), Table_Fuel_EFs_Transport[[#Headers],[Transport type]], 0)</f>
        <v>kl</v>
      </c>
      <c r="H29" s="182" cm="1">
        <f t="array" ref="H29">Common_InputFunctions.Utility_DisplayArrayInTable(Fuel_SourceData.Fuel_Scope1Scope3EmissionFactorsTransport_Data(), Table_Fuel_EFs_Transport[[#Headers],[Transport type]], 0)</f>
        <v>69.599999999999994</v>
      </c>
      <c r="I29" s="182" cm="1">
        <f t="array" ref="I29">Common_InputFunctions.Utility_DisplayArrayInTable(Fuel_SourceData.Fuel_Scope1Scope3EmissionFactorsTransport_Data(), Table_Fuel_EFs_Transport[[#Headers],[Transport type]], 0)</f>
        <v>0.01</v>
      </c>
      <c r="J29" s="182" cm="1">
        <f t="array" ref="J29">Common_InputFunctions.Utility_DisplayArrayInTable(Fuel_SourceData.Fuel_Scope1Scope3EmissionFactorsTransport_Data(), Table_Fuel_EFs_Transport[[#Headers],[Transport type]], 0)</f>
        <v>0.6</v>
      </c>
      <c r="K29" s="182" cm="1">
        <f t="array" ref="K29">Common_InputFunctions.Utility_DisplayArrayInTable(Fuel_SourceData.Fuel_Scope1Scope3EmissionFactorsTransport_Data(), Table_Fuel_EFs_Transport[[#Headers],[Transport type]], 0)</f>
        <v>70.209999999999994</v>
      </c>
      <c r="L29" s="182" cm="1">
        <f t="array" ref="L29">Common_InputFunctions.Utility_DisplayArrayInTable(Fuel_SourceData.Fuel_Scope1Scope3EmissionFactorsTransport_Data(), Table_Fuel_EFs_Transport[[#Headers],[Transport type]], 0)</f>
        <v>18</v>
      </c>
    </row>
    <row r="30" spans="1:12" ht="20.100000000000001" customHeight="1" x14ac:dyDescent="0.2">
      <c r="A30" s="5" t="str">
        <f>HYPERLINK("#'4.6.1.7-8 Leaching and runoff'!A1", "4.6.1.7-8 Manure Leaching and runoff")</f>
        <v>4.6.1.7-8 Manure Leaching and runoff</v>
      </c>
      <c r="D30" s="182" t="str" cm="1">
        <f t="array" ref="D30">Common_InputFunctions.Utility_DisplayArrayInTable(Fuel_SourceData.Fuel_Scope1Scope3EmissionFactorsTransport_Data(), Table_Fuel_EFs_Transport[[#Headers],[Transport type]], 0)</f>
        <v>Aviation</v>
      </c>
      <c r="E30" s="182" t="str" cm="1">
        <f t="array" ref="E30">Common_InputFunctions.Utility_DisplayArrayInTable(Fuel_SourceData.Fuel_Scope1Scope3EmissionFactorsTransport_Data(), Table_Fuel_EFs_Transport[[#Headers],[Transport type]], 0)</f>
        <v>Renewable aviation kerosene</v>
      </c>
      <c r="F30" s="182" cm="1">
        <f t="array" ref="F30">Common_InputFunctions.Utility_DisplayArrayInTable(Fuel_SourceData.Fuel_Scope1Scope3EmissionFactorsTransport_Data(), Table_Fuel_EFs_Transport[[#Headers],[Transport type]], 0)</f>
        <v>36.799999999999997</v>
      </c>
      <c r="G30" s="182" t="str" cm="1">
        <f t="array" ref="G30">Common_InputFunctions.Utility_DisplayArrayInTable(Fuel_SourceData.Fuel_Scope1Scope3EmissionFactorsTransport_Data(), Table_Fuel_EFs_Transport[[#Headers],[Transport type]], 0)</f>
        <v>kl</v>
      </c>
      <c r="H30" s="182" cm="1">
        <f t="array" ref="H30">Common_InputFunctions.Utility_DisplayArrayInTable(Fuel_SourceData.Fuel_Scope1Scope3EmissionFactorsTransport_Data(), Table_Fuel_EFs_Transport[[#Headers],[Transport type]], 0)</f>
        <v>0</v>
      </c>
      <c r="I30" s="182" cm="1">
        <f t="array" ref="I30">Common_InputFunctions.Utility_DisplayArrayInTable(Fuel_SourceData.Fuel_Scope1Scope3EmissionFactorsTransport_Data(), Table_Fuel_EFs_Transport[[#Headers],[Transport type]], 0)</f>
        <v>0.01</v>
      </c>
      <c r="J30" s="182" cm="1">
        <f t="array" ref="J30">Common_InputFunctions.Utility_DisplayArrayInTable(Fuel_SourceData.Fuel_Scope1Scope3EmissionFactorsTransport_Data(), Table_Fuel_EFs_Transport[[#Headers],[Transport type]], 0)</f>
        <v>0.6</v>
      </c>
      <c r="K30" s="182" cm="1">
        <f t="array" ref="K30">Common_InputFunctions.Utility_DisplayArrayInTable(Fuel_SourceData.Fuel_Scope1Scope3EmissionFactorsTransport_Data(), Table_Fuel_EFs_Transport[[#Headers],[Transport type]], 0)</f>
        <v>0.61</v>
      </c>
      <c r="L30" s="182" t="str" cm="1">
        <f t="array" ref="L30">Common_InputFunctions.Utility_DisplayArrayInTable(Fuel_SourceData.Fuel_Scope1Scope3EmissionFactorsTransport_Data(), Table_Fuel_EFs_Transport[[#Headers],[Transport type]], 0)</f>
        <v>NE</v>
      </c>
    </row>
    <row r="31" spans="1:12" ht="20.100000000000001" customHeight="1" x14ac:dyDescent="0.2">
      <c r="A31" s="5" t="str">
        <f>HYPERLINK("#'4.6.1.9 Manure applied to soils'!A1", "4.6.1.9 Manure applied to soils")</f>
        <v>4.6.1.9 Manure applied to soils</v>
      </c>
      <c r="D31" s="182" t="str" cm="1">
        <f t="array" ref="D31">Common_InputFunctions.Utility_DisplayArrayInTable(Fuel_SourceData.Fuel_Scope1Scope3EmissionFactorsTransport_Data(), Table_Fuel_EFs_Transport[[#Headers],[Transport type]], 0)</f>
        <v>Vessels</v>
      </c>
      <c r="E31" s="182" t="str" cm="1">
        <f t="array" ref="E31">Common_InputFunctions.Utility_DisplayArrayInTable(Fuel_SourceData.Fuel_Scope1Scope3EmissionFactorsTransport_Data(), Table_Fuel_EFs_Transport[[#Headers],[Transport type]], 0)</f>
        <v>Gasoline</v>
      </c>
      <c r="F31" s="182" cm="1">
        <f t="array" ref="F31">Common_InputFunctions.Utility_DisplayArrayInTable(Fuel_SourceData.Fuel_Scope1Scope3EmissionFactorsTransport_Data(), Table_Fuel_EFs_Transport[[#Headers],[Transport type]], 0)</f>
        <v>34.200000000000003</v>
      </c>
      <c r="G31" s="182" t="str" cm="1">
        <f t="array" ref="G31">Common_InputFunctions.Utility_DisplayArrayInTable(Fuel_SourceData.Fuel_Scope1Scope3EmissionFactorsTransport_Data(), Table_Fuel_EFs_Transport[[#Headers],[Transport type]], 0)</f>
        <v>kL</v>
      </c>
      <c r="H31" s="182" cm="1">
        <f t="array" ref="H31">Common_InputFunctions.Utility_DisplayArrayInTable(Fuel_SourceData.Fuel_Scope1Scope3EmissionFactorsTransport_Data(), Table_Fuel_EFs_Transport[[#Headers],[Transport type]], 0)</f>
        <v>67.400000000000006</v>
      </c>
      <c r="I31" s="182" cm="1">
        <f t="array" ref="I31">Common_InputFunctions.Utility_DisplayArrayInTable(Fuel_SourceData.Fuel_Scope1Scope3EmissionFactorsTransport_Data(), Table_Fuel_EFs_Transport[[#Headers],[Transport type]], 0)</f>
        <v>10.1</v>
      </c>
      <c r="J31" s="182" cm="1">
        <f t="array" ref="J31">Common_InputFunctions.Utility_DisplayArrayInTable(Fuel_SourceData.Fuel_Scope1Scope3EmissionFactorsTransport_Data(), Table_Fuel_EFs_Transport[[#Headers],[Transport type]], 0)</f>
        <v>0.3</v>
      </c>
      <c r="K31" s="182" t="str" cm="1">
        <f t="array" ref="K31">Common_InputFunctions.Utility_DisplayArrayInTable(Fuel_SourceData.Fuel_Scope1Scope3EmissionFactorsTransport_Data(), Table_Fuel_EFs_Transport[[#Headers],[Transport type]], 0)</f>
        <v/>
      </c>
      <c r="L31" s="182" cm="1">
        <f t="array" ref="L31">Common_InputFunctions.Utility_DisplayArrayInTable(Fuel_SourceData.Fuel_Scope1Scope3EmissionFactorsTransport_Data(), Table_Fuel_EFs_Transport[[#Headers],[Transport type]], 0)</f>
        <v>17.2</v>
      </c>
    </row>
    <row r="32" spans="1:12" ht="20.100000000000001" customHeight="1" x14ac:dyDescent="0.2">
      <c r="A32" s="5" t="str">
        <f>HYPERLINK("#'4.6.1.10-11 Soil direct N2O'!A1", "4.6.1.10-11 Soil direct N2O")</f>
        <v>4.6.1.10-11 Soil direct N2O</v>
      </c>
      <c r="D32" s="183" t="str" cm="1">
        <f t="array" ref="D32">Common_InputFunctions.Utility_DisplayArrayInTable(Fuel_SourceData.Fuel_Scope1Scope3EmissionFactorsTransport_Data(), Table_Fuel_EFs_Transport[[#Headers],[Transport type]], 0)</f>
        <v>Vessels</v>
      </c>
      <c r="E32" s="183" t="str" cm="1">
        <f t="array" ref="E32">Common_InputFunctions.Utility_DisplayArrayInTable(Fuel_SourceData.Fuel_Scope1Scope3EmissionFactorsTransport_Data(), Table_Fuel_EFs_Transport[[#Headers],[Transport type]], 0)</f>
        <v>Diesel oil</v>
      </c>
      <c r="F32" s="183" cm="1">
        <f t="array" ref="F32">Common_InputFunctions.Utility_DisplayArrayInTable(Fuel_SourceData.Fuel_Scope1Scope3EmissionFactorsTransport_Data(), Table_Fuel_EFs_Transport[[#Headers],[Transport type]], 0)</f>
        <v>38.6</v>
      </c>
      <c r="G32" s="183" t="str" cm="1">
        <f t="array" ref="G32">Common_InputFunctions.Utility_DisplayArrayInTable(Fuel_SourceData.Fuel_Scope1Scope3EmissionFactorsTransport_Data(), Table_Fuel_EFs_Transport[[#Headers],[Transport type]], 0)</f>
        <v>kL</v>
      </c>
      <c r="H32" s="183" cm="1">
        <f t="array" ref="H32">Common_InputFunctions.Utility_DisplayArrayInTable(Fuel_SourceData.Fuel_Scope1Scope3EmissionFactorsTransport_Data(), Table_Fuel_EFs_Transport[[#Headers],[Transport type]], 0)</f>
        <v>69.900000000000006</v>
      </c>
      <c r="I32" s="183" cm="1">
        <f t="array" ref="I32">Common_InputFunctions.Utility_DisplayArrayInTable(Fuel_SourceData.Fuel_Scope1Scope3EmissionFactorsTransport_Data(), Table_Fuel_EFs_Transport[[#Headers],[Transport type]], 0)</f>
        <v>0.2</v>
      </c>
      <c r="J32" s="183" cm="1">
        <f t="array" ref="J32">Common_InputFunctions.Utility_DisplayArrayInTable(Fuel_SourceData.Fuel_Scope1Scope3EmissionFactorsTransport_Data(), Table_Fuel_EFs_Transport[[#Headers],[Transport type]], 0)</f>
        <v>0.5</v>
      </c>
      <c r="K32" s="183" t="str" cm="1">
        <f t="array" ref="K32">Common_InputFunctions.Utility_DisplayArrayInTable(Fuel_SourceData.Fuel_Scope1Scope3EmissionFactorsTransport_Data(), Table_Fuel_EFs_Transport[[#Headers],[Transport type]], 0)</f>
        <v/>
      </c>
      <c r="L32" s="183" cm="1">
        <f t="array" ref="L32">Common_InputFunctions.Utility_DisplayArrayInTable(Fuel_SourceData.Fuel_Scope1Scope3EmissionFactorsTransport_Data(), Table_Fuel_EFs_Transport[[#Headers],[Transport type]], 0)</f>
        <v>17.3</v>
      </c>
    </row>
    <row r="33" spans="1:12" ht="20.100000000000001" customHeight="1" x14ac:dyDescent="0.2">
      <c r="A33" s="5" t="str">
        <f>HYPERLINK("#'4.6.1.12-13 Soil atmos dep'!A1", "4.6.1.12-13 Soil atmos dep")</f>
        <v>4.6.1.12-13 Soil atmos dep</v>
      </c>
      <c r="D33" s="183" t="str" cm="1">
        <f t="array" ref="D33">Common_InputFunctions.Utility_DisplayArrayInTable(Fuel_SourceData.Fuel_Scope1Scope3EmissionFactorsTransport_Data(), Table_Fuel_EFs_Transport[[#Headers],[Transport type]], 0)</f>
        <v>Vessels</v>
      </c>
      <c r="E33" s="183" t="str" cm="1">
        <f t="array" ref="E33">Common_InputFunctions.Utility_DisplayArrayInTable(Fuel_SourceData.Fuel_Scope1Scope3EmissionFactorsTransport_Data(), Table_Fuel_EFs_Transport[[#Headers],[Transport type]], 0)</f>
        <v>Fuel Oil</v>
      </c>
      <c r="F33" s="183" cm="1">
        <f t="array" ref="F33">Common_InputFunctions.Utility_DisplayArrayInTable(Fuel_SourceData.Fuel_Scope1Scope3EmissionFactorsTransport_Data(), Table_Fuel_EFs_Transport[[#Headers],[Transport type]], 0)</f>
        <v>39.700000000000003</v>
      </c>
      <c r="G33" s="183" t="str" cm="1">
        <f t="array" ref="G33">Common_InputFunctions.Utility_DisplayArrayInTable(Fuel_SourceData.Fuel_Scope1Scope3EmissionFactorsTransport_Data(), Table_Fuel_EFs_Transport[[#Headers],[Transport type]], 0)</f>
        <v>kL</v>
      </c>
      <c r="H33" s="183" cm="1">
        <f t="array" ref="H33">Common_InputFunctions.Utility_DisplayArrayInTable(Fuel_SourceData.Fuel_Scope1Scope3EmissionFactorsTransport_Data(), Table_Fuel_EFs_Transport[[#Headers],[Transport type]], 0)</f>
        <v>73.599999999999994</v>
      </c>
      <c r="I33" s="183" cm="1">
        <f t="array" ref="I33">Common_InputFunctions.Utility_DisplayArrayInTable(Fuel_SourceData.Fuel_Scope1Scope3EmissionFactorsTransport_Data(), Table_Fuel_EFs_Transport[[#Headers],[Transport type]], 0)</f>
        <v>0.2</v>
      </c>
      <c r="J33" s="183" cm="1">
        <f t="array" ref="J33">Common_InputFunctions.Utility_DisplayArrayInTable(Fuel_SourceData.Fuel_Scope1Scope3EmissionFactorsTransport_Data(), Table_Fuel_EFs_Transport[[#Headers],[Transport type]], 0)</f>
        <v>0.5</v>
      </c>
      <c r="K33" s="183" t="str" cm="1">
        <f t="array" ref="K33">Common_InputFunctions.Utility_DisplayArrayInTable(Fuel_SourceData.Fuel_Scope1Scope3EmissionFactorsTransport_Data(), Table_Fuel_EFs_Transport[[#Headers],[Transport type]], 0)</f>
        <v/>
      </c>
      <c r="L33" s="183" cm="1">
        <f t="array" ref="L33">Common_InputFunctions.Utility_DisplayArrayInTable(Fuel_SourceData.Fuel_Scope1Scope3EmissionFactorsTransport_Data(), Table_Fuel_EFs_Transport[[#Headers],[Transport type]], 0)</f>
        <v>18</v>
      </c>
    </row>
    <row r="34" spans="1:12" ht="20.100000000000001" customHeight="1" x14ac:dyDescent="0.2">
      <c r="A34" s="5" t="str">
        <f>HYPERLINK("#'4.6.1.14-15 Soil leach runoff'!A1", "4.6.1.14-15 Soil leach runoff")</f>
        <v>4.6.1.14-15 Soil leach runoff</v>
      </c>
      <c r="D34" s="183" t="str" cm="1">
        <f t="array" ref="D34">Common_InputFunctions.Utility_DisplayArrayInTable(Fuel_SourceData.Fuel_Scope1Scope3EmissionFactorsTransport_Data(), Table_Fuel_EFs_Transport[[#Headers],[Transport type]], 0)</f>
        <v>Off-road Agriculture and forestry equipment</v>
      </c>
      <c r="E34" s="183" t="str" cm="1">
        <f t="array" ref="E34">Common_InputFunctions.Utility_DisplayArrayInTable(Fuel_SourceData.Fuel_Scope1Scope3EmissionFactorsTransport_Data(), Table_Fuel_EFs_Transport[[#Headers],[Transport type]], 0)</f>
        <v>Diesel oil</v>
      </c>
      <c r="F34" s="183" cm="1">
        <f t="array" ref="F34">Common_InputFunctions.Utility_DisplayArrayInTable(Fuel_SourceData.Fuel_Scope1Scope3EmissionFactorsTransport_Data(), Table_Fuel_EFs_Transport[[#Headers],[Transport type]], 0)</f>
        <v>38.6</v>
      </c>
      <c r="G34" s="183" t="str" cm="1">
        <f t="array" ref="G34">Common_InputFunctions.Utility_DisplayArrayInTable(Fuel_SourceData.Fuel_Scope1Scope3EmissionFactorsTransport_Data(), Table_Fuel_EFs_Transport[[#Headers],[Transport type]], 0)</f>
        <v>kL</v>
      </c>
      <c r="H34" s="183" cm="1">
        <f t="array" ref="H34">Common_InputFunctions.Utility_DisplayArrayInTable(Fuel_SourceData.Fuel_Scope1Scope3EmissionFactorsTransport_Data(), Table_Fuel_EFs_Transport[[#Headers],[Transport type]], 0)</f>
        <v>69.900000000000006</v>
      </c>
      <c r="I34" s="183" cm="1">
        <f t="array" ref="I34">Common_InputFunctions.Utility_DisplayArrayInTable(Fuel_SourceData.Fuel_Scope1Scope3EmissionFactorsTransport_Data(), Table_Fuel_EFs_Transport[[#Headers],[Transport type]], 0)</f>
        <v>0.3</v>
      </c>
      <c r="J34" s="183" cm="1">
        <f t="array" ref="J34">Common_InputFunctions.Utility_DisplayArrayInTable(Fuel_SourceData.Fuel_Scope1Scope3EmissionFactorsTransport_Data(), Table_Fuel_EFs_Transport[[#Headers],[Transport type]], 0)</f>
        <v>0.5</v>
      </c>
      <c r="K34" s="183" t="str" cm="1">
        <f t="array" ref="K34">Common_InputFunctions.Utility_DisplayArrayInTable(Fuel_SourceData.Fuel_Scope1Scope3EmissionFactorsTransport_Data(), Table_Fuel_EFs_Transport[[#Headers],[Transport type]], 0)</f>
        <v/>
      </c>
      <c r="L34" s="183" cm="1">
        <f t="array" ref="L34">Common_InputFunctions.Utility_DisplayArrayInTable(Fuel_SourceData.Fuel_Scope1Scope3EmissionFactorsTransport_Data(), Table_Fuel_EFs_Transport[[#Headers],[Transport type]], 0)</f>
        <v>17.3</v>
      </c>
    </row>
    <row r="35" spans="1:12" ht="20.100000000000001" customHeight="1" x14ac:dyDescent="0.2">
      <c r="A35" s="5" t="str">
        <f>HYPERLINK("#'8.1.1.1-2 Transport fuel'!A1", "8.1.1.1-2 Transport fuel")</f>
        <v>8.1.1.1-2 Transport fuel</v>
      </c>
    </row>
    <row r="36" spans="1:12" ht="20.100000000000001" customHeight="1" x14ac:dyDescent="0.2">
      <c r="A36" s="5" t="str">
        <f>HYPERLINK("#'8.2.1.1-2 Stationary fuel'!A1", "8.2.1.1-2 Stationary fuel")</f>
        <v>8.2.1.1-2 Stationary fuel</v>
      </c>
    </row>
    <row r="37" spans="1:12" ht="20.100000000000001" customHeight="1" x14ac:dyDescent="0.2">
      <c r="A37" s="5" t="str">
        <f>HYPERLINK("#'10.1.1-2 Solid waste treatment'!A1", "10.1.1.1-2 Solid waste")</f>
        <v>10.1.1.1-2 Solid waste</v>
      </c>
      <c r="D37" s="2" t="str" cm="1">
        <f t="array" ref="D37">Fuel_SourceData.Fuel_Scope1Scope3EmissionFactorsTransportOffRoad_Title()</f>
        <v>Fuel scope 1 and 3 emission factors - Off-road equipment and vessels</v>
      </c>
    </row>
    <row r="38" spans="1:12" ht="20.100000000000001" customHeight="1" x14ac:dyDescent="0.2">
      <c r="A38" s="5" t="str">
        <f>HYPERLINK("#'14.1.1-2 Purchased electricity'!A1", "14.1.1-2 Purchased electricity")</f>
        <v>14.1.1-2 Purchased electricity</v>
      </c>
      <c r="D38" s="17" t="str" cm="1">
        <f t="array" ref="D38">Fuel_SourceData.Fuel_Scope1Scope3EmissionFactorsTransportOffRoad_Source()</f>
        <v>VEERG 2026: Table A.4.2.1</v>
      </c>
    </row>
    <row r="39" spans="1:12" ht="20.100000000000001" customHeight="1" x14ac:dyDescent="0.2">
      <c r="A39" s="5" t="str">
        <f>HYPERLINK("#'15 Scope 3'!A1", "15 Scope 3")</f>
        <v>15 Scope 3</v>
      </c>
      <c r="D39" s="19" t="s">
        <v>648</v>
      </c>
      <c r="E39" s="19" t="s">
        <v>649</v>
      </c>
      <c r="F39" s="19" t="s">
        <v>650</v>
      </c>
      <c r="G39" s="19" t="s">
        <v>651</v>
      </c>
      <c r="H39" s="19" t="s">
        <v>652</v>
      </c>
      <c r="I39" s="19" t="s">
        <v>653</v>
      </c>
      <c r="J39" s="19" t="s">
        <v>654</v>
      </c>
    </row>
    <row r="40" spans="1:12" ht="20.100000000000001" customHeight="1" x14ac:dyDescent="0.2">
      <c r="A40" s="5" t="str">
        <f>HYPERLINK("#'Calcs - Manure sent off-site'!A1", "Calcs - Manure sent off-site")</f>
        <v>Calcs - Manure sent off-site</v>
      </c>
      <c r="D40" s="19" t="str" cm="1">
        <f t="array" ref="D40">Common_InputFunctions.Utility_DisplayArrayInTable(Fuel_SourceData.Fuel_Scope1Scope3EmissionFactorsTransportOffRoad_Data(), Table_SourceData_Fuel_TransportOffroad[[#Headers],[Transport type t]],0)</f>
        <v>Vessel</v>
      </c>
      <c r="E40" s="19" t="str" cm="1">
        <f t="array" ref="E40">Common_InputFunctions.Utility_DisplayArrayInTable(Fuel_SourceData.Fuel_Scope1Scope3EmissionFactorsTransportOffRoad_Data(), Table_SourceData_Fuel_TransportOffroad[[#Headers],[Transport type t]],0)</f>
        <v>Petrol</v>
      </c>
      <c r="F40" s="19" cm="1">
        <f t="array" ref="F40">Common_InputFunctions.Utility_DisplayArrayInTable(Fuel_SourceData.Fuel_Scope1Scope3EmissionFactorsTransportOffRoad_Data(), Table_SourceData_Fuel_TransportOffroad[[#Headers],[Transport type t]],0)</f>
        <v>34.200000000000003</v>
      </c>
      <c r="G40" s="19" cm="1">
        <f t="array" ref="G40">Common_InputFunctions.Utility_DisplayArrayInTable(Fuel_SourceData.Fuel_Scope1Scope3EmissionFactorsTransportOffRoad_Data(), Table_SourceData_Fuel_TransportOffroad[[#Headers],[Transport type t]],0)</f>
        <v>67.400000000000006</v>
      </c>
      <c r="H40" s="19" cm="1">
        <f t="array" ref="H40">Common_InputFunctions.Utility_DisplayArrayInTable(Fuel_SourceData.Fuel_Scope1Scope3EmissionFactorsTransportOffRoad_Data(), Table_SourceData_Fuel_TransportOffroad[[#Headers],[Transport type t]],0)</f>
        <v>10.1</v>
      </c>
      <c r="I40" s="19" cm="1">
        <f t="array" ref="I40">Common_InputFunctions.Utility_DisplayArrayInTable(Fuel_SourceData.Fuel_Scope1Scope3EmissionFactorsTransportOffRoad_Data(), Table_SourceData_Fuel_TransportOffroad[[#Headers],[Transport type t]],0)</f>
        <v>0.3</v>
      </c>
      <c r="J40" s="19" cm="1">
        <f t="array" ref="J40">Common_InputFunctions.Utility_DisplayArrayInTable(Fuel_SourceData.Fuel_Scope1Scope3EmissionFactorsTransportOffRoad_Data(), Table_SourceData_Fuel_TransportOffroad[[#Headers],[Transport type t]],0)</f>
        <v>17.2</v>
      </c>
    </row>
    <row r="41" spans="1:12" ht="20.100000000000001" customHeight="1" x14ac:dyDescent="0.2">
      <c r="A41" s="5" t="str">
        <f>HYPERLINK("#'5.1.1.1-2 Inorganic fert N2O'!A1", "5.1.1.1-2 Inorganic fert N2O")</f>
        <v>5.1.1.1-2 Inorganic fert N2O</v>
      </c>
      <c r="D41" s="1" t="str" cm="1">
        <f t="array" ref="D41">Common_InputFunctions.Utility_DisplayArrayInTable(Fuel_SourceData.Fuel_Scope1Scope3EmissionFactorsTransportOffRoad_Data(), Table_SourceData_Fuel_TransportOffroad[[#Headers],[Transport type t]],0)</f>
        <v>Vessel</v>
      </c>
      <c r="E41" s="19" t="str" cm="1">
        <f t="array" ref="E41">Common_InputFunctions.Utility_DisplayArrayInTable(Fuel_SourceData.Fuel_Scope1Scope3EmissionFactorsTransportOffRoad_Data(), Table_SourceData_Fuel_TransportOffroad[[#Headers],[Transport type t]],0)</f>
        <v>Diesel</v>
      </c>
      <c r="F41" s="19" cm="1">
        <f t="array" ref="F41">Common_InputFunctions.Utility_DisplayArrayInTable(Fuel_SourceData.Fuel_Scope1Scope3EmissionFactorsTransportOffRoad_Data(), Table_SourceData_Fuel_TransportOffroad[[#Headers],[Transport type t]],0)</f>
        <v>38.6</v>
      </c>
      <c r="G41" s="19" cm="1">
        <f t="array" ref="G41">Common_InputFunctions.Utility_DisplayArrayInTable(Fuel_SourceData.Fuel_Scope1Scope3EmissionFactorsTransportOffRoad_Data(), Table_SourceData_Fuel_TransportOffroad[[#Headers],[Transport type t]],0)</f>
        <v>69.900000000000006</v>
      </c>
      <c r="H41" s="19" cm="1">
        <f t="array" ref="H41">Common_InputFunctions.Utility_DisplayArrayInTable(Fuel_SourceData.Fuel_Scope1Scope3EmissionFactorsTransportOffRoad_Data(), Table_SourceData_Fuel_TransportOffroad[[#Headers],[Transport type t]],0)</f>
        <v>0.2</v>
      </c>
      <c r="I41" s="19" cm="1">
        <f t="array" ref="I41">Common_InputFunctions.Utility_DisplayArrayInTable(Fuel_SourceData.Fuel_Scope1Scope3EmissionFactorsTransportOffRoad_Data(), Table_SourceData_Fuel_TransportOffroad[[#Headers],[Transport type t]],0)</f>
        <v>0.5</v>
      </c>
      <c r="J41" s="19" cm="1">
        <f t="array" ref="J41">Common_InputFunctions.Utility_DisplayArrayInTable(Fuel_SourceData.Fuel_Scope1Scope3EmissionFactorsTransportOffRoad_Data(), Table_SourceData_Fuel_TransportOffroad[[#Headers],[Transport type t]],0)</f>
        <v>17.3</v>
      </c>
    </row>
    <row r="42" spans="1:12" ht="20.100000000000001" customHeight="1" x14ac:dyDescent="0.2">
      <c r="A42" s="5" t="str">
        <f>HYPERLINK("#'5.1.1.3-4 Inorganic fert CO2'!A1", "5.1.1.3-4 Inorganic fert CO2")</f>
        <v>5.1.1.3-4 Inorganic fert CO2</v>
      </c>
      <c r="D42" s="1" t="str" cm="1">
        <f t="array" ref="D42">Common_InputFunctions.Utility_DisplayArrayInTable(Fuel_SourceData.Fuel_Scope1Scope3EmissionFactorsTransportOffRoad_Data(), Table_SourceData_Fuel_TransportOffroad[[#Headers],[Transport type t]],0)</f>
        <v>Vessel</v>
      </c>
      <c r="E42" s="19" t="str" cm="1">
        <f t="array" ref="E42">Common_InputFunctions.Utility_DisplayArrayInTable(Fuel_SourceData.Fuel_Scope1Scope3EmissionFactorsTransportOffRoad_Data(), Table_SourceData_Fuel_TransportOffroad[[#Headers],[Transport type t]],0)</f>
        <v>Fuel Oil</v>
      </c>
      <c r="F42" s="19" cm="1">
        <f t="array" ref="F42">Common_InputFunctions.Utility_DisplayArrayInTable(Fuel_SourceData.Fuel_Scope1Scope3EmissionFactorsTransportOffRoad_Data(), Table_SourceData_Fuel_TransportOffroad[[#Headers],[Transport type t]],0)</f>
        <v>39.700000000000003</v>
      </c>
      <c r="G42" s="19" cm="1">
        <f t="array" ref="G42">Common_InputFunctions.Utility_DisplayArrayInTable(Fuel_SourceData.Fuel_Scope1Scope3EmissionFactorsTransportOffRoad_Data(), Table_SourceData_Fuel_TransportOffroad[[#Headers],[Transport type t]],0)</f>
        <v>73.599999999999994</v>
      </c>
      <c r="H42" s="19" cm="1">
        <f t="array" ref="H42">Common_InputFunctions.Utility_DisplayArrayInTable(Fuel_SourceData.Fuel_Scope1Scope3EmissionFactorsTransportOffRoad_Data(), Table_SourceData_Fuel_TransportOffroad[[#Headers],[Transport type t]],0)</f>
        <v>0.2</v>
      </c>
      <c r="I42" s="19" cm="1">
        <f t="array" ref="I42">Common_InputFunctions.Utility_DisplayArrayInTable(Fuel_SourceData.Fuel_Scope1Scope3EmissionFactorsTransportOffRoad_Data(), Table_SourceData_Fuel_TransportOffroad[[#Headers],[Transport type t]],0)</f>
        <v>0.5</v>
      </c>
      <c r="J42" s="19" cm="1">
        <f t="array" ref="J42">Common_InputFunctions.Utility_DisplayArrayInTable(Fuel_SourceData.Fuel_Scope1Scope3EmissionFactorsTransportOffRoad_Data(), Table_SourceData_Fuel_TransportOffroad[[#Headers],[Transport type t]],0)</f>
        <v>18</v>
      </c>
    </row>
    <row r="43" spans="1:12" ht="20.100000000000001" customHeight="1" x14ac:dyDescent="0.2">
      <c r="A43" s="5" t="str">
        <f>HYPERLINK("#'5.2.1.1-2 Organic Fert N2O'!A1", "5.2.1.1-2 Organic Fert N2O")</f>
        <v>5.2.1.1-2 Organic Fert N2O</v>
      </c>
      <c r="D43" s="1" t="str" cm="1">
        <f t="array" ref="D43">Common_InputFunctions.Utility_DisplayArrayInTable(Fuel_SourceData.Fuel_Scope1Scope3EmissionFactorsTransportOffRoad_Data(), Table_SourceData_Fuel_TransportOffroad[[#Headers],[Transport type t]],0)</f>
        <v>Off-road Agriculture and forestry equipment</v>
      </c>
      <c r="E43" s="19" t="str" cm="1">
        <f t="array" ref="E43">Common_InputFunctions.Utility_DisplayArrayInTable(Fuel_SourceData.Fuel_Scope1Scope3EmissionFactorsTransportOffRoad_Data(), Table_SourceData_Fuel_TransportOffroad[[#Headers],[Transport type t]],0)</f>
        <v>Diesel</v>
      </c>
      <c r="F43" s="19" cm="1">
        <f t="array" ref="F43">Common_InputFunctions.Utility_DisplayArrayInTable(Fuel_SourceData.Fuel_Scope1Scope3EmissionFactorsTransportOffRoad_Data(), Table_SourceData_Fuel_TransportOffroad[[#Headers],[Transport type t]],0)</f>
        <v>38.6</v>
      </c>
      <c r="G43" s="19" cm="1">
        <f t="array" ref="G43">Common_InputFunctions.Utility_DisplayArrayInTable(Fuel_SourceData.Fuel_Scope1Scope3EmissionFactorsTransportOffRoad_Data(), Table_SourceData_Fuel_TransportOffroad[[#Headers],[Transport type t]],0)</f>
        <v>69.900000000000006</v>
      </c>
      <c r="H43" s="19" cm="1">
        <f t="array" ref="H43">Common_InputFunctions.Utility_DisplayArrayInTable(Fuel_SourceData.Fuel_Scope1Scope3EmissionFactorsTransportOffRoad_Data(), Table_SourceData_Fuel_TransportOffroad[[#Headers],[Transport type t]],0)</f>
        <v>0.3</v>
      </c>
      <c r="I43" s="19" cm="1">
        <f t="array" ref="I43">Common_InputFunctions.Utility_DisplayArrayInTable(Fuel_SourceData.Fuel_Scope1Scope3EmissionFactorsTransportOffRoad_Data(), Table_SourceData_Fuel_TransportOffroad[[#Headers],[Transport type t]],0)</f>
        <v>0.5</v>
      </c>
      <c r="J43" s="19" cm="1">
        <f t="array" ref="J43">Common_InputFunctions.Utility_DisplayArrayInTable(Fuel_SourceData.Fuel_Scope1Scope3EmissionFactorsTransportOffRoad_Data(), Table_SourceData_Fuel_TransportOffroad[[#Headers],[Transport type t]],0)</f>
        <v>17.3</v>
      </c>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row>
    <row r="49" spans="1:12" ht="20.100000000000001" customHeight="1" x14ac:dyDescent="0.2">
      <c r="A49" s="80" t="s">
        <v>1</v>
      </c>
      <c r="D49" s="2" t="str" cm="1">
        <f t="array" ref="D49">Fuel_SourceData.Fuel_Scope1Scope3EmissionFactorsStationaryLiquid_Title()</f>
        <v>Fuel scope 1 and 3 emission factors - Stationary liquid fuels</v>
      </c>
      <c r="E49" s="154"/>
      <c r="F49" s="154"/>
      <c r="G49" s="154"/>
      <c r="H49" s="154"/>
      <c r="I49" s="154"/>
      <c r="J49" s="154"/>
      <c r="K49" s="154"/>
      <c r="L49" s="154"/>
    </row>
    <row r="50" spans="1:12" ht="20.100000000000001" customHeight="1" x14ac:dyDescent="0.2">
      <c r="A50" s="5" t="str">
        <f>HYPERLINK("#'Constants - Poultry'!A1", "Constants - Poultry")</f>
        <v>Constants - Poultry</v>
      </c>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154"/>
      <c r="F50" s="154"/>
      <c r="G50" s="154"/>
      <c r="H50" s="154"/>
      <c r="I50" s="154"/>
      <c r="J50" s="154"/>
      <c r="K50" s="154"/>
      <c r="L50" s="154"/>
    </row>
    <row r="51" spans="1:12" ht="20.100000000000001" customHeight="1" x14ac:dyDescent="0.2">
      <c r="A51" s="5" t="str">
        <f>HYPERLINK("#'Constants - Common livestock'!A1", "Constants - Common Livestock")</f>
        <v>Constants - Common Livestock</v>
      </c>
      <c r="D51" s="17" t="str" cm="1">
        <f t="array" ref="D51">Fuel_SourceData.Fuel_Scope1Scope3EmissionFactorsStationaryLiquid_Source()</f>
        <v>Australian National Greenhouse Accounts Factors 2025 - Table 8</v>
      </c>
      <c r="E51" s="154"/>
      <c r="F51" s="154"/>
      <c r="G51" s="154"/>
      <c r="H51" s="154"/>
      <c r="I51" s="154"/>
      <c r="J51" s="154"/>
      <c r="K51" s="154"/>
      <c r="L51" s="154"/>
    </row>
    <row r="52" spans="1:12" ht="20.100000000000001" customHeight="1" x14ac:dyDescent="0.2">
      <c r="A52" s="5" t="str">
        <f>HYPERLINK("#'Constants - Electricity'!A1", "Constants - Electricity")</f>
        <v>Constants - Electricity</v>
      </c>
      <c r="D52" s="25" t="str" cm="1">
        <f t="array" ref="D52">"⚠️" &amp; Fuel_SourceData.Fuel_Scope1Scope3EmissionFactorsStationaryLiquid_Variation()</f>
        <v>⚠️VARIATION OF SOURCE DATA: 'NE' values returned as zero for calculations.</v>
      </c>
      <c r="E52" s="154"/>
      <c r="F52" s="154"/>
      <c r="G52" s="154"/>
      <c r="H52" s="154"/>
      <c r="I52" s="154"/>
      <c r="J52" s="154"/>
      <c r="K52" s="154"/>
      <c r="L52" s="154"/>
    </row>
    <row r="53" spans="1:12" ht="20.100000000000001" customHeight="1" x14ac:dyDescent="0.2">
      <c r="A53" s="5" t="str">
        <f>HYPERLINK("#'Constants - Fertiliser'!A1", "Constants - Fertiliser")</f>
        <v>Constants - Fertiliser</v>
      </c>
      <c r="D53" s="147" t="s">
        <v>640</v>
      </c>
      <c r="E53" s="181" t="s">
        <v>641</v>
      </c>
      <c r="F53" s="147" t="s">
        <v>642</v>
      </c>
      <c r="G53" s="181" t="s">
        <v>643</v>
      </c>
      <c r="H53" s="181" t="s">
        <v>644</v>
      </c>
      <c r="I53" s="181" t="s">
        <v>645</v>
      </c>
      <c r="J53" s="181" t="s">
        <v>646</v>
      </c>
      <c r="K53" s="181" t="s">
        <v>647</v>
      </c>
      <c r="L53" s="154"/>
    </row>
    <row r="54" spans="1:12" ht="20.100000000000001" customHeight="1" x14ac:dyDescent="0.2">
      <c r="A54" s="81" t="str">
        <f>HYPERLINK("#'Constants - Fuel'!A1", "Constants - Fuel")</f>
        <v>Constants - Fuel</v>
      </c>
      <c r="D54" s="182"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182" cm="1">
        <f t="array" ref="E54">Common_InputFunctions.Utility_DisplayArrayInTable(Fuel_SourceData.Fuel_Scope1Scope3EmissionFactorsStationaryLiquid_Data(), Table_Fuel_EFs_StationaryLiquid[[#Headers],[Fuel combusted]],0)</f>
        <v>38.799999999999997</v>
      </c>
      <c r="F54" s="182" t="str" cm="1">
        <f t="array" ref="F54">Common_InputFunctions.Utility_DisplayArrayInTable(Fuel_SourceData.Fuel_Scope1Scope3EmissionFactorsStationaryLiquid_Data(), Table_Fuel_EFs_StationaryLiquid[[#Headers],[Fuel combusted]],0)</f>
        <v>kl</v>
      </c>
      <c r="G54" s="182" cm="1">
        <f t="array" ref="G54">Common_InputFunctions.Utility_DisplayArrayInTable(Fuel_SourceData.Fuel_Scope1Scope3EmissionFactorsStationaryLiquid_Data(), Table_Fuel_EFs_StationaryLiquid[[#Headers],[Fuel combusted]],0)</f>
        <v>13.9</v>
      </c>
      <c r="H54" s="182" cm="1">
        <f t="array" ref="H54">Common_InputFunctions.Utility_DisplayArrayInTable(Fuel_SourceData.Fuel_Scope1Scope3EmissionFactorsStationaryLiquid_Data(), Table_Fuel_EFs_StationaryLiquid[[#Headers],[Fuel combusted]],0)</f>
        <v>0</v>
      </c>
      <c r="I54" s="182" cm="1">
        <f t="array" ref="I54">Common_InputFunctions.Utility_DisplayArrayInTable(Fuel_SourceData.Fuel_Scope1Scope3EmissionFactorsStationaryLiquid_Data(), Table_Fuel_EFs_StationaryLiquid[[#Headers],[Fuel combusted]],0)</f>
        <v>0</v>
      </c>
      <c r="J54" s="182" cm="1">
        <f t="array" ref="J54">Common_InputFunctions.Utility_DisplayArrayInTable(Fuel_SourceData.Fuel_Scope1Scope3EmissionFactorsStationaryLiquid_Data(), Table_Fuel_EFs_StationaryLiquid[[#Headers],[Fuel combusted]],0)</f>
        <v>13.9</v>
      </c>
      <c r="K54" s="182" cm="1">
        <f t="array" ref="K54">Common_InputFunctions.Utility_DisplayArrayInTable(Fuel_SourceData.Fuel_Scope1Scope3EmissionFactorsStationaryLiquid_Data(), Table_Fuel_EFs_StationaryLiquid[[#Headers],[Fuel combusted]],0)</f>
        <v>18</v>
      </c>
      <c r="L54" s="154"/>
    </row>
    <row r="55" spans="1:12" ht="20.100000000000001" customHeight="1" x14ac:dyDescent="0.2">
      <c r="A55" s="5" t="str">
        <f>HYPERLINK("#'Constants - Scope 3'!A1", "Constants - Scope 3")</f>
        <v>Constants - Scope 3</v>
      </c>
      <c r="D55" s="182" t="str" cm="1">
        <f t="array" ref="D55">Common_InputFunctions.Utility_DisplayArrayInTable(Fuel_SourceData.Fuel_Scope1Scope3EmissionFactorsStationaryLiquid_Data(), Table_Fuel_EFs_StationaryLiquid[[#Headers],[Fuel combusted]],0)</f>
        <v>Petroleum based greases</v>
      </c>
      <c r="E55" s="182" cm="1">
        <f t="array" ref="E55">Common_InputFunctions.Utility_DisplayArrayInTable(Fuel_SourceData.Fuel_Scope1Scope3EmissionFactorsStationaryLiquid_Data(), Table_Fuel_EFs_StationaryLiquid[[#Headers],[Fuel combusted]],0)</f>
        <v>38.799999999999997</v>
      </c>
      <c r="F55" s="182" t="str" cm="1">
        <f t="array" ref="F55">Common_InputFunctions.Utility_DisplayArrayInTable(Fuel_SourceData.Fuel_Scope1Scope3EmissionFactorsStationaryLiquid_Data(), Table_Fuel_EFs_StationaryLiquid[[#Headers],[Fuel combusted]],0)</f>
        <v>kl</v>
      </c>
      <c r="G55" s="182" cm="1">
        <f t="array" ref="G55">Common_InputFunctions.Utility_DisplayArrayInTable(Fuel_SourceData.Fuel_Scope1Scope3EmissionFactorsStationaryLiquid_Data(), Table_Fuel_EFs_StationaryLiquid[[#Headers],[Fuel combusted]],0)</f>
        <v>3.5</v>
      </c>
      <c r="H55" s="182" cm="1">
        <f t="array" ref="H55">Common_InputFunctions.Utility_DisplayArrayInTable(Fuel_SourceData.Fuel_Scope1Scope3EmissionFactorsStationaryLiquid_Data(), Table_Fuel_EFs_StationaryLiquid[[#Headers],[Fuel combusted]],0)</f>
        <v>0</v>
      </c>
      <c r="I55" s="182" cm="1">
        <f t="array" ref="I55">Common_InputFunctions.Utility_DisplayArrayInTable(Fuel_SourceData.Fuel_Scope1Scope3EmissionFactorsStationaryLiquid_Data(), Table_Fuel_EFs_StationaryLiquid[[#Headers],[Fuel combusted]],0)</f>
        <v>0</v>
      </c>
      <c r="J55" s="182" cm="1">
        <f t="array" ref="J55">Common_InputFunctions.Utility_DisplayArrayInTable(Fuel_SourceData.Fuel_Scope1Scope3EmissionFactorsStationaryLiquid_Data(), Table_Fuel_EFs_StationaryLiquid[[#Headers],[Fuel combusted]],0)</f>
        <v>3.5</v>
      </c>
      <c r="K55" s="182" cm="1">
        <f t="array" ref="K55">Common_InputFunctions.Utility_DisplayArrayInTable(Fuel_SourceData.Fuel_Scope1Scope3EmissionFactorsStationaryLiquid_Data(), Table_Fuel_EFs_StationaryLiquid[[#Headers],[Fuel combusted]],0)</f>
        <v>18</v>
      </c>
      <c r="L55" s="154"/>
    </row>
    <row r="56" spans="1:12" ht="20.100000000000001" customHeight="1" x14ac:dyDescent="0.2">
      <c r="A56" s="5" t="str">
        <f>HYPERLINK("#'Constants - Solid Waste'!A1", "Constants - Solid Waste")</f>
        <v>Constants - Solid Waste</v>
      </c>
      <c r="D56" s="182" t="str" cm="1">
        <f t="array" ref="D56">Common_InputFunctions.Utility_DisplayArrayInTable(Fuel_SourceData.Fuel_Scope1Scope3EmissionFactorsStationaryLiquid_Data(), Table_Fuel_EFs_StationaryLiquid[[#Headers],[Fuel combusted]],0)</f>
        <v>Crude oil including crude oil condensates</v>
      </c>
      <c r="E56" s="182" cm="1">
        <f t="array" ref="E56">Common_InputFunctions.Utility_DisplayArrayInTable(Fuel_SourceData.Fuel_Scope1Scope3EmissionFactorsStationaryLiquid_Data(), Table_Fuel_EFs_StationaryLiquid[[#Headers],[Fuel combusted]],0)</f>
        <v>45.3</v>
      </c>
      <c r="F56" s="182" t="str" cm="1">
        <f t="array" ref="F56">Common_InputFunctions.Utility_DisplayArrayInTable(Fuel_SourceData.Fuel_Scope1Scope3EmissionFactorsStationaryLiquid_Data(), Table_Fuel_EFs_StationaryLiquid[[#Headers],[Fuel combusted]],0)</f>
        <v>t</v>
      </c>
      <c r="G56" s="182" cm="1">
        <f t="array" ref="G56">Common_InputFunctions.Utility_DisplayArrayInTable(Fuel_SourceData.Fuel_Scope1Scope3EmissionFactorsStationaryLiquid_Data(), Table_Fuel_EFs_StationaryLiquid[[#Headers],[Fuel combusted]],0)</f>
        <v>69.599999999999994</v>
      </c>
      <c r="H56" s="182" cm="1">
        <f t="array" ref="H56">Common_InputFunctions.Utility_DisplayArrayInTable(Fuel_SourceData.Fuel_Scope1Scope3EmissionFactorsStationaryLiquid_Data(), Table_Fuel_EFs_StationaryLiquid[[#Headers],[Fuel combusted]],0)</f>
        <v>0.08</v>
      </c>
      <c r="I56" s="182" cm="1">
        <f t="array" ref="I56">Common_InputFunctions.Utility_DisplayArrayInTable(Fuel_SourceData.Fuel_Scope1Scope3EmissionFactorsStationaryLiquid_Data(), Table_Fuel_EFs_StationaryLiquid[[#Headers],[Fuel combusted]],0)</f>
        <v>0.2</v>
      </c>
      <c r="J56" s="182" cm="1">
        <f t="array" ref="J56">Common_InputFunctions.Utility_DisplayArrayInTable(Fuel_SourceData.Fuel_Scope1Scope3EmissionFactorsStationaryLiquid_Data(), Table_Fuel_EFs_StationaryLiquid[[#Headers],[Fuel combusted]],0)</f>
        <v>69.88</v>
      </c>
      <c r="K56" s="182" t="str" cm="1">
        <f t="array" ref="K56">Common_InputFunctions.Utility_DisplayArrayInTable(Fuel_SourceData.Fuel_Scope1Scope3EmissionFactorsStationaryLiquid_Data(), Table_Fuel_EFs_StationaryLiquid[[#Headers],[Fuel combusted]],0)</f>
        <v>NE</v>
      </c>
      <c r="L56" s="154"/>
    </row>
    <row r="57" spans="1:12" ht="20.100000000000001" customHeight="1" x14ac:dyDescent="0.2">
      <c r="A57" s="5" t="str">
        <f>HYPERLINK("#'Constants - Common'!A1", "Constants - Common")</f>
        <v>Constants - Common</v>
      </c>
      <c r="D57" s="182" t="str" cm="1">
        <f t="array" ref="D57">Common_InputFunctions.Utility_DisplayArrayInTable(Fuel_SourceData.Fuel_Scope1Scope3EmissionFactorsStationaryLiquid_Data(), Table_Fuel_EFs_StationaryLiquid[[#Headers],[Fuel combusted]],0)</f>
        <v>Other natural gas liquids</v>
      </c>
      <c r="E57" s="182" cm="1">
        <f t="array" ref="E57">Common_InputFunctions.Utility_DisplayArrayInTable(Fuel_SourceData.Fuel_Scope1Scope3EmissionFactorsStationaryLiquid_Data(), Table_Fuel_EFs_StationaryLiquid[[#Headers],[Fuel combusted]],0)</f>
        <v>46.5</v>
      </c>
      <c r="F57" s="182" t="str" cm="1">
        <f t="array" ref="F57">Common_InputFunctions.Utility_DisplayArrayInTable(Fuel_SourceData.Fuel_Scope1Scope3EmissionFactorsStationaryLiquid_Data(), Table_Fuel_EFs_StationaryLiquid[[#Headers],[Fuel combusted]],0)</f>
        <v>t</v>
      </c>
      <c r="G57" s="182" cm="1">
        <f t="array" ref="G57">Common_InputFunctions.Utility_DisplayArrayInTable(Fuel_SourceData.Fuel_Scope1Scope3EmissionFactorsStationaryLiquid_Data(), Table_Fuel_EFs_StationaryLiquid[[#Headers],[Fuel combusted]],0)</f>
        <v>61</v>
      </c>
      <c r="H57" s="182" cm="1">
        <f t="array" ref="H57">Common_InputFunctions.Utility_DisplayArrayInTable(Fuel_SourceData.Fuel_Scope1Scope3EmissionFactorsStationaryLiquid_Data(), Table_Fuel_EFs_StationaryLiquid[[#Headers],[Fuel combusted]],0)</f>
        <v>0.08</v>
      </c>
      <c r="I57" s="182" cm="1">
        <f t="array" ref="I57">Common_InputFunctions.Utility_DisplayArrayInTable(Fuel_SourceData.Fuel_Scope1Scope3EmissionFactorsStationaryLiquid_Data(), Table_Fuel_EFs_StationaryLiquid[[#Headers],[Fuel combusted]],0)</f>
        <v>0.2</v>
      </c>
      <c r="J57" s="182" cm="1">
        <f t="array" ref="J57">Common_InputFunctions.Utility_DisplayArrayInTable(Fuel_SourceData.Fuel_Scope1Scope3EmissionFactorsStationaryLiquid_Data(), Table_Fuel_EFs_StationaryLiquid[[#Headers],[Fuel combusted]],0)</f>
        <v>61.28</v>
      </c>
      <c r="K57" s="182" t="str" cm="1">
        <f t="array" ref="K57">Common_InputFunctions.Utility_DisplayArrayInTable(Fuel_SourceData.Fuel_Scope1Scope3EmissionFactorsStationaryLiquid_Data(), Table_Fuel_EFs_StationaryLiquid[[#Headers],[Fuel combusted]],0)</f>
        <v>NE</v>
      </c>
      <c r="L57" s="154"/>
    </row>
    <row r="58" spans="1:12" ht="20.100000000000001" customHeight="1" x14ac:dyDescent="0.2">
      <c r="D58" s="182" t="str" cm="1">
        <f t="array" ref="D58">Common_InputFunctions.Utility_DisplayArrayInTable(Fuel_SourceData.Fuel_Scope1Scope3EmissionFactorsStationaryLiquid_Data(), Table_Fuel_EFs_StationaryLiquid[[#Headers],[Fuel combusted]],0)</f>
        <v>Automotive gasoline / petrol (other than for use as fuel in an aircraft)</v>
      </c>
      <c r="E58" s="182" cm="1">
        <f t="array" ref="E58">Common_InputFunctions.Utility_DisplayArrayInTable(Fuel_SourceData.Fuel_Scope1Scope3EmissionFactorsStationaryLiquid_Data(), Table_Fuel_EFs_StationaryLiquid[[#Headers],[Fuel combusted]],0)</f>
        <v>34.200000000000003</v>
      </c>
      <c r="F58" s="182" t="str" cm="1">
        <f t="array" ref="F58">Common_InputFunctions.Utility_DisplayArrayInTable(Fuel_SourceData.Fuel_Scope1Scope3EmissionFactorsStationaryLiquid_Data(), Table_Fuel_EFs_StationaryLiquid[[#Headers],[Fuel combusted]],0)</f>
        <v>kL</v>
      </c>
      <c r="G58" s="182" cm="1">
        <f t="array" ref="G58">Common_InputFunctions.Utility_DisplayArrayInTable(Fuel_SourceData.Fuel_Scope1Scope3EmissionFactorsStationaryLiquid_Data(), Table_Fuel_EFs_StationaryLiquid[[#Headers],[Fuel combusted]],0)</f>
        <v>67.400000000000006</v>
      </c>
      <c r="H58" s="182" cm="1">
        <f t="array" ref="H58">Common_InputFunctions.Utility_DisplayArrayInTable(Fuel_SourceData.Fuel_Scope1Scope3EmissionFactorsStationaryLiquid_Data(), Table_Fuel_EFs_StationaryLiquid[[#Headers],[Fuel combusted]],0)</f>
        <v>0.2</v>
      </c>
      <c r="I58" s="182" cm="1">
        <f t="array" ref="I58">Common_InputFunctions.Utility_DisplayArrayInTable(Fuel_SourceData.Fuel_Scope1Scope3EmissionFactorsStationaryLiquid_Data(), Table_Fuel_EFs_StationaryLiquid[[#Headers],[Fuel combusted]],0)</f>
        <v>0.2</v>
      </c>
      <c r="J58" s="182" cm="1">
        <f t="array" ref="J58">Common_InputFunctions.Utility_DisplayArrayInTable(Fuel_SourceData.Fuel_Scope1Scope3EmissionFactorsStationaryLiquid_Data(), Table_Fuel_EFs_StationaryLiquid[[#Headers],[Fuel combusted]],0)</f>
        <v>67.8</v>
      </c>
      <c r="K58" s="182" cm="1">
        <f t="array" ref="K58">Common_InputFunctions.Utility_DisplayArrayInTable(Fuel_SourceData.Fuel_Scope1Scope3EmissionFactorsStationaryLiquid_Data(), Table_Fuel_EFs_StationaryLiquid[[#Headers],[Fuel combusted]],0)</f>
        <v>17.2</v>
      </c>
      <c r="L58" s="154"/>
    </row>
    <row r="59" spans="1:12" ht="20.100000000000001" customHeight="1" x14ac:dyDescent="0.2">
      <c r="D59" s="182" t="str" cm="1">
        <f t="array" ref="D59">Common_InputFunctions.Utility_DisplayArrayInTable(Fuel_SourceData.Fuel_Scope1Scope3EmissionFactorsStationaryLiquid_Data(), Table_Fuel_EFs_StationaryLiquid[[#Headers],[Fuel combusted]],0)</f>
        <v>Aviation gasoline</v>
      </c>
      <c r="E59" s="182" cm="1">
        <f t="array" ref="E59">Common_InputFunctions.Utility_DisplayArrayInTable(Fuel_SourceData.Fuel_Scope1Scope3EmissionFactorsStationaryLiquid_Data(), Table_Fuel_EFs_StationaryLiquid[[#Headers],[Fuel combusted]],0)</f>
        <v>33.1</v>
      </c>
      <c r="F59" s="182" t="str" cm="1">
        <f t="array" ref="F59">Common_InputFunctions.Utility_DisplayArrayInTable(Fuel_SourceData.Fuel_Scope1Scope3EmissionFactorsStationaryLiquid_Data(), Table_Fuel_EFs_StationaryLiquid[[#Headers],[Fuel combusted]],0)</f>
        <v>kL</v>
      </c>
      <c r="G59" s="182" cm="1">
        <f t="array" ref="G59">Common_InputFunctions.Utility_DisplayArrayInTable(Fuel_SourceData.Fuel_Scope1Scope3EmissionFactorsStationaryLiquid_Data(), Table_Fuel_EFs_StationaryLiquid[[#Headers],[Fuel combusted]],0)</f>
        <v>67</v>
      </c>
      <c r="H59" s="182" cm="1">
        <f t="array" ref="H59">Common_InputFunctions.Utility_DisplayArrayInTable(Fuel_SourceData.Fuel_Scope1Scope3EmissionFactorsStationaryLiquid_Data(), Table_Fuel_EFs_StationaryLiquid[[#Headers],[Fuel combusted]],0)</f>
        <v>0.2</v>
      </c>
      <c r="I59" s="182" cm="1">
        <f t="array" ref="I59">Common_InputFunctions.Utility_DisplayArrayInTable(Fuel_SourceData.Fuel_Scope1Scope3EmissionFactorsStationaryLiquid_Data(), Table_Fuel_EFs_StationaryLiquid[[#Headers],[Fuel combusted]],0)</f>
        <v>0.2</v>
      </c>
      <c r="J59" s="182" cm="1">
        <f t="array" ref="J59">Common_InputFunctions.Utility_DisplayArrayInTable(Fuel_SourceData.Fuel_Scope1Scope3EmissionFactorsStationaryLiquid_Data(), Table_Fuel_EFs_StationaryLiquid[[#Headers],[Fuel combusted]],0)</f>
        <v>67.400000000000006</v>
      </c>
      <c r="K59" s="182" cm="1">
        <f t="array" ref="K59">Common_InputFunctions.Utility_DisplayArrayInTable(Fuel_SourceData.Fuel_Scope1Scope3EmissionFactorsStationaryLiquid_Data(), Table_Fuel_EFs_StationaryLiquid[[#Headers],[Fuel combusted]],0)</f>
        <v>18</v>
      </c>
      <c r="L59" s="154"/>
    </row>
    <row r="60" spans="1:12" ht="20.100000000000001" customHeight="1" x14ac:dyDescent="0.2">
      <c r="D60" s="182" t="str" cm="1">
        <f t="array" ref="D60">Common_InputFunctions.Utility_DisplayArrayInTable(Fuel_SourceData.Fuel_Scope1Scope3EmissionFactorsStationaryLiquid_Data(), Table_Fuel_EFs_StationaryLiquid[[#Headers],[Fuel combusted]],0)</f>
        <v>Kerosene (other than for use as fuel in an aircraft)</v>
      </c>
      <c r="E60" s="182" cm="1">
        <f t="array" ref="E60">Common_InputFunctions.Utility_DisplayArrayInTable(Fuel_SourceData.Fuel_Scope1Scope3EmissionFactorsStationaryLiquid_Data(), Table_Fuel_EFs_StationaryLiquid[[#Headers],[Fuel combusted]],0)</f>
        <v>37.5</v>
      </c>
      <c r="F60" s="182" t="str" cm="1">
        <f t="array" ref="F60">Common_InputFunctions.Utility_DisplayArrayInTable(Fuel_SourceData.Fuel_Scope1Scope3EmissionFactorsStationaryLiquid_Data(), Table_Fuel_EFs_StationaryLiquid[[#Headers],[Fuel combusted]],0)</f>
        <v>kL</v>
      </c>
      <c r="G60" s="182" cm="1">
        <f t="array" ref="G60">Common_InputFunctions.Utility_DisplayArrayInTable(Fuel_SourceData.Fuel_Scope1Scope3EmissionFactorsStationaryLiquid_Data(), Table_Fuel_EFs_StationaryLiquid[[#Headers],[Fuel combusted]],0)</f>
        <v>68.900000000000006</v>
      </c>
      <c r="H60" s="182" cm="1">
        <f t="array" ref="H60">Common_InputFunctions.Utility_DisplayArrayInTable(Fuel_SourceData.Fuel_Scope1Scope3EmissionFactorsStationaryLiquid_Data(), Table_Fuel_EFs_StationaryLiquid[[#Headers],[Fuel combusted]],0)</f>
        <v>0.01</v>
      </c>
      <c r="I60" s="182" cm="1">
        <f t="array" ref="I60">Common_InputFunctions.Utility_DisplayArrayInTable(Fuel_SourceData.Fuel_Scope1Scope3EmissionFactorsStationaryLiquid_Data(), Table_Fuel_EFs_StationaryLiquid[[#Headers],[Fuel combusted]],0)</f>
        <v>0.2</v>
      </c>
      <c r="J60" s="182" cm="1">
        <f t="array" ref="J60">Common_InputFunctions.Utility_DisplayArrayInTable(Fuel_SourceData.Fuel_Scope1Scope3EmissionFactorsStationaryLiquid_Data(), Table_Fuel_EFs_StationaryLiquid[[#Headers],[Fuel combusted]],0)</f>
        <v>69.11</v>
      </c>
      <c r="K60" s="182" cm="1">
        <f t="array" ref="K60">Common_InputFunctions.Utility_DisplayArrayInTable(Fuel_SourceData.Fuel_Scope1Scope3EmissionFactorsStationaryLiquid_Data(), Table_Fuel_EFs_StationaryLiquid[[#Headers],[Fuel combusted]],0)</f>
        <v>18</v>
      </c>
      <c r="L60" s="154"/>
    </row>
    <row r="61" spans="1:12" ht="20.100000000000001" customHeight="1" x14ac:dyDescent="0.2">
      <c r="D61" s="182" t="str" cm="1">
        <f t="array" ref="D61">Common_InputFunctions.Utility_DisplayArrayInTable(Fuel_SourceData.Fuel_Scope1Scope3EmissionFactorsStationaryLiquid_Data(), Table_Fuel_EFs_StationaryLiquid[[#Headers],[Fuel combusted]],0)</f>
        <v>Aviation turbine fuel / kerosene</v>
      </c>
      <c r="E61" s="182" cm="1">
        <f t="array" ref="E61">Common_InputFunctions.Utility_DisplayArrayInTable(Fuel_SourceData.Fuel_Scope1Scope3EmissionFactorsStationaryLiquid_Data(), Table_Fuel_EFs_StationaryLiquid[[#Headers],[Fuel combusted]],0)</f>
        <v>36.799999999999997</v>
      </c>
      <c r="F61" s="182" t="str" cm="1">
        <f t="array" ref="F61">Common_InputFunctions.Utility_DisplayArrayInTable(Fuel_SourceData.Fuel_Scope1Scope3EmissionFactorsStationaryLiquid_Data(), Table_Fuel_EFs_StationaryLiquid[[#Headers],[Fuel combusted]],0)</f>
        <v>kL</v>
      </c>
      <c r="G61" s="182" cm="1">
        <f t="array" ref="G61">Common_InputFunctions.Utility_DisplayArrayInTable(Fuel_SourceData.Fuel_Scope1Scope3EmissionFactorsStationaryLiquid_Data(), Table_Fuel_EFs_StationaryLiquid[[#Headers],[Fuel combusted]],0)</f>
        <v>69.599999999999994</v>
      </c>
      <c r="H61" s="182" cm="1">
        <f t="array" ref="H61">Common_InputFunctions.Utility_DisplayArrayInTable(Fuel_SourceData.Fuel_Scope1Scope3EmissionFactorsStationaryLiquid_Data(), Table_Fuel_EFs_StationaryLiquid[[#Headers],[Fuel combusted]],0)</f>
        <v>0.02</v>
      </c>
      <c r="I61" s="182" cm="1">
        <f t="array" ref="I61">Common_InputFunctions.Utility_DisplayArrayInTable(Fuel_SourceData.Fuel_Scope1Scope3EmissionFactorsStationaryLiquid_Data(), Table_Fuel_EFs_StationaryLiquid[[#Headers],[Fuel combusted]],0)</f>
        <v>0.2</v>
      </c>
      <c r="J61" s="182" cm="1">
        <f t="array" ref="J61">Common_InputFunctions.Utility_DisplayArrayInTable(Fuel_SourceData.Fuel_Scope1Scope3EmissionFactorsStationaryLiquid_Data(), Table_Fuel_EFs_StationaryLiquid[[#Headers],[Fuel combusted]],0)</f>
        <v>69.819999999999993</v>
      </c>
      <c r="K61" s="182" cm="1">
        <f t="array" ref="K61">Common_InputFunctions.Utility_DisplayArrayInTable(Fuel_SourceData.Fuel_Scope1Scope3EmissionFactorsStationaryLiquid_Data(), Table_Fuel_EFs_StationaryLiquid[[#Headers],[Fuel combusted]],0)</f>
        <v>18</v>
      </c>
      <c r="L61" s="154"/>
    </row>
    <row r="62" spans="1:12" ht="20.100000000000001" customHeight="1" x14ac:dyDescent="0.2">
      <c r="D62" s="182" t="str" cm="1">
        <f t="array" ref="D62">Common_InputFunctions.Utility_DisplayArrayInTable(Fuel_SourceData.Fuel_Scope1Scope3EmissionFactorsStationaryLiquid_Data(), Table_Fuel_EFs_StationaryLiquid[[#Headers],[Fuel combusted]],0)</f>
        <v>Heating oil</v>
      </c>
      <c r="E62" s="182" cm="1">
        <f t="array" ref="E62">Common_InputFunctions.Utility_DisplayArrayInTable(Fuel_SourceData.Fuel_Scope1Scope3EmissionFactorsStationaryLiquid_Data(), Table_Fuel_EFs_StationaryLiquid[[#Headers],[Fuel combusted]],0)</f>
        <v>37.299999999999997</v>
      </c>
      <c r="F62" s="182" t="str" cm="1">
        <f t="array" ref="F62">Common_InputFunctions.Utility_DisplayArrayInTable(Fuel_SourceData.Fuel_Scope1Scope3EmissionFactorsStationaryLiquid_Data(), Table_Fuel_EFs_StationaryLiquid[[#Headers],[Fuel combusted]],0)</f>
        <v>kL</v>
      </c>
      <c r="G62" s="182" cm="1">
        <f t="array" ref="G62">Common_InputFunctions.Utility_DisplayArrayInTable(Fuel_SourceData.Fuel_Scope1Scope3EmissionFactorsStationaryLiquid_Data(), Table_Fuel_EFs_StationaryLiquid[[#Headers],[Fuel combusted]],0)</f>
        <v>69.5</v>
      </c>
      <c r="H62" s="182" cm="1">
        <f t="array" ref="H62">Common_InputFunctions.Utility_DisplayArrayInTable(Fuel_SourceData.Fuel_Scope1Scope3EmissionFactorsStationaryLiquid_Data(), Table_Fuel_EFs_StationaryLiquid[[#Headers],[Fuel combusted]],0)</f>
        <v>0.03</v>
      </c>
      <c r="I62" s="182" cm="1">
        <f t="array" ref="I62">Common_InputFunctions.Utility_DisplayArrayInTable(Fuel_SourceData.Fuel_Scope1Scope3EmissionFactorsStationaryLiquid_Data(), Table_Fuel_EFs_StationaryLiquid[[#Headers],[Fuel combusted]],0)</f>
        <v>0.2</v>
      </c>
      <c r="J62" s="182" cm="1">
        <f t="array" ref="J62">Common_InputFunctions.Utility_DisplayArrayInTable(Fuel_SourceData.Fuel_Scope1Scope3EmissionFactorsStationaryLiquid_Data(), Table_Fuel_EFs_StationaryLiquid[[#Headers],[Fuel combusted]],0)</f>
        <v>69.73</v>
      </c>
      <c r="K62" s="182" cm="1">
        <f t="array" ref="K62">Common_InputFunctions.Utility_DisplayArrayInTable(Fuel_SourceData.Fuel_Scope1Scope3EmissionFactorsStationaryLiquid_Data(), Table_Fuel_EFs_StationaryLiquid[[#Headers],[Fuel combusted]],0)</f>
        <v>18</v>
      </c>
      <c r="L62" s="154"/>
    </row>
    <row r="63" spans="1:12" ht="20.100000000000001" customHeight="1" x14ac:dyDescent="0.2">
      <c r="D63" s="182" t="str" cm="1">
        <f t="array" ref="D63">Common_InputFunctions.Utility_DisplayArrayInTable(Fuel_SourceData.Fuel_Scope1Scope3EmissionFactorsStationaryLiquid_Data(), Table_Fuel_EFs_StationaryLiquid[[#Headers],[Fuel combusted]],0)</f>
        <v>Diesel oil</v>
      </c>
      <c r="E63" s="182" cm="1">
        <f t="array" ref="E63">Common_InputFunctions.Utility_DisplayArrayInTable(Fuel_SourceData.Fuel_Scope1Scope3EmissionFactorsStationaryLiquid_Data(), Table_Fuel_EFs_StationaryLiquid[[#Headers],[Fuel combusted]],0)</f>
        <v>38.6</v>
      </c>
      <c r="F63" s="182" t="str" cm="1">
        <f t="array" ref="F63">Common_InputFunctions.Utility_DisplayArrayInTable(Fuel_SourceData.Fuel_Scope1Scope3EmissionFactorsStationaryLiquid_Data(), Table_Fuel_EFs_StationaryLiquid[[#Headers],[Fuel combusted]],0)</f>
        <v>kL</v>
      </c>
      <c r="G63" s="182" cm="1">
        <f t="array" ref="G63">Common_InputFunctions.Utility_DisplayArrayInTable(Fuel_SourceData.Fuel_Scope1Scope3EmissionFactorsStationaryLiquid_Data(), Table_Fuel_EFs_StationaryLiquid[[#Headers],[Fuel combusted]],0)</f>
        <v>69.900000000000006</v>
      </c>
      <c r="H63" s="182" cm="1">
        <f t="array" ref="H63">Common_InputFunctions.Utility_DisplayArrayInTable(Fuel_SourceData.Fuel_Scope1Scope3EmissionFactorsStationaryLiquid_Data(), Table_Fuel_EFs_StationaryLiquid[[#Headers],[Fuel combusted]],0)</f>
        <v>0.1</v>
      </c>
      <c r="I63" s="182" cm="1">
        <f t="array" ref="I63">Common_InputFunctions.Utility_DisplayArrayInTable(Fuel_SourceData.Fuel_Scope1Scope3EmissionFactorsStationaryLiquid_Data(), Table_Fuel_EFs_StationaryLiquid[[#Headers],[Fuel combusted]],0)</f>
        <v>0.2</v>
      </c>
      <c r="J63" s="182" cm="1">
        <f t="array" ref="J63">Common_InputFunctions.Utility_DisplayArrayInTable(Fuel_SourceData.Fuel_Scope1Scope3EmissionFactorsStationaryLiquid_Data(), Table_Fuel_EFs_StationaryLiquid[[#Headers],[Fuel combusted]],0)</f>
        <v>70.2</v>
      </c>
      <c r="K63" s="182" cm="1">
        <f t="array" ref="K63">Common_InputFunctions.Utility_DisplayArrayInTable(Fuel_SourceData.Fuel_Scope1Scope3EmissionFactorsStationaryLiquid_Data(), Table_Fuel_EFs_StationaryLiquid[[#Headers],[Fuel combusted]],0)</f>
        <v>17.3</v>
      </c>
      <c r="L63" s="154"/>
    </row>
    <row r="64" spans="1:12" ht="20.100000000000001" customHeight="1" x14ac:dyDescent="0.2">
      <c r="D64" s="182" t="str" cm="1">
        <f t="array" ref="D64">Common_InputFunctions.Utility_DisplayArrayInTable(Fuel_SourceData.Fuel_Scope1Scope3EmissionFactorsStationaryLiquid_Data(), Table_Fuel_EFs_StationaryLiquid[[#Headers],[Fuel combusted]],0)</f>
        <v>Fuel oil</v>
      </c>
      <c r="E64" s="182" cm="1">
        <f t="array" ref="E64">Common_InputFunctions.Utility_DisplayArrayInTable(Fuel_SourceData.Fuel_Scope1Scope3EmissionFactorsStationaryLiquid_Data(), Table_Fuel_EFs_StationaryLiquid[[#Headers],[Fuel combusted]],0)</f>
        <v>39.700000000000003</v>
      </c>
      <c r="F64" s="182" t="str" cm="1">
        <f t="array" ref="F64">Common_InputFunctions.Utility_DisplayArrayInTable(Fuel_SourceData.Fuel_Scope1Scope3EmissionFactorsStationaryLiquid_Data(), Table_Fuel_EFs_StationaryLiquid[[#Headers],[Fuel combusted]],0)</f>
        <v>kL</v>
      </c>
      <c r="G64" s="182" cm="1">
        <f t="array" ref="G64">Common_InputFunctions.Utility_DisplayArrayInTable(Fuel_SourceData.Fuel_Scope1Scope3EmissionFactorsStationaryLiquid_Data(), Table_Fuel_EFs_StationaryLiquid[[#Headers],[Fuel combusted]],0)</f>
        <v>73.599999999999994</v>
      </c>
      <c r="H64" s="182" cm="1">
        <f t="array" ref="H64">Common_InputFunctions.Utility_DisplayArrayInTable(Fuel_SourceData.Fuel_Scope1Scope3EmissionFactorsStationaryLiquid_Data(), Table_Fuel_EFs_StationaryLiquid[[#Headers],[Fuel combusted]],0)</f>
        <v>0.04</v>
      </c>
      <c r="I64" s="182" cm="1">
        <f t="array" ref="I64">Common_InputFunctions.Utility_DisplayArrayInTable(Fuel_SourceData.Fuel_Scope1Scope3EmissionFactorsStationaryLiquid_Data(), Table_Fuel_EFs_StationaryLiquid[[#Headers],[Fuel combusted]],0)</f>
        <v>0.2</v>
      </c>
      <c r="J64" s="182" cm="1">
        <f t="array" ref="J64">Common_InputFunctions.Utility_DisplayArrayInTable(Fuel_SourceData.Fuel_Scope1Scope3EmissionFactorsStationaryLiquid_Data(), Table_Fuel_EFs_StationaryLiquid[[#Headers],[Fuel combusted]],0)</f>
        <v>73.84</v>
      </c>
      <c r="K64" s="182" cm="1">
        <f t="array" ref="K64">Common_InputFunctions.Utility_DisplayArrayInTable(Fuel_SourceData.Fuel_Scope1Scope3EmissionFactorsStationaryLiquid_Data(), Table_Fuel_EFs_StationaryLiquid[[#Headers],[Fuel combusted]],0)</f>
        <v>18</v>
      </c>
      <c r="L64" s="154"/>
    </row>
    <row r="65" spans="1:13" ht="20.100000000000001" customHeight="1" x14ac:dyDescent="0.2">
      <c r="D65" s="182" t="str" cm="1">
        <f t="array" ref="D65">Common_InputFunctions.Utility_DisplayArrayInTable(Fuel_SourceData.Fuel_Scope1Scope3EmissionFactorsStationaryLiquid_Data(), Table_Fuel_EFs_StationaryLiquid[[#Headers],[Fuel combusted]],0)</f>
        <v>Liquefied aromatic hydrocarbons</v>
      </c>
      <c r="E65" s="182" cm="1">
        <f t="array" ref="E65">Common_InputFunctions.Utility_DisplayArrayInTable(Fuel_SourceData.Fuel_Scope1Scope3EmissionFactorsStationaryLiquid_Data(), Table_Fuel_EFs_StationaryLiquid[[#Headers],[Fuel combusted]],0)</f>
        <v>34.4</v>
      </c>
      <c r="F65" s="182" t="str" cm="1">
        <f t="array" ref="F65">Common_InputFunctions.Utility_DisplayArrayInTable(Fuel_SourceData.Fuel_Scope1Scope3EmissionFactorsStationaryLiquid_Data(), Table_Fuel_EFs_StationaryLiquid[[#Headers],[Fuel combusted]],0)</f>
        <v>kL</v>
      </c>
      <c r="G65" s="182" cm="1">
        <f t="array" ref="G65">Common_InputFunctions.Utility_DisplayArrayInTable(Fuel_SourceData.Fuel_Scope1Scope3EmissionFactorsStationaryLiquid_Data(), Table_Fuel_EFs_StationaryLiquid[[#Headers],[Fuel combusted]],0)</f>
        <v>69.7</v>
      </c>
      <c r="H65" s="182" cm="1">
        <f t="array" ref="H65">Common_InputFunctions.Utility_DisplayArrayInTable(Fuel_SourceData.Fuel_Scope1Scope3EmissionFactorsStationaryLiquid_Data(), Table_Fuel_EFs_StationaryLiquid[[#Headers],[Fuel combusted]],0)</f>
        <v>0.03</v>
      </c>
      <c r="I65" s="182" cm="1">
        <f t="array" ref="I65">Common_InputFunctions.Utility_DisplayArrayInTable(Fuel_SourceData.Fuel_Scope1Scope3EmissionFactorsStationaryLiquid_Data(), Table_Fuel_EFs_StationaryLiquid[[#Headers],[Fuel combusted]],0)</f>
        <v>0.2</v>
      </c>
      <c r="J65" s="182" cm="1">
        <f t="array" ref="J65">Common_InputFunctions.Utility_DisplayArrayInTable(Fuel_SourceData.Fuel_Scope1Scope3EmissionFactorsStationaryLiquid_Data(), Table_Fuel_EFs_StationaryLiquid[[#Headers],[Fuel combusted]],0)</f>
        <v>69.930000000000007</v>
      </c>
      <c r="K65" s="182" cm="1">
        <f t="array" ref="K65">Common_InputFunctions.Utility_DisplayArrayInTable(Fuel_SourceData.Fuel_Scope1Scope3EmissionFactorsStationaryLiquid_Data(), Table_Fuel_EFs_StationaryLiquid[[#Headers],[Fuel combusted]],0)</f>
        <v>18</v>
      </c>
      <c r="L65" s="154"/>
    </row>
    <row r="66" spans="1:13" ht="20.100000000000001" customHeight="1" x14ac:dyDescent="0.2">
      <c r="D66" s="182" t="str" cm="1">
        <f t="array" ref="D66">Common_InputFunctions.Utility_DisplayArrayInTable(Fuel_SourceData.Fuel_Scope1Scope3EmissionFactorsStationaryLiquid_Data(), Table_Fuel_EFs_StationaryLiquid[[#Headers],[Fuel combusted]],0)</f>
        <v>Solvents: mineral turpentine or white spirits</v>
      </c>
      <c r="E66" s="182" cm="1">
        <f t="array" ref="E66">Common_InputFunctions.Utility_DisplayArrayInTable(Fuel_SourceData.Fuel_Scope1Scope3EmissionFactorsStationaryLiquid_Data(), Table_Fuel_EFs_StationaryLiquid[[#Headers],[Fuel combusted]],0)</f>
        <v>34.4</v>
      </c>
      <c r="F66" s="182" t="str" cm="1">
        <f t="array" ref="F66">Common_InputFunctions.Utility_DisplayArrayInTable(Fuel_SourceData.Fuel_Scope1Scope3EmissionFactorsStationaryLiquid_Data(), Table_Fuel_EFs_StationaryLiquid[[#Headers],[Fuel combusted]],0)</f>
        <v>kL</v>
      </c>
      <c r="G66" s="182" cm="1">
        <f t="array" ref="G66">Common_InputFunctions.Utility_DisplayArrayInTable(Fuel_SourceData.Fuel_Scope1Scope3EmissionFactorsStationaryLiquid_Data(), Table_Fuel_EFs_StationaryLiquid[[#Headers],[Fuel combusted]],0)</f>
        <v>69.7</v>
      </c>
      <c r="H66" s="182" cm="1">
        <f t="array" ref="H66">Common_InputFunctions.Utility_DisplayArrayInTable(Fuel_SourceData.Fuel_Scope1Scope3EmissionFactorsStationaryLiquid_Data(), Table_Fuel_EFs_StationaryLiquid[[#Headers],[Fuel combusted]],0)</f>
        <v>0.03</v>
      </c>
      <c r="I66" s="182" cm="1">
        <f t="array" ref="I66">Common_InputFunctions.Utility_DisplayArrayInTable(Fuel_SourceData.Fuel_Scope1Scope3EmissionFactorsStationaryLiquid_Data(), Table_Fuel_EFs_StationaryLiquid[[#Headers],[Fuel combusted]],0)</f>
        <v>0.2</v>
      </c>
      <c r="J66" s="182" cm="1">
        <f t="array" ref="J66">Common_InputFunctions.Utility_DisplayArrayInTable(Fuel_SourceData.Fuel_Scope1Scope3EmissionFactorsStationaryLiquid_Data(), Table_Fuel_EFs_StationaryLiquid[[#Headers],[Fuel combusted]],0)</f>
        <v>69.930000000000007</v>
      </c>
      <c r="K66" s="182" cm="1">
        <f t="array" ref="K66">Common_InputFunctions.Utility_DisplayArrayInTable(Fuel_SourceData.Fuel_Scope1Scope3EmissionFactorsStationaryLiquid_Data(), Table_Fuel_EFs_StationaryLiquid[[#Headers],[Fuel combusted]],0)</f>
        <v>18</v>
      </c>
      <c r="L66" s="154"/>
    </row>
    <row r="67" spans="1:13" ht="20.100000000000001" customHeight="1" x14ac:dyDescent="0.2">
      <c r="D67" s="182" t="str" cm="1">
        <f t="array" ref="D67">Common_InputFunctions.Utility_DisplayArrayInTable(Fuel_SourceData.Fuel_Scope1Scope3EmissionFactorsStationaryLiquid_Data(), Table_Fuel_EFs_StationaryLiquid[[#Headers],[Fuel combusted]],0)</f>
        <v>Liquefied petroleum gas (LPG)</v>
      </c>
      <c r="E67" s="182" cm="1">
        <f t="array" ref="E67">Common_InputFunctions.Utility_DisplayArrayInTable(Fuel_SourceData.Fuel_Scope1Scope3EmissionFactorsStationaryLiquid_Data(), Table_Fuel_EFs_StationaryLiquid[[#Headers],[Fuel combusted]],0)</f>
        <v>25.7</v>
      </c>
      <c r="F67" s="182" t="str" cm="1">
        <f t="array" ref="F67">Common_InputFunctions.Utility_DisplayArrayInTable(Fuel_SourceData.Fuel_Scope1Scope3EmissionFactorsStationaryLiquid_Data(), Table_Fuel_EFs_StationaryLiquid[[#Headers],[Fuel combusted]],0)</f>
        <v>kL</v>
      </c>
      <c r="G67" s="182" cm="1">
        <f t="array" ref="G67">Common_InputFunctions.Utility_DisplayArrayInTable(Fuel_SourceData.Fuel_Scope1Scope3EmissionFactorsStationaryLiquid_Data(), Table_Fuel_EFs_StationaryLiquid[[#Headers],[Fuel combusted]],0)</f>
        <v>60.2</v>
      </c>
      <c r="H67" s="182" cm="1">
        <f t="array" ref="H67">Common_InputFunctions.Utility_DisplayArrayInTable(Fuel_SourceData.Fuel_Scope1Scope3EmissionFactorsStationaryLiquid_Data(), Table_Fuel_EFs_StationaryLiquid[[#Headers],[Fuel combusted]],0)</f>
        <v>0.2</v>
      </c>
      <c r="I67" s="182" cm="1">
        <f t="array" ref="I67">Common_InputFunctions.Utility_DisplayArrayInTable(Fuel_SourceData.Fuel_Scope1Scope3EmissionFactorsStationaryLiquid_Data(), Table_Fuel_EFs_StationaryLiquid[[#Headers],[Fuel combusted]],0)</f>
        <v>0.2</v>
      </c>
      <c r="J67" s="182" cm="1">
        <f t="array" ref="J67">Common_InputFunctions.Utility_DisplayArrayInTable(Fuel_SourceData.Fuel_Scope1Scope3EmissionFactorsStationaryLiquid_Data(), Table_Fuel_EFs_StationaryLiquid[[#Headers],[Fuel combusted]],0)</f>
        <v>60.6</v>
      </c>
      <c r="K67" s="182" cm="1">
        <f t="array" ref="K67">Common_InputFunctions.Utility_DisplayArrayInTable(Fuel_SourceData.Fuel_Scope1Scope3EmissionFactorsStationaryLiquid_Data(), Table_Fuel_EFs_StationaryLiquid[[#Headers],[Fuel combusted]],0)</f>
        <v>20.2</v>
      </c>
      <c r="L67" s="154"/>
    </row>
    <row r="68" spans="1:13" ht="20.100000000000001" customHeight="1" x14ac:dyDescent="0.2">
      <c r="A68" s="79" t="str">
        <f>HYPERLINK("#A1", "▲ Back to top")</f>
        <v>▲ Back to top</v>
      </c>
      <c r="D68" s="182" t="str" cm="1">
        <f t="array" ref="D68">Common_InputFunctions.Utility_DisplayArrayInTable(Fuel_SourceData.Fuel_Scope1Scope3EmissionFactorsStationaryLiquid_Data(), Table_Fuel_EFs_StationaryLiquid[[#Headers],[Fuel combusted]],0)</f>
        <v>Naphtha</v>
      </c>
      <c r="E68" s="182" cm="1">
        <f t="array" ref="E68">Common_InputFunctions.Utility_DisplayArrayInTable(Fuel_SourceData.Fuel_Scope1Scope3EmissionFactorsStationaryLiquid_Data(), Table_Fuel_EFs_StationaryLiquid[[#Headers],[Fuel combusted]],0)</f>
        <v>31.4</v>
      </c>
      <c r="F68" s="182" t="str" cm="1">
        <f t="array" ref="F68">Common_InputFunctions.Utility_DisplayArrayInTable(Fuel_SourceData.Fuel_Scope1Scope3EmissionFactorsStationaryLiquid_Data(), Table_Fuel_EFs_StationaryLiquid[[#Headers],[Fuel combusted]],0)</f>
        <v>kL</v>
      </c>
      <c r="G68" s="182" cm="1">
        <f t="array" ref="G68">Common_InputFunctions.Utility_DisplayArrayInTable(Fuel_SourceData.Fuel_Scope1Scope3EmissionFactorsStationaryLiquid_Data(), Table_Fuel_EFs_StationaryLiquid[[#Headers],[Fuel combusted]],0)</f>
        <v>69.8</v>
      </c>
      <c r="H68" s="182" cm="1">
        <f t="array" ref="H68">Common_InputFunctions.Utility_DisplayArrayInTable(Fuel_SourceData.Fuel_Scope1Scope3EmissionFactorsStationaryLiquid_Data(), Table_Fuel_EFs_StationaryLiquid[[#Headers],[Fuel combusted]],0)</f>
        <v>0.01</v>
      </c>
      <c r="I68" s="182" cm="1">
        <f t="array" ref="I68">Common_InputFunctions.Utility_DisplayArrayInTable(Fuel_SourceData.Fuel_Scope1Scope3EmissionFactorsStationaryLiquid_Data(), Table_Fuel_EFs_StationaryLiquid[[#Headers],[Fuel combusted]],0)</f>
        <v>0.01</v>
      </c>
      <c r="J68" s="182" cm="1">
        <f t="array" ref="J68">Common_InputFunctions.Utility_DisplayArrayInTable(Fuel_SourceData.Fuel_Scope1Scope3EmissionFactorsStationaryLiquid_Data(), Table_Fuel_EFs_StationaryLiquid[[#Headers],[Fuel combusted]],0)</f>
        <v>69.819999999999993</v>
      </c>
      <c r="K68" s="182" cm="1">
        <f t="array" ref="K68">Common_InputFunctions.Utility_DisplayArrayInTable(Fuel_SourceData.Fuel_Scope1Scope3EmissionFactorsStationaryLiquid_Data(), Table_Fuel_EFs_StationaryLiquid[[#Headers],[Fuel combusted]],0)</f>
        <v>18</v>
      </c>
      <c r="L68" s="154"/>
    </row>
    <row r="69" spans="1:13" ht="20.100000000000001" customHeight="1" x14ac:dyDescent="0.2">
      <c r="D69" s="182" t="str" cm="1">
        <f t="array" ref="D69">Common_InputFunctions.Utility_DisplayArrayInTable(Fuel_SourceData.Fuel_Scope1Scope3EmissionFactorsStationaryLiquid_Data(), Table_Fuel_EFs_StationaryLiquid[[#Headers],[Fuel combusted]],0)</f>
        <v>Petroleum coke</v>
      </c>
      <c r="E69" s="182" cm="1">
        <f t="array" ref="E69">Common_InputFunctions.Utility_DisplayArrayInTable(Fuel_SourceData.Fuel_Scope1Scope3EmissionFactorsStationaryLiquid_Data(), Table_Fuel_EFs_StationaryLiquid[[#Headers],[Fuel combusted]],0)</f>
        <v>34.200000000000003</v>
      </c>
      <c r="F69" s="182" t="str" cm="1">
        <f t="array" ref="F69">Common_InputFunctions.Utility_DisplayArrayInTable(Fuel_SourceData.Fuel_Scope1Scope3EmissionFactorsStationaryLiquid_Data(), Table_Fuel_EFs_StationaryLiquid[[#Headers],[Fuel combusted]],0)</f>
        <v>t</v>
      </c>
      <c r="G69" s="182" cm="1">
        <f t="array" ref="G69">Common_InputFunctions.Utility_DisplayArrayInTable(Fuel_SourceData.Fuel_Scope1Scope3EmissionFactorsStationaryLiquid_Data(), Table_Fuel_EFs_StationaryLiquid[[#Headers],[Fuel combusted]],0)</f>
        <v>92.6</v>
      </c>
      <c r="H69" s="182" cm="1">
        <f t="array" ref="H69">Common_InputFunctions.Utility_DisplayArrayInTable(Fuel_SourceData.Fuel_Scope1Scope3EmissionFactorsStationaryLiquid_Data(), Table_Fuel_EFs_StationaryLiquid[[#Headers],[Fuel combusted]],0)</f>
        <v>0.08</v>
      </c>
      <c r="I69" s="182" cm="1">
        <f t="array" ref="I69">Common_InputFunctions.Utility_DisplayArrayInTable(Fuel_SourceData.Fuel_Scope1Scope3EmissionFactorsStationaryLiquid_Data(), Table_Fuel_EFs_StationaryLiquid[[#Headers],[Fuel combusted]],0)</f>
        <v>0.2</v>
      </c>
      <c r="J69" s="182" cm="1">
        <f t="array" ref="J69">Common_InputFunctions.Utility_DisplayArrayInTable(Fuel_SourceData.Fuel_Scope1Scope3EmissionFactorsStationaryLiquid_Data(), Table_Fuel_EFs_StationaryLiquid[[#Headers],[Fuel combusted]],0)</f>
        <v>92.88</v>
      </c>
      <c r="K69" s="182" cm="1">
        <f t="array" ref="K69">Common_InputFunctions.Utility_DisplayArrayInTable(Fuel_SourceData.Fuel_Scope1Scope3EmissionFactorsStationaryLiquid_Data(), Table_Fuel_EFs_StationaryLiquid[[#Headers],[Fuel combusted]],0)</f>
        <v>18</v>
      </c>
      <c r="L69" s="154"/>
    </row>
    <row r="70" spans="1:13" ht="20.100000000000001" customHeight="1" x14ac:dyDescent="0.2">
      <c r="D70" s="182" t="str" cm="1">
        <f t="array" ref="D70">Common_InputFunctions.Utility_DisplayArrayInTable(Fuel_SourceData.Fuel_Scope1Scope3EmissionFactorsStationaryLiquid_Data(), Table_Fuel_EFs_StationaryLiquid[[#Headers],[Fuel combusted]],0)</f>
        <v>Refinery gas and liquids</v>
      </c>
      <c r="E70" s="182" cm="1">
        <f t="array" ref="E70">Common_InputFunctions.Utility_DisplayArrayInTable(Fuel_SourceData.Fuel_Scope1Scope3EmissionFactorsStationaryLiquid_Data(), Table_Fuel_EFs_StationaryLiquid[[#Headers],[Fuel combusted]],0)</f>
        <v>42.9</v>
      </c>
      <c r="F70" s="182" t="str" cm="1">
        <f t="array" ref="F70">Common_InputFunctions.Utility_DisplayArrayInTable(Fuel_SourceData.Fuel_Scope1Scope3EmissionFactorsStationaryLiquid_Data(), Table_Fuel_EFs_StationaryLiquid[[#Headers],[Fuel combusted]],0)</f>
        <v>t</v>
      </c>
      <c r="G70" s="182" cm="1">
        <f t="array" ref="G70">Common_InputFunctions.Utility_DisplayArrayInTable(Fuel_SourceData.Fuel_Scope1Scope3EmissionFactorsStationaryLiquid_Data(), Table_Fuel_EFs_StationaryLiquid[[#Headers],[Fuel combusted]],0)</f>
        <v>54.7</v>
      </c>
      <c r="H70" s="182" cm="1">
        <f t="array" ref="H70">Common_InputFunctions.Utility_DisplayArrayInTable(Fuel_SourceData.Fuel_Scope1Scope3EmissionFactorsStationaryLiquid_Data(), Table_Fuel_EFs_StationaryLiquid[[#Headers],[Fuel combusted]],0)</f>
        <v>0.03</v>
      </c>
      <c r="I70" s="182" cm="1">
        <f t="array" ref="I70">Common_InputFunctions.Utility_DisplayArrayInTable(Fuel_SourceData.Fuel_Scope1Scope3EmissionFactorsStationaryLiquid_Data(), Table_Fuel_EFs_StationaryLiquid[[#Headers],[Fuel combusted]],0)</f>
        <v>0.03</v>
      </c>
      <c r="J70" s="182" cm="1">
        <f t="array" ref="J70">Common_InputFunctions.Utility_DisplayArrayInTable(Fuel_SourceData.Fuel_Scope1Scope3EmissionFactorsStationaryLiquid_Data(), Table_Fuel_EFs_StationaryLiquid[[#Headers],[Fuel combusted]],0)</f>
        <v>54.76</v>
      </c>
      <c r="K70" s="182" cm="1">
        <f t="array" ref="K70">Common_InputFunctions.Utility_DisplayArrayInTable(Fuel_SourceData.Fuel_Scope1Scope3EmissionFactorsStationaryLiquid_Data(), Table_Fuel_EFs_StationaryLiquid[[#Headers],[Fuel combusted]],0)</f>
        <v>18</v>
      </c>
      <c r="L70" s="154"/>
    </row>
    <row r="71" spans="1:13" ht="20.100000000000001" customHeight="1" x14ac:dyDescent="0.2">
      <c r="D71" s="182" t="str" cm="1">
        <f t="array" ref="D71">Common_InputFunctions.Utility_DisplayArrayInTable(Fuel_SourceData.Fuel_Scope1Scope3EmissionFactorsStationaryLiquid_Data(), Table_Fuel_EFs_StationaryLiquid[[#Headers],[Fuel combusted]],0)</f>
        <v>Refinery coke</v>
      </c>
      <c r="E71" s="182" cm="1">
        <f t="array" ref="E71">Common_InputFunctions.Utility_DisplayArrayInTable(Fuel_SourceData.Fuel_Scope1Scope3EmissionFactorsStationaryLiquid_Data(), Table_Fuel_EFs_StationaryLiquid[[#Headers],[Fuel combusted]],0)</f>
        <v>34.200000000000003</v>
      </c>
      <c r="F71" s="182" t="str" cm="1">
        <f t="array" ref="F71">Common_InputFunctions.Utility_DisplayArrayInTable(Fuel_SourceData.Fuel_Scope1Scope3EmissionFactorsStationaryLiquid_Data(), Table_Fuel_EFs_StationaryLiquid[[#Headers],[Fuel combusted]],0)</f>
        <v>t</v>
      </c>
      <c r="G71" s="182" cm="1">
        <f t="array" ref="G71">Common_InputFunctions.Utility_DisplayArrayInTable(Fuel_SourceData.Fuel_Scope1Scope3EmissionFactorsStationaryLiquid_Data(), Table_Fuel_EFs_StationaryLiquid[[#Headers],[Fuel combusted]],0)</f>
        <v>92.6</v>
      </c>
      <c r="H71" s="182" cm="1">
        <f t="array" ref="H71">Common_InputFunctions.Utility_DisplayArrayInTable(Fuel_SourceData.Fuel_Scope1Scope3EmissionFactorsStationaryLiquid_Data(), Table_Fuel_EFs_StationaryLiquid[[#Headers],[Fuel combusted]],0)</f>
        <v>0.08</v>
      </c>
      <c r="I71" s="182" cm="1">
        <f t="array" ref="I71">Common_InputFunctions.Utility_DisplayArrayInTable(Fuel_SourceData.Fuel_Scope1Scope3EmissionFactorsStationaryLiquid_Data(), Table_Fuel_EFs_StationaryLiquid[[#Headers],[Fuel combusted]],0)</f>
        <v>0.2</v>
      </c>
      <c r="J71" s="182" cm="1">
        <f t="array" ref="J71">Common_InputFunctions.Utility_DisplayArrayInTable(Fuel_SourceData.Fuel_Scope1Scope3EmissionFactorsStationaryLiquid_Data(), Table_Fuel_EFs_StationaryLiquid[[#Headers],[Fuel combusted]],0)</f>
        <v>92.88</v>
      </c>
      <c r="K71" s="182" cm="1">
        <f t="array" ref="K71">Common_InputFunctions.Utility_DisplayArrayInTable(Fuel_SourceData.Fuel_Scope1Scope3EmissionFactorsStationaryLiquid_Data(), Table_Fuel_EFs_StationaryLiquid[[#Headers],[Fuel combusted]],0)</f>
        <v>18</v>
      </c>
      <c r="L71" s="154"/>
    </row>
    <row r="72" spans="1:13" ht="20.100000000000001" customHeight="1" x14ac:dyDescent="0.2">
      <c r="D72" s="182" t="str" cm="1">
        <f t="array" ref="D72">Common_InputFunctions.Utility_DisplayArrayInTable(Fuel_SourceData.Fuel_Scope1Scope3EmissionFactorsStationaryLiquid_Data(), Table_Fuel_EFs_StationaryLiquid[[#Headers],[Fuel combusted]],0)</f>
        <v>Petroleum based products other than mentioned in the items above</v>
      </c>
      <c r="E72" s="182" cm="1">
        <f t="array" ref="E72">Common_InputFunctions.Utility_DisplayArrayInTable(Fuel_SourceData.Fuel_Scope1Scope3EmissionFactorsStationaryLiquid_Data(), Table_Fuel_EFs_StationaryLiquid[[#Headers],[Fuel combusted]],0)</f>
        <v>34.4</v>
      </c>
      <c r="F72" s="182" t="str" cm="1">
        <f t="array" ref="F72">Common_InputFunctions.Utility_DisplayArrayInTable(Fuel_SourceData.Fuel_Scope1Scope3EmissionFactorsStationaryLiquid_Data(), Table_Fuel_EFs_StationaryLiquid[[#Headers],[Fuel combusted]],0)</f>
        <v>kL</v>
      </c>
      <c r="G72" s="182" cm="1">
        <f t="array" ref="G72">Common_InputFunctions.Utility_DisplayArrayInTable(Fuel_SourceData.Fuel_Scope1Scope3EmissionFactorsStationaryLiquid_Data(), Table_Fuel_EFs_StationaryLiquid[[#Headers],[Fuel combusted]],0)</f>
        <v>69.8</v>
      </c>
      <c r="H72" s="182" cm="1">
        <f t="array" ref="H72">Common_InputFunctions.Utility_DisplayArrayInTable(Fuel_SourceData.Fuel_Scope1Scope3EmissionFactorsStationaryLiquid_Data(), Table_Fuel_EFs_StationaryLiquid[[#Headers],[Fuel combusted]],0)</f>
        <v>0.02</v>
      </c>
      <c r="I72" s="182" cm="1">
        <f t="array" ref="I72">Common_InputFunctions.Utility_DisplayArrayInTable(Fuel_SourceData.Fuel_Scope1Scope3EmissionFactorsStationaryLiquid_Data(), Table_Fuel_EFs_StationaryLiquid[[#Headers],[Fuel combusted]],0)</f>
        <v>0.1</v>
      </c>
      <c r="J72" s="182" cm="1">
        <f t="array" ref="J72">Common_InputFunctions.Utility_DisplayArrayInTable(Fuel_SourceData.Fuel_Scope1Scope3EmissionFactorsStationaryLiquid_Data(), Table_Fuel_EFs_StationaryLiquid[[#Headers],[Fuel combusted]],0)</f>
        <v>69.92</v>
      </c>
      <c r="K72" s="182" cm="1">
        <f t="array" ref="K72">Common_InputFunctions.Utility_DisplayArrayInTable(Fuel_SourceData.Fuel_Scope1Scope3EmissionFactorsStationaryLiquid_Data(), Table_Fuel_EFs_StationaryLiquid[[#Headers],[Fuel combusted]],0)</f>
        <v>18</v>
      </c>
      <c r="L72" s="154"/>
    </row>
    <row r="73" spans="1:13" ht="20.100000000000001" customHeight="1" x14ac:dyDescent="0.2">
      <c r="D73" s="182" t="str" cm="1">
        <f t="array" ref="D73">Common_InputFunctions.Utility_DisplayArrayInTable(Fuel_SourceData.Fuel_Scope1Scope3EmissionFactorsStationaryLiquid_Data(), Table_Fuel_EFs_StationaryLiquid[[#Headers],[Fuel combusted]],0)</f>
        <v>Biodiesel</v>
      </c>
      <c r="E73" s="182" cm="1">
        <f t="array" ref="E73">Common_InputFunctions.Utility_DisplayArrayInTable(Fuel_SourceData.Fuel_Scope1Scope3EmissionFactorsStationaryLiquid_Data(), Table_Fuel_EFs_StationaryLiquid[[#Headers],[Fuel combusted]],0)</f>
        <v>34.6</v>
      </c>
      <c r="F73" s="182" t="str" cm="1">
        <f t="array" ref="F73">Common_InputFunctions.Utility_DisplayArrayInTable(Fuel_SourceData.Fuel_Scope1Scope3EmissionFactorsStationaryLiquid_Data(), Table_Fuel_EFs_StationaryLiquid[[#Headers],[Fuel combusted]],0)</f>
        <v>kL</v>
      </c>
      <c r="G73" s="182" cm="1">
        <f t="array" ref="G73">Common_InputFunctions.Utility_DisplayArrayInTable(Fuel_SourceData.Fuel_Scope1Scope3EmissionFactorsStationaryLiquid_Data(), Table_Fuel_EFs_StationaryLiquid[[#Headers],[Fuel combusted]],0)</f>
        <v>0</v>
      </c>
      <c r="H73" s="182" cm="1">
        <f t="array" ref="H73">Common_InputFunctions.Utility_DisplayArrayInTable(Fuel_SourceData.Fuel_Scope1Scope3EmissionFactorsStationaryLiquid_Data(), Table_Fuel_EFs_StationaryLiquid[[#Headers],[Fuel combusted]],0)</f>
        <v>0.08</v>
      </c>
      <c r="I73" s="182" cm="1">
        <f t="array" ref="I73">Common_InputFunctions.Utility_DisplayArrayInTable(Fuel_SourceData.Fuel_Scope1Scope3EmissionFactorsStationaryLiquid_Data(), Table_Fuel_EFs_StationaryLiquid[[#Headers],[Fuel combusted]],0)</f>
        <v>0.2</v>
      </c>
      <c r="J73" s="182" cm="1">
        <f t="array" ref="J73">Common_InputFunctions.Utility_DisplayArrayInTable(Fuel_SourceData.Fuel_Scope1Scope3EmissionFactorsStationaryLiquid_Data(), Table_Fuel_EFs_StationaryLiquid[[#Headers],[Fuel combusted]],0)</f>
        <v>0.28000000000000003</v>
      </c>
      <c r="K73" s="182" t="str" cm="1">
        <f t="array" ref="K73">Common_InputFunctions.Utility_DisplayArrayInTable(Fuel_SourceData.Fuel_Scope1Scope3EmissionFactorsStationaryLiquid_Data(), Table_Fuel_EFs_StationaryLiquid[[#Headers],[Fuel combusted]],0)</f>
        <v>NE</v>
      </c>
      <c r="L73" s="154"/>
    </row>
    <row r="74" spans="1:13" ht="20.100000000000001" customHeight="1" x14ac:dyDescent="0.2">
      <c r="D74" s="182" t="str" cm="1">
        <f t="array" ref="D74">Common_InputFunctions.Utility_DisplayArrayInTable(Fuel_SourceData.Fuel_Scope1Scope3EmissionFactorsStationaryLiquid_Data(), Table_Fuel_EFs_StationaryLiquid[[#Headers],[Fuel combusted]],0)</f>
        <v>Ethanol for use as a fuel in an internal combustion engine</v>
      </c>
      <c r="E74" s="182" cm="1">
        <f t="array" ref="E74">Common_InputFunctions.Utility_DisplayArrayInTable(Fuel_SourceData.Fuel_Scope1Scope3EmissionFactorsStationaryLiquid_Data(), Table_Fuel_EFs_StationaryLiquid[[#Headers],[Fuel combusted]],0)</f>
        <v>23.4</v>
      </c>
      <c r="F74" s="182" t="str" cm="1">
        <f t="array" ref="F74">Common_InputFunctions.Utility_DisplayArrayInTable(Fuel_SourceData.Fuel_Scope1Scope3EmissionFactorsStationaryLiquid_Data(), Table_Fuel_EFs_StationaryLiquid[[#Headers],[Fuel combusted]],0)</f>
        <v>kL</v>
      </c>
      <c r="G74" s="182" cm="1">
        <f t="array" ref="G74">Common_InputFunctions.Utility_DisplayArrayInTable(Fuel_SourceData.Fuel_Scope1Scope3EmissionFactorsStationaryLiquid_Data(), Table_Fuel_EFs_StationaryLiquid[[#Headers],[Fuel combusted]],0)</f>
        <v>0</v>
      </c>
      <c r="H74" s="182" cm="1">
        <f t="array" ref="H74">Common_InputFunctions.Utility_DisplayArrayInTable(Fuel_SourceData.Fuel_Scope1Scope3EmissionFactorsStationaryLiquid_Data(), Table_Fuel_EFs_StationaryLiquid[[#Headers],[Fuel combusted]],0)</f>
        <v>0.08</v>
      </c>
      <c r="I74" s="182" cm="1">
        <f t="array" ref="I74">Common_InputFunctions.Utility_DisplayArrayInTable(Fuel_SourceData.Fuel_Scope1Scope3EmissionFactorsStationaryLiquid_Data(), Table_Fuel_EFs_StationaryLiquid[[#Headers],[Fuel combusted]],0)</f>
        <v>0.2</v>
      </c>
      <c r="J74" s="182" cm="1">
        <f t="array" ref="J74">Common_InputFunctions.Utility_DisplayArrayInTable(Fuel_SourceData.Fuel_Scope1Scope3EmissionFactorsStationaryLiquid_Data(), Table_Fuel_EFs_StationaryLiquid[[#Headers],[Fuel combusted]],0)</f>
        <v>0.28000000000000003</v>
      </c>
      <c r="K74" s="182" t="str" cm="1">
        <f t="array" ref="K74">Common_InputFunctions.Utility_DisplayArrayInTable(Fuel_SourceData.Fuel_Scope1Scope3EmissionFactorsStationaryLiquid_Data(), Table_Fuel_EFs_StationaryLiquid[[#Headers],[Fuel combusted]],0)</f>
        <v>NE</v>
      </c>
      <c r="L74" s="154"/>
    </row>
    <row r="75" spans="1:13" ht="20.100000000000001" customHeight="1" x14ac:dyDescent="0.2">
      <c r="D75" s="182" t="str" cm="1">
        <f t="array" ref="D75">Common_InputFunctions.Utility_DisplayArrayInTable(Fuel_SourceData.Fuel_Scope1Scope3EmissionFactorsStationaryLiquid_Data(), Table_Fuel_EFs_StationaryLiquid[[#Headers],[Fuel combusted]],0)</f>
        <v>Biofuels other than those mentioned in the items above and below</v>
      </c>
      <c r="E75" s="182" cm="1">
        <f t="array" ref="E75">Common_InputFunctions.Utility_DisplayArrayInTable(Fuel_SourceData.Fuel_Scope1Scope3EmissionFactorsStationaryLiquid_Data(), Table_Fuel_EFs_StationaryLiquid[[#Headers],[Fuel combusted]],0)</f>
        <v>23.4</v>
      </c>
      <c r="F75" s="182" t="str" cm="1">
        <f t="array" ref="F75">Common_InputFunctions.Utility_DisplayArrayInTable(Fuel_SourceData.Fuel_Scope1Scope3EmissionFactorsStationaryLiquid_Data(), Table_Fuel_EFs_StationaryLiquid[[#Headers],[Fuel combusted]],0)</f>
        <v>kL</v>
      </c>
      <c r="G75" s="182" cm="1">
        <f t="array" ref="G75">Common_InputFunctions.Utility_DisplayArrayInTable(Fuel_SourceData.Fuel_Scope1Scope3EmissionFactorsStationaryLiquid_Data(), Table_Fuel_EFs_StationaryLiquid[[#Headers],[Fuel combusted]],0)</f>
        <v>0</v>
      </c>
      <c r="H75" s="182" cm="1">
        <f t="array" ref="H75">Common_InputFunctions.Utility_DisplayArrayInTable(Fuel_SourceData.Fuel_Scope1Scope3EmissionFactorsStationaryLiquid_Data(), Table_Fuel_EFs_StationaryLiquid[[#Headers],[Fuel combusted]],0)</f>
        <v>0.08</v>
      </c>
      <c r="I75" s="182" cm="1">
        <f t="array" ref="I75">Common_InputFunctions.Utility_DisplayArrayInTable(Fuel_SourceData.Fuel_Scope1Scope3EmissionFactorsStationaryLiquid_Data(), Table_Fuel_EFs_StationaryLiquid[[#Headers],[Fuel combusted]],0)</f>
        <v>0.2</v>
      </c>
      <c r="J75" s="182" cm="1">
        <f t="array" ref="J75">Common_InputFunctions.Utility_DisplayArrayInTable(Fuel_SourceData.Fuel_Scope1Scope3EmissionFactorsStationaryLiquid_Data(), Table_Fuel_EFs_StationaryLiquid[[#Headers],[Fuel combusted]],0)</f>
        <v>0.28000000000000003</v>
      </c>
      <c r="K75" s="182" t="str" cm="1">
        <f t="array" ref="K75">Common_InputFunctions.Utility_DisplayArrayInTable(Fuel_SourceData.Fuel_Scope1Scope3EmissionFactorsStationaryLiquid_Data(), Table_Fuel_EFs_StationaryLiquid[[#Headers],[Fuel combusted]],0)</f>
        <v>NE</v>
      </c>
      <c r="L75" s="154"/>
    </row>
    <row r="76" spans="1:13" ht="20.100000000000001" customHeight="1" x14ac:dyDescent="0.2">
      <c r="D76" s="182" t="str" cm="1">
        <f t="array" ref="D76">Common_InputFunctions.Utility_DisplayArrayInTable(Fuel_SourceData.Fuel_Scope1Scope3EmissionFactorsStationaryLiquid_Data(), Table_Fuel_EFs_StationaryLiquid[[#Headers],[Fuel combusted]],0)</f>
        <v>Renewable aviation kerosene</v>
      </c>
      <c r="E76" s="182" cm="1">
        <f t="array" ref="E76">Common_InputFunctions.Utility_DisplayArrayInTable(Fuel_SourceData.Fuel_Scope1Scope3EmissionFactorsStationaryLiquid_Data(), Table_Fuel_EFs_StationaryLiquid[[#Headers],[Fuel combusted]],0)</f>
        <v>36.799999999999997</v>
      </c>
      <c r="F76" s="182" t="str" cm="1">
        <f t="array" ref="F76">Common_InputFunctions.Utility_DisplayArrayInTable(Fuel_SourceData.Fuel_Scope1Scope3EmissionFactorsStationaryLiquid_Data(), Table_Fuel_EFs_StationaryLiquid[[#Headers],[Fuel combusted]],0)</f>
        <v>kL</v>
      </c>
      <c r="G76" s="182" cm="1">
        <f t="array" ref="G76">Common_InputFunctions.Utility_DisplayArrayInTable(Fuel_SourceData.Fuel_Scope1Scope3EmissionFactorsStationaryLiquid_Data(), Table_Fuel_EFs_StationaryLiquid[[#Headers],[Fuel combusted]],0)</f>
        <v>0</v>
      </c>
      <c r="H76" s="182" cm="1">
        <f t="array" ref="H76">Common_InputFunctions.Utility_DisplayArrayInTable(Fuel_SourceData.Fuel_Scope1Scope3EmissionFactorsStationaryLiquid_Data(), Table_Fuel_EFs_StationaryLiquid[[#Headers],[Fuel combusted]],0)</f>
        <v>0.02</v>
      </c>
      <c r="I76" s="182" cm="1">
        <f t="array" ref="I76">Common_InputFunctions.Utility_DisplayArrayInTable(Fuel_SourceData.Fuel_Scope1Scope3EmissionFactorsStationaryLiquid_Data(), Table_Fuel_EFs_StationaryLiquid[[#Headers],[Fuel combusted]],0)</f>
        <v>0.2</v>
      </c>
      <c r="J76" s="182" cm="1">
        <f t="array" ref="J76">Common_InputFunctions.Utility_DisplayArrayInTable(Fuel_SourceData.Fuel_Scope1Scope3EmissionFactorsStationaryLiquid_Data(), Table_Fuel_EFs_StationaryLiquid[[#Headers],[Fuel combusted]],0)</f>
        <v>0.22</v>
      </c>
      <c r="K76" s="182" t="str" cm="1">
        <f t="array" ref="K76">Common_InputFunctions.Utility_DisplayArrayInTable(Fuel_SourceData.Fuel_Scope1Scope3EmissionFactorsStationaryLiquid_Data(), Table_Fuel_EFs_StationaryLiquid[[#Headers],[Fuel combusted]],0)</f>
        <v>NE</v>
      </c>
      <c r="L76" s="154"/>
    </row>
    <row r="77" spans="1:13" ht="20.100000000000001" customHeight="1" x14ac:dyDescent="0.2">
      <c r="D77" s="182" t="str" cm="1">
        <f t="array" ref="D77">Common_InputFunctions.Utility_DisplayArrayInTable(Fuel_SourceData.Fuel_Scope1Scope3EmissionFactorsStationaryLiquid_Data(), Table_Fuel_EFs_StationaryLiquid[[#Headers],[Fuel combusted]],0)</f>
        <v>Renewable diesel</v>
      </c>
      <c r="E77" s="182" cm="1">
        <f t="array" ref="E77">Common_InputFunctions.Utility_DisplayArrayInTable(Fuel_SourceData.Fuel_Scope1Scope3EmissionFactorsStationaryLiquid_Data(), Table_Fuel_EFs_StationaryLiquid[[#Headers],[Fuel combusted]],0)</f>
        <v>38.6</v>
      </c>
      <c r="F77" s="182" t="str" cm="1">
        <f t="array" ref="F77">Common_InputFunctions.Utility_DisplayArrayInTable(Fuel_SourceData.Fuel_Scope1Scope3EmissionFactorsStationaryLiquid_Data(), Table_Fuel_EFs_StationaryLiquid[[#Headers],[Fuel combusted]],0)</f>
        <v>kL</v>
      </c>
      <c r="G77" s="182" cm="1">
        <f t="array" ref="G77">Common_InputFunctions.Utility_DisplayArrayInTable(Fuel_SourceData.Fuel_Scope1Scope3EmissionFactorsStationaryLiquid_Data(), Table_Fuel_EFs_StationaryLiquid[[#Headers],[Fuel combusted]],0)</f>
        <v>0</v>
      </c>
      <c r="H77" s="182" cm="1">
        <f t="array" ref="H77">Common_InputFunctions.Utility_DisplayArrayInTable(Fuel_SourceData.Fuel_Scope1Scope3EmissionFactorsStationaryLiquid_Data(), Table_Fuel_EFs_StationaryLiquid[[#Headers],[Fuel combusted]],0)</f>
        <v>0.1</v>
      </c>
      <c r="I77" s="182" cm="1">
        <f t="array" ref="I77">Common_InputFunctions.Utility_DisplayArrayInTable(Fuel_SourceData.Fuel_Scope1Scope3EmissionFactorsStationaryLiquid_Data(), Table_Fuel_EFs_StationaryLiquid[[#Headers],[Fuel combusted]],0)</f>
        <v>0.2</v>
      </c>
      <c r="J77" s="182" cm="1">
        <f t="array" ref="J77">Common_InputFunctions.Utility_DisplayArrayInTable(Fuel_SourceData.Fuel_Scope1Scope3EmissionFactorsStationaryLiquid_Data(), Table_Fuel_EFs_StationaryLiquid[[#Headers],[Fuel combusted]],0)</f>
        <v>0.3</v>
      </c>
      <c r="K77" s="182" t="str" cm="1">
        <f t="array" ref="K77">Common_InputFunctions.Utility_DisplayArrayInTable(Fuel_SourceData.Fuel_Scope1Scope3EmissionFactorsStationaryLiquid_Data(), Table_Fuel_EFs_StationaryLiquid[[#Headers],[Fuel combusted]],0)</f>
        <v>NE</v>
      </c>
      <c r="L77" s="154"/>
    </row>
    <row r="78" spans="1:13" ht="20.100000000000001" customHeight="1" x14ac:dyDescent="0.2">
      <c r="D78" s="154"/>
      <c r="E78" s="154"/>
      <c r="F78" s="154"/>
      <c r="G78" s="154"/>
      <c r="H78" s="154"/>
      <c r="I78" s="154"/>
      <c r="J78" s="154"/>
      <c r="K78" s="154"/>
      <c r="L78" s="154"/>
    </row>
    <row r="79" spans="1:13" ht="20.100000000000001" customHeight="1" x14ac:dyDescent="0.2">
      <c r="D79" s="154"/>
      <c r="E79" s="154"/>
      <c r="F79" s="154"/>
      <c r="G79" s="154"/>
      <c r="H79" s="154"/>
      <c r="I79" s="154"/>
      <c r="J79" s="154"/>
      <c r="K79" s="154"/>
      <c r="L79" s="154"/>
      <c r="M79" s="154"/>
    </row>
    <row r="80" spans="1:13" ht="20.100000000000001" customHeight="1" x14ac:dyDescent="0.2">
      <c r="D80" s="154"/>
      <c r="E80" s="154"/>
      <c r="F80" s="154"/>
      <c r="G80" s="154"/>
      <c r="H80" s="154"/>
      <c r="I80" s="154"/>
      <c r="J80" s="154"/>
      <c r="K80" s="154"/>
      <c r="L80" s="154"/>
      <c r="M80" s="154"/>
    </row>
    <row r="81" spans="4:12" ht="20.100000000000001" customHeight="1" x14ac:dyDescent="0.2">
      <c r="D81" s="2" t="str" cm="1">
        <f t="array" ref="D81">Fuel_SourceData.Fuel_Scope1EmissionFactorsStationaryGaseous_Title()</f>
        <v>Fuel scope 1 emission factors - Stationary gaseous fuels</v>
      </c>
      <c r="E81" s="154"/>
      <c r="F81" s="154"/>
      <c r="G81" s="154"/>
      <c r="H81" s="154"/>
      <c r="I81" s="154"/>
      <c r="J81" s="154"/>
      <c r="K81" s="154"/>
      <c r="L81" s="154"/>
    </row>
    <row r="82" spans="4:12" ht="20.100000000000001" customHeight="1" x14ac:dyDescent="0.2">
      <c r="D82" s="1" t="str" cm="1">
        <f t="array" ref="D82">Fuel_SourceData.Fuel_Scope1EmissionFactorsStationaryGaseous_Description()</f>
        <v xml:space="preserve">Direct (Scope 1) emission factors for the consumption of gaseous fuels including liquefied natural gas  </v>
      </c>
      <c r="E82" s="154"/>
      <c r="F82" s="154"/>
      <c r="G82" s="154"/>
      <c r="H82" s="154"/>
      <c r="I82" s="154"/>
      <c r="J82" s="154"/>
      <c r="K82" s="154"/>
      <c r="L82" s="154"/>
    </row>
    <row r="83" spans="4:12" ht="20.100000000000001" customHeight="1" x14ac:dyDescent="0.2">
      <c r="D83" s="17" t="str" cm="1">
        <f t="array" ref="D83">Fuel_SourceData.Fuel_Scope1EmissionFactorsStationaryGaseous_Source()</f>
        <v>Australian National Greenhouse Accounts Factors 2025 - Table 5</v>
      </c>
      <c r="E83" s="154"/>
      <c r="F83" s="154"/>
      <c r="G83" s="154"/>
      <c r="H83" s="154"/>
      <c r="I83" s="154"/>
      <c r="J83" s="154"/>
      <c r="K83" s="154"/>
      <c r="L83" s="154"/>
    </row>
    <row r="84" spans="4:12" ht="20.100000000000001" customHeight="1" x14ac:dyDescent="0.2">
      <c r="D84" s="25"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154"/>
      <c r="F84" s="154"/>
      <c r="G84" s="154"/>
      <c r="H84" s="154"/>
      <c r="I84" s="154"/>
      <c r="J84" s="154"/>
      <c r="K84" s="154"/>
      <c r="L84" s="154"/>
    </row>
    <row r="85" spans="4:12" ht="20.100000000000001" customHeight="1" x14ac:dyDescent="0.2">
      <c r="D85" s="154"/>
      <c r="E85" s="154"/>
      <c r="F85" s="154"/>
      <c r="G85" s="154"/>
      <c r="H85" s="154"/>
      <c r="I85" s="154"/>
      <c r="J85" s="154"/>
      <c r="K85" s="154"/>
      <c r="L85" s="154"/>
    </row>
    <row r="86" spans="4:12" ht="20.100000000000001" customHeight="1" x14ac:dyDescent="0.2">
      <c r="D86" s="147" t="s">
        <v>640</v>
      </c>
      <c r="E86" s="181" t="s">
        <v>641</v>
      </c>
      <c r="F86" s="147" t="s">
        <v>642</v>
      </c>
      <c r="G86" s="181" t="s">
        <v>643</v>
      </c>
      <c r="H86" s="181" t="s">
        <v>644</v>
      </c>
      <c r="I86" s="181" t="s">
        <v>645</v>
      </c>
      <c r="J86" s="181" t="s">
        <v>646</v>
      </c>
      <c r="K86" s="154"/>
      <c r="L86" s="154"/>
    </row>
    <row r="87" spans="4:12" ht="20.100000000000001" customHeight="1" x14ac:dyDescent="0.2">
      <c r="D87" s="182" t="str" cm="1">
        <f t="array" ref="D87">Common_InputFunctions.Utility_DisplayArrayInTable(Fuel_SourceData.Fuel_Scope1EmissionFactorsStationaryGaseous_Data(), Table_Fuel_EFs_StationaryGaseous[[#Headers],[Fuel combusted]],0)</f>
        <v>Natural gas distributed in a pipeline</v>
      </c>
      <c r="E87" s="182" cm="1">
        <f t="array" ref="E87">Common_InputFunctions.Utility_DisplayArrayInTable(Fuel_SourceData.Fuel_Scope1EmissionFactorsStationaryGaseous_Data(), Table_Fuel_EFs_StationaryGaseous[[#Headers],[Fuel combusted]],0)</f>
        <v>3.9300000000000002E-2</v>
      </c>
      <c r="F87" s="182" t="str" cm="1">
        <f t="array" ref="F87">Common_InputFunctions.Utility_DisplayArrayInTable(Fuel_SourceData.Fuel_Scope1EmissionFactorsStationaryGaseous_Data(), Table_Fuel_EFs_StationaryGaseous[[#Headers],[Fuel combusted]],0)</f>
        <v>m3</v>
      </c>
      <c r="G87" s="182" cm="1">
        <f t="array" ref="G87">Common_InputFunctions.Utility_DisplayArrayInTable(Fuel_SourceData.Fuel_Scope1EmissionFactorsStationaryGaseous_Data(), Table_Fuel_EFs_StationaryGaseous[[#Headers],[Fuel combusted]],0)</f>
        <v>51.4</v>
      </c>
      <c r="H87" s="182" cm="1">
        <f t="array" ref="H87">Common_InputFunctions.Utility_DisplayArrayInTable(Fuel_SourceData.Fuel_Scope1EmissionFactorsStationaryGaseous_Data(), Table_Fuel_EFs_StationaryGaseous[[#Headers],[Fuel combusted]],0)</f>
        <v>0.1</v>
      </c>
      <c r="I87" s="182" cm="1">
        <f t="array" ref="I87">Common_InputFunctions.Utility_DisplayArrayInTable(Fuel_SourceData.Fuel_Scope1EmissionFactorsStationaryGaseous_Data(), Table_Fuel_EFs_StationaryGaseous[[#Headers],[Fuel combusted]],0)</f>
        <v>0.03</v>
      </c>
      <c r="J87" s="182" cm="1">
        <f t="array" ref="J87">Common_InputFunctions.Utility_DisplayArrayInTable(Fuel_SourceData.Fuel_Scope1EmissionFactorsStationaryGaseous_Data(), Table_Fuel_EFs_StationaryGaseous[[#Headers],[Fuel combusted]],0)</f>
        <v>51.53</v>
      </c>
      <c r="K87" s="154"/>
      <c r="L87" s="154"/>
    </row>
    <row r="88" spans="4:12" ht="20.100000000000001" customHeight="1" x14ac:dyDescent="0.2">
      <c r="D88" s="182" t="str" cm="1">
        <f t="array" ref="D88">Common_InputFunctions.Utility_DisplayArrayInTable(Fuel_SourceData.Fuel_Scope1EmissionFactorsStationaryGaseous_Data(), Table_Fuel_EFs_StationaryGaseous[[#Headers],[Fuel combusted]],0)</f>
        <v>Coal seam methane that is captured for combustion</v>
      </c>
      <c r="E88" s="182" cm="1">
        <f t="array" ref="E88">Common_InputFunctions.Utility_DisplayArrayInTable(Fuel_SourceData.Fuel_Scope1EmissionFactorsStationaryGaseous_Data(), Table_Fuel_EFs_StationaryGaseous[[#Headers],[Fuel combusted]],0)</f>
        <v>3.7699999999999997E-2</v>
      </c>
      <c r="F88" s="182" t="str" cm="1">
        <f t="array" ref="F88">Common_InputFunctions.Utility_DisplayArrayInTable(Fuel_SourceData.Fuel_Scope1EmissionFactorsStationaryGaseous_Data(), Table_Fuel_EFs_StationaryGaseous[[#Headers],[Fuel combusted]],0)</f>
        <v>m3</v>
      </c>
      <c r="G88" s="182" cm="1">
        <f t="array" ref="G88">Common_InputFunctions.Utility_DisplayArrayInTable(Fuel_SourceData.Fuel_Scope1EmissionFactorsStationaryGaseous_Data(), Table_Fuel_EFs_StationaryGaseous[[#Headers],[Fuel combusted]],0)</f>
        <v>51.4</v>
      </c>
      <c r="H88" s="182" cm="1">
        <f t="array" ref="H88">Common_InputFunctions.Utility_DisplayArrayInTable(Fuel_SourceData.Fuel_Scope1EmissionFactorsStationaryGaseous_Data(), Table_Fuel_EFs_StationaryGaseous[[#Headers],[Fuel combusted]],0)</f>
        <v>0.2</v>
      </c>
      <c r="I88" s="182" cm="1">
        <f t="array" ref="I88">Common_InputFunctions.Utility_DisplayArrayInTable(Fuel_SourceData.Fuel_Scope1EmissionFactorsStationaryGaseous_Data(), Table_Fuel_EFs_StationaryGaseous[[#Headers],[Fuel combusted]],0)</f>
        <v>0.03</v>
      </c>
      <c r="J88" s="182" cm="1">
        <f t="array" ref="J88">Common_InputFunctions.Utility_DisplayArrayInTable(Fuel_SourceData.Fuel_Scope1EmissionFactorsStationaryGaseous_Data(), Table_Fuel_EFs_StationaryGaseous[[#Headers],[Fuel combusted]],0)</f>
        <v>51.63</v>
      </c>
      <c r="K88" s="154"/>
      <c r="L88" s="154"/>
    </row>
    <row r="89" spans="4:12" ht="20.100000000000001" customHeight="1" x14ac:dyDescent="0.2">
      <c r="D89" s="182" t="str" cm="1">
        <f t="array" ref="D89">Common_InputFunctions.Utility_DisplayArrayInTable(Fuel_SourceData.Fuel_Scope1EmissionFactorsStationaryGaseous_Data(), Table_Fuel_EFs_StationaryGaseous[[#Headers],[Fuel combusted]],0)</f>
        <v>Coal mine waste gas that is captured for combustion</v>
      </c>
      <c r="E89" s="182" cm="1">
        <f t="array" ref="E89">Common_InputFunctions.Utility_DisplayArrayInTable(Fuel_SourceData.Fuel_Scope1EmissionFactorsStationaryGaseous_Data(), Table_Fuel_EFs_StationaryGaseous[[#Headers],[Fuel combusted]],0)</f>
        <v>3.7699999999999997E-2</v>
      </c>
      <c r="F89" s="182" t="str" cm="1">
        <f t="array" ref="F89">Common_InputFunctions.Utility_DisplayArrayInTable(Fuel_SourceData.Fuel_Scope1EmissionFactorsStationaryGaseous_Data(), Table_Fuel_EFs_StationaryGaseous[[#Headers],[Fuel combusted]],0)</f>
        <v>m3</v>
      </c>
      <c r="G89" s="182" cm="1">
        <f t="array" ref="G89">Common_InputFunctions.Utility_DisplayArrayInTable(Fuel_SourceData.Fuel_Scope1EmissionFactorsStationaryGaseous_Data(), Table_Fuel_EFs_StationaryGaseous[[#Headers],[Fuel combusted]],0)</f>
        <v>51.9</v>
      </c>
      <c r="H89" s="182" cm="1">
        <f t="array" ref="H89">Common_InputFunctions.Utility_DisplayArrayInTable(Fuel_SourceData.Fuel_Scope1EmissionFactorsStationaryGaseous_Data(), Table_Fuel_EFs_StationaryGaseous[[#Headers],[Fuel combusted]],0)</f>
        <v>4.5999999999999996</v>
      </c>
      <c r="I89" s="182" cm="1">
        <f t="array" ref="I89">Common_InputFunctions.Utility_DisplayArrayInTable(Fuel_SourceData.Fuel_Scope1EmissionFactorsStationaryGaseous_Data(), Table_Fuel_EFs_StationaryGaseous[[#Headers],[Fuel combusted]],0)</f>
        <v>0.3</v>
      </c>
      <c r="J89" s="182" cm="1">
        <f t="array" ref="J89">Common_InputFunctions.Utility_DisplayArrayInTable(Fuel_SourceData.Fuel_Scope1EmissionFactorsStationaryGaseous_Data(), Table_Fuel_EFs_StationaryGaseous[[#Headers],[Fuel combusted]],0)</f>
        <v>56.8</v>
      </c>
      <c r="K89" s="154"/>
      <c r="L89" s="154"/>
    </row>
    <row r="90" spans="4:12" ht="20.100000000000001" customHeight="1" x14ac:dyDescent="0.2">
      <c r="D90" s="182" t="str" cm="1">
        <f t="array" ref="D90">Common_InputFunctions.Utility_DisplayArrayInTable(Fuel_SourceData.Fuel_Scope1EmissionFactorsStationaryGaseous_Data(), Table_Fuel_EFs_StationaryGaseous[[#Headers],[Fuel combusted]],0)</f>
        <v>Compressed natural gas(reverting to standard conditions)</v>
      </c>
      <c r="E90" s="182" cm="1">
        <f t="array" ref="E90">Common_InputFunctions.Utility_DisplayArrayInTable(Fuel_SourceData.Fuel_Scope1EmissionFactorsStationaryGaseous_Data(), Table_Fuel_EFs_StationaryGaseous[[#Headers],[Fuel combusted]],0)</f>
        <v>3.9300000000000002E-2</v>
      </c>
      <c r="F90" s="182" t="str" cm="1">
        <f t="array" ref="F90">Common_InputFunctions.Utility_DisplayArrayInTable(Fuel_SourceData.Fuel_Scope1EmissionFactorsStationaryGaseous_Data(), Table_Fuel_EFs_StationaryGaseous[[#Headers],[Fuel combusted]],0)</f>
        <v>m3</v>
      </c>
      <c r="G90" s="182" cm="1">
        <f t="array" ref="G90">Common_InputFunctions.Utility_DisplayArrayInTable(Fuel_SourceData.Fuel_Scope1EmissionFactorsStationaryGaseous_Data(), Table_Fuel_EFs_StationaryGaseous[[#Headers],[Fuel combusted]],0)</f>
        <v>51.4</v>
      </c>
      <c r="H90" s="182" cm="1">
        <f t="array" ref="H90">Common_InputFunctions.Utility_DisplayArrayInTable(Fuel_SourceData.Fuel_Scope1EmissionFactorsStationaryGaseous_Data(), Table_Fuel_EFs_StationaryGaseous[[#Headers],[Fuel combusted]],0)</f>
        <v>0.1</v>
      </c>
      <c r="I90" s="182" cm="1">
        <f t="array" ref="I90">Common_InputFunctions.Utility_DisplayArrayInTable(Fuel_SourceData.Fuel_Scope1EmissionFactorsStationaryGaseous_Data(), Table_Fuel_EFs_StationaryGaseous[[#Headers],[Fuel combusted]],0)</f>
        <v>0.03</v>
      </c>
      <c r="J90" s="182" cm="1">
        <f t="array" ref="J90">Common_InputFunctions.Utility_DisplayArrayInTable(Fuel_SourceData.Fuel_Scope1EmissionFactorsStationaryGaseous_Data(), Table_Fuel_EFs_StationaryGaseous[[#Headers],[Fuel combusted]],0)</f>
        <v>51.53</v>
      </c>
      <c r="K90" s="154"/>
      <c r="L90" s="154"/>
    </row>
    <row r="91" spans="4:12" ht="20.100000000000001" customHeight="1" x14ac:dyDescent="0.2">
      <c r="D91" s="182" t="str" cm="1">
        <f t="array" ref="D91">Common_InputFunctions.Utility_DisplayArrayInTable(Fuel_SourceData.Fuel_Scope1EmissionFactorsStationaryGaseous_Data(), Table_Fuel_EFs_StationaryGaseous[[#Headers],[Fuel combusted]],0)</f>
        <v>Unprocessed natural gas</v>
      </c>
      <c r="E91" s="182" cm="1">
        <f t="array" ref="E91">Common_InputFunctions.Utility_DisplayArrayInTable(Fuel_SourceData.Fuel_Scope1EmissionFactorsStationaryGaseous_Data(), Table_Fuel_EFs_StationaryGaseous[[#Headers],[Fuel combusted]],0)</f>
        <v>3.9300000000000002E-2</v>
      </c>
      <c r="F91" s="182" t="str" cm="1">
        <f t="array" ref="F91">Common_InputFunctions.Utility_DisplayArrayInTable(Fuel_SourceData.Fuel_Scope1EmissionFactorsStationaryGaseous_Data(), Table_Fuel_EFs_StationaryGaseous[[#Headers],[Fuel combusted]],0)</f>
        <v>m3</v>
      </c>
      <c r="G91" s="182" cm="1">
        <f t="array" ref="G91">Common_InputFunctions.Utility_DisplayArrayInTable(Fuel_SourceData.Fuel_Scope1EmissionFactorsStationaryGaseous_Data(), Table_Fuel_EFs_StationaryGaseous[[#Headers],[Fuel combusted]],0)</f>
        <v>51.4</v>
      </c>
      <c r="H91" s="182" cm="1">
        <f t="array" ref="H91">Common_InputFunctions.Utility_DisplayArrayInTable(Fuel_SourceData.Fuel_Scope1EmissionFactorsStationaryGaseous_Data(), Table_Fuel_EFs_StationaryGaseous[[#Headers],[Fuel combusted]],0)</f>
        <v>0.1</v>
      </c>
      <c r="I91" s="182" cm="1">
        <f t="array" ref="I91">Common_InputFunctions.Utility_DisplayArrayInTable(Fuel_SourceData.Fuel_Scope1EmissionFactorsStationaryGaseous_Data(), Table_Fuel_EFs_StationaryGaseous[[#Headers],[Fuel combusted]],0)</f>
        <v>0.03</v>
      </c>
      <c r="J91" s="182" cm="1">
        <f t="array" ref="J91">Common_InputFunctions.Utility_DisplayArrayInTable(Fuel_SourceData.Fuel_Scope1EmissionFactorsStationaryGaseous_Data(), Table_Fuel_EFs_StationaryGaseous[[#Headers],[Fuel combusted]],0)</f>
        <v>51.53</v>
      </c>
      <c r="K91" s="154"/>
      <c r="L91" s="154"/>
    </row>
    <row r="92" spans="4:12" ht="20.100000000000001" customHeight="1" x14ac:dyDescent="0.2">
      <c r="D92" s="182" t="str" cm="1">
        <f t="array" ref="D92">Common_InputFunctions.Utility_DisplayArrayInTable(Fuel_SourceData.Fuel_Scope1EmissionFactorsStationaryGaseous_Data(), Table_Fuel_EFs_StationaryGaseous[[#Headers],[Fuel combusted]],0)</f>
        <v>Ethane</v>
      </c>
      <c r="E92" s="182" cm="1">
        <f t="array" ref="E92">Common_InputFunctions.Utility_DisplayArrayInTable(Fuel_SourceData.Fuel_Scope1EmissionFactorsStationaryGaseous_Data(), Table_Fuel_EFs_StationaryGaseous[[#Headers],[Fuel combusted]],0)</f>
        <v>6.2899999999999998E-2</v>
      </c>
      <c r="F92" s="182" t="str" cm="1">
        <f t="array" ref="F92">Common_InputFunctions.Utility_DisplayArrayInTable(Fuel_SourceData.Fuel_Scope1EmissionFactorsStationaryGaseous_Data(), Table_Fuel_EFs_StationaryGaseous[[#Headers],[Fuel combusted]],0)</f>
        <v>m3</v>
      </c>
      <c r="G92" s="182" cm="1">
        <f t="array" ref="G92">Common_InputFunctions.Utility_DisplayArrayInTable(Fuel_SourceData.Fuel_Scope1EmissionFactorsStationaryGaseous_Data(), Table_Fuel_EFs_StationaryGaseous[[#Headers],[Fuel combusted]],0)</f>
        <v>56.5</v>
      </c>
      <c r="H92" s="182" cm="1">
        <f t="array" ref="H92">Common_InputFunctions.Utility_DisplayArrayInTable(Fuel_SourceData.Fuel_Scope1EmissionFactorsStationaryGaseous_Data(), Table_Fuel_EFs_StationaryGaseous[[#Headers],[Fuel combusted]],0)</f>
        <v>0.03</v>
      </c>
      <c r="I92" s="182" cm="1">
        <f t="array" ref="I92">Common_InputFunctions.Utility_DisplayArrayInTable(Fuel_SourceData.Fuel_Scope1EmissionFactorsStationaryGaseous_Data(), Table_Fuel_EFs_StationaryGaseous[[#Headers],[Fuel combusted]],0)</f>
        <v>0.03</v>
      </c>
      <c r="J92" s="182" cm="1">
        <f t="array" ref="J92">Common_InputFunctions.Utility_DisplayArrayInTable(Fuel_SourceData.Fuel_Scope1EmissionFactorsStationaryGaseous_Data(), Table_Fuel_EFs_StationaryGaseous[[#Headers],[Fuel combusted]],0)</f>
        <v>56.56</v>
      </c>
      <c r="K92" s="154"/>
      <c r="L92" s="154"/>
    </row>
    <row r="93" spans="4:12" ht="20.100000000000001" customHeight="1" x14ac:dyDescent="0.2">
      <c r="D93" s="182" t="str" cm="1">
        <f t="array" ref="D93">Common_InputFunctions.Utility_DisplayArrayInTable(Fuel_SourceData.Fuel_Scope1EmissionFactorsStationaryGaseous_Data(), Table_Fuel_EFs_StationaryGaseous[[#Headers],[Fuel combusted]],0)</f>
        <v>Coke oven gas</v>
      </c>
      <c r="E93" s="182" cm="1">
        <f t="array" ref="E93">Common_InputFunctions.Utility_DisplayArrayInTable(Fuel_SourceData.Fuel_Scope1EmissionFactorsStationaryGaseous_Data(), Table_Fuel_EFs_StationaryGaseous[[#Headers],[Fuel combusted]],0)</f>
        <v>1.8100000000000002E-2</v>
      </c>
      <c r="F93" s="182" t="str" cm="1">
        <f t="array" ref="F93">Common_InputFunctions.Utility_DisplayArrayInTable(Fuel_SourceData.Fuel_Scope1EmissionFactorsStationaryGaseous_Data(), Table_Fuel_EFs_StationaryGaseous[[#Headers],[Fuel combusted]],0)</f>
        <v>m3</v>
      </c>
      <c r="G93" s="182" cm="1">
        <f t="array" ref="G93">Common_InputFunctions.Utility_DisplayArrayInTable(Fuel_SourceData.Fuel_Scope1EmissionFactorsStationaryGaseous_Data(), Table_Fuel_EFs_StationaryGaseous[[#Headers],[Fuel combusted]],0)</f>
        <v>37</v>
      </c>
      <c r="H93" s="182" cm="1">
        <f t="array" ref="H93">Common_InputFunctions.Utility_DisplayArrayInTable(Fuel_SourceData.Fuel_Scope1EmissionFactorsStationaryGaseous_Data(), Table_Fuel_EFs_StationaryGaseous[[#Headers],[Fuel combusted]],0)</f>
        <v>0.03</v>
      </c>
      <c r="I93" s="182" cm="1">
        <f t="array" ref="I93">Common_InputFunctions.Utility_DisplayArrayInTable(Fuel_SourceData.Fuel_Scope1EmissionFactorsStationaryGaseous_Data(), Table_Fuel_EFs_StationaryGaseous[[#Headers],[Fuel combusted]],0)</f>
        <v>0.05</v>
      </c>
      <c r="J93" s="182" cm="1">
        <f t="array" ref="J93">Common_InputFunctions.Utility_DisplayArrayInTable(Fuel_SourceData.Fuel_Scope1EmissionFactorsStationaryGaseous_Data(), Table_Fuel_EFs_StationaryGaseous[[#Headers],[Fuel combusted]],0)</f>
        <v>37.08</v>
      </c>
      <c r="K93" s="154"/>
      <c r="L93" s="154"/>
    </row>
    <row r="94" spans="4:12" ht="20.100000000000001" customHeight="1" x14ac:dyDescent="0.2">
      <c r="D94" s="182" t="str" cm="1">
        <f t="array" ref="D94">Common_InputFunctions.Utility_DisplayArrayInTable(Fuel_SourceData.Fuel_Scope1EmissionFactorsStationaryGaseous_Data(), Table_Fuel_EFs_StationaryGaseous[[#Headers],[Fuel combusted]],0)</f>
        <v>Blast furnace gas</v>
      </c>
      <c r="E94" s="182" cm="1">
        <f t="array" ref="E94">Common_InputFunctions.Utility_DisplayArrayInTable(Fuel_SourceData.Fuel_Scope1EmissionFactorsStationaryGaseous_Data(), Table_Fuel_EFs_StationaryGaseous[[#Headers],[Fuel combusted]],0)</f>
        <v>4.0000000000000001E-3</v>
      </c>
      <c r="F94" s="182" t="str" cm="1">
        <f t="array" ref="F94">Common_InputFunctions.Utility_DisplayArrayInTable(Fuel_SourceData.Fuel_Scope1EmissionFactorsStationaryGaseous_Data(), Table_Fuel_EFs_StationaryGaseous[[#Headers],[Fuel combusted]],0)</f>
        <v>m3</v>
      </c>
      <c r="G94" s="182" cm="1">
        <f t="array" ref="G94">Common_InputFunctions.Utility_DisplayArrayInTable(Fuel_SourceData.Fuel_Scope1EmissionFactorsStationaryGaseous_Data(), Table_Fuel_EFs_StationaryGaseous[[#Headers],[Fuel combusted]],0)</f>
        <v>234</v>
      </c>
      <c r="H94" s="182" cm="1">
        <f t="array" ref="H94">Common_InputFunctions.Utility_DisplayArrayInTable(Fuel_SourceData.Fuel_Scope1EmissionFactorsStationaryGaseous_Data(), Table_Fuel_EFs_StationaryGaseous[[#Headers],[Fuel combusted]],0)</f>
        <v>0.03</v>
      </c>
      <c r="I94" s="182" cm="1">
        <f t="array" ref="I94">Common_InputFunctions.Utility_DisplayArrayInTable(Fuel_SourceData.Fuel_Scope1EmissionFactorsStationaryGaseous_Data(), Table_Fuel_EFs_StationaryGaseous[[#Headers],[Fuel combusted]],0)</f>
        <v>0.02</v>
      </c>
      <c r="J94" s="182" cm="1">
        <f t="array" ref="J94">Common_InputFunctions.Utility_DisplayArrayInTable(Fuel_SourceData.Fuel_Scope1EmissionFactorsStationaryGaseous_Data(), Table_Fuel_EFs_StationaryGaseous[[#Headers],[Fuel combusted]],0)</f>
        <v>234.05</v>
      </c>
      <c r="K94" s="154"/>
      <c r="L94" s="154"/>
    </row>
    <row r="95" spans="4:12" ht="20.100000000000001" customHeight="1" x14ac:dyDescent="0.2">
      <c r="D95" s="182" t="str" cm="1">
        <f t="array" ref="D95">Common_InputFunctions.Utility_DisplayArrayInTable(Fuel_SourceData.Fuel_Scope1EmissionFactorsStationaryGaseous_Data(), Table_Fuel_EFs_StationaryGaseous[[#Headers],[Fuel combusted]],0)</f>
        <v>Town gas</v>
      </c>
      <c r="E95" s="182" cm="1">
        <f t="array" ref="E95">Common_InputFunctions.Utility_DisplayArrayInTable(Fuel_SourceData.Fuel_Scope1EmissionFactorsStationaryGaseous_Data(), Table_Fuel_EFs_StationaryGaseous[[#Headers],[Fuel combusted]],0)</f>
        <v>3.9E-2</v>
      </c>
      <c r="F95" s="182" t="str" cm="1">
        <f t="array" ref="F95">Common_InputFunctions.Utility_DisplayArrayInTable(Fuel_SourceData.Fuel_Scope1EmissionFactorsStationaryGaseous_Data(), Table_Fuel_EFs_StationaryGaseous[[#Headers],[Fuel combusted]],0)</f>
        <v>m3</v>
      </c>
      <c r="G95" s="182" cm="1">
        <f t="array" ref="G95">Common_InputFunctions.Utility_DisplayArrayInTable(Fuel_SourceData.Fuel_Scope1EmissionFactorsStationaryGaseous_Data(), Table_Fuel_EFs_StationaryGaseous[[#Headers],[Fuel combusted]],0)</f>
        <v>60.2</v>
      </c>
      <c r="H95" s="182" cm="1">
        <f t="array" ref="H95">Common_InputFunctions.Utility_DisplayArrayInTable(Fuel_SourceData.Fuel_Scope1EmissionFactorsStationaryGaseous_Data(), Table_Fuel_EFs_StationaryGaseous[[#Headers],[Fuel combusted]],0)</f>
        <v>0.04</v>
      </c>
      <c r="I95" s="182" cm="1">
        <f t="array" ref="I95">Common_InputFunctions.Utility_DisplayArrayInTable(Fuel_SourceData.Fuel_Scope1EmissionFactorsStationaryGaseous_Data(), Table_Fuel_EFs_StationaryGaseous[[#Headers],[Fuel combusted]],0)</f>
        <v>0.03</v>
      </c>
      <c r="J95" s="182" cm="1">
        <f t="array" ref="J95">Common_InputFunctions.Utility_DisplayArrayInTable(Fuel_SourceData.Fuel_Scope1EmissionFactorsStationaryGaseous_Data(), Table_Fuel_EFs_StationaryGaseous[[#Headers],[Fuel combusted]],0)</f>
        <v>60.27</v>
      </c>
      <c r="K95" s="154"/>
      <c r="L95" s="154"/>
    </row>
    <row r="96" spans="4:12" ht="20.100000000000001" customHeight="1" x14ac:dyDescent="0.2">
      <c r="D96" s="182" t="str" cm="1">
        <f t="array" ref="D96">Common_InputFunctions.Utility_DisplayArrayInTable(Fuel_SourceData.Fuel_Scope1EmissionFactorsStationaryGaseous_Data(), Table_Fuel_EFs_StationaryGaseous[[#Headers],[Fuel combusted]],0)</f>
        <v>Liquefied natural gas</v>
      </c>
      <c r="E96" s="182" cm="1">
        <f t="array" ref="E96">Common_InputFunctions.Utility_DisplayArrayInTable(Fuel_SourceData.Fuel_Scope1EmissionFactorsStationaryGaseous_Data(), Table_Fuel_EFs_StationaryGaseous[[#Headers],[Fuel combusted]],0)</f>
        <v>25.3</v>
      </c>
      <c r="F96" s="182" t="str" cm="1">
        <f t="array" ref="F96">Common_InputFunctions.Utility_DisplayArrayInTable(Fuel_SourceData.Fuel_Scope1EmissionFactorsStationaryGaseous_Data(), Table_Fuel_EFs_StationaryGaseous[[#Headers],[Fuel combusted]],0)</f>
        <v>kL</v>
      </c>
      <c r="G96" s="182" cm="1">
        <f t="array" ref="G96">Common_InputFunctions.Utility_DisplayArrayInTable(Fuel_SourceData.Fuel_Scope1EmissionFactorsStationaryGaseous_Data(), Table_Fuel_EFs_StationaryGaseous[[#Headers],[Fuel combusted]],0)</f>
        <v>51.4</v>
      </c>
      <c r="H96" s="182" cm="1">
        <f t="array" ref="H96">Common_InputFunctions.Utility_DisplayArrayInTable(Fuel_SourceData.Fuel_Scope1EmissionFactorsStationaryGaseous_Data(), Table_Fuel_EFs_StationaryGaseous[[#Headers],[Fuel combusted]],0)</f>
        <v>0.1</v>
      </c>
      <c r="I96" s="182" cm="1">
        <f t="array" ref="I96">Common_InputFunctions.Utility_DisplayArrayInTable(Fuel_SourceData.Fuel_Scope1EmissionFactorsStationaryGaseous_Data(), Table_Fuel_EFs_StationaryGaseous[[#Headers],[Fuel combusted]],0)</f>
        <v>0.03</v>
      </c>
      <c r="J96" s="182" cm="1">
        <f t="array" ref="J96">Common_InputFunctions.Utility_DisplayArrayInTable(Fuel_SourceData.Fuel_Scope1EmissionFactorsStationaryGaseous_Data(), Table_Fuel_EFs_StationaryGaseous[[#Headers],[Fuel combusted]],0)</f>
        <v>51.53</v>
      </c>
      <c r="K96" s="154"/>
      <c r="L96" s="154"/>
    </row>
    <row r="97" spans="1:13" ht="20.100000000000001" customHeight="1" x14ac:dyDescent="0.2">
      <c r="D97" s="182" t="str" cm="1">
        <f t="array" ref="D97">Common_InputFunctions.Utility_DisplayArrayInTable(Fuel_SourceData.Fuel_Scope1EmissionFactorsStationaryGaseous_Data(), Table_Fuel_EFs_StationaryGaseous[[#Headers],[Fuel combusted]],0)</f>
        <v>Gaseous fossil fuels other than those mentioned in the items above</v>
      </c>
      <c r="E97" s="182" cm="1">
        <f t="array" ref="E97">Common_InputFunctions.Utility_DisplayArrayInTable(Fuel_SourceData.Fuel_Scope1EmissionFactorsStationaryGaseous_Data(), Table_Fuel_EFs_StationaryGaseous[[#Headers],[Fuel combusted]],0)</f>
        <v>3.9E-2</v>
      </c>
      <c r="F97" s="182" t="str" cm="1">
        <f t="array" ref="F97">Common_InputFunctions.Utility_DisplayArrayInTable(Fuel_SourceData.Fuel_Scope1EmissionFactorsStationaryGaseous_Data(), Table_Fuel_EFs_StationaryGaseous[[#Headers],[Fuel combusted]],0)</f>
        <v>m3</v>
      </c>
      <c r="G97" s="182" cm="1">
        <f t="array" ref="G97">Common_InputFunctions.Utility_DisplayArrayInTable(Fuel_SourceData.Fuel_Scope1EmissionFactorsStationaryGaseous_Data(), Table_Fuel_EFs_StationaryGaseous[[#Headers],[Fuel combusted]],0)</f>
        <v>51.4</v>
      </c>
      <c r="H97" s="182" cm="1">
        <f t="array" ref="H97">Common_InputFunctions.Utility_DisplayArrayInTable(Fuel_SourceData.Fuel_Scope1EmissionFactorsStationaryGaseous_Data(), Table_Fuel_EFs_StationaryGaseous[[#Headers],[Fuel combusted]],0)</f>
        <v>0.1</v>
      </c>
      <c r="I97" s="182" cm="1">
        <f t="array" ref="I97">Common_InputFunctions.Utility_DisplayArrayInTable(Fuel_SourceData.Fuel_Scope1EmissionFactorsStationaryGaseous_Data(), Table_Fuel_EFs_StationaryGaseous[[#Headers],[Fuel combusted]],0)</f>
        <v>0.03</v>
      </c>
      <c r="J97" s="182" cm="1">
        <f t="array" ref="J97">Common_InputFunctions.Utility_DisplayArrayInTable(Fuel_SourceData.Fuel_Scope1EmissionFactorsStationaryGaseous_Data(), Table_Fuel_EFs_StationaryGaseous[[#Headers],[Fuel combusted]],0)</f>
        <v>51.53</v>
      </c>
      <c r="K97" s="154"/>
      <c r="L97" s="154"/>
    </row>
    <row r="98" spans="1:13" ht="20.100000000000001" customHeight="1" x14ac:dyDescent="0.2">
      <c r="A98" s="79" t="str">
        <f>HYPERLINK("#A1", "▲ Back to top")</f>
        <v>▲ Back to top</v>
      </c>
      <c r="D98" s="182" t="str" cm="1">
        <f t="array" ref="D98">Common_InputFunctions.Utility_DisplayArrayInTable(Fuel_SourceData.Fuel_Scope1EmissionFactorsStationaryGaseous_Data(), Table_Fuel_EFs_StationaryGaseous[[#Headers],[Fuel combusted]],0)</f>
        <v>Landfill biogas that is captured for combustion (methane only)</v>
      </c>
      <c r="E98" s="182" cm="1">
        <f t="array" ref="E98">Common_InputFunctions.Utility_DisplayArrayInTable(Fuel_SourceData.Fuel_Scope1EmissionFactorsStationaryGaseous_Data(), Table_Fuel_EFs_StationaryGaseous[[#Headers],[Fuel combusted]],0)</f>
        <v>3.7699999999999997E-2</v>
      </c>
      <c r="F98" s="182" t="str" cm="1">
        <f t="array" ref="F98">Common_InputFunctions.Utility_DisplayArrayInTable(Fuel_SourceData.Fuel_Scope1EmissionFactorsStationaryGaseous_Data(), Table_Fuel_EFs_StationaryGaseous[[#Headers],[Fuel combusted]],0)</f>
        <v>m3</v>
      </c>
      <c r="G98" s="182" cm="1">
        <f t="array" ref="G98">Common_InputFunctions.Utility_DisplayArrayInTable(Fuel_SourceData.Fuel_Scope1EmissionFactorsStationaryGaseous_Data(), Table_Fuel_EFs_StationaryGaseous[[#Headers],[Fuel combusted]],0)</f>
        <v>0</v>
      </c>
      <c r="H98" s="182" cm="1">
        <f t="array" ref="H98">Common_InputFunctions.Utility_DisplayArrayInTable(Fuel_SourceData.Fuel_Scope1EmissionFactorsStationaryGaseous_Data(), Table_Fuel_EFs_StationaryGaseous[[#Headers],[Fuel combusted]],0)</f>
        <v>6.4</v>
      </c>
      <c r="I98" s="182" cm="1">
        <f t="array" ref="I98">Common_InputFunctions.Utility_DisplayArrayInTable(Fuel_SourceData.Fuel_Scope1EmissionFactorsStationaryGaseous_Data(), Table_Fuel_EFs_StationaryGaseous[[#Headers],[Fuel combusted]],0)</f>
        <v>0.03</v>
      </c>
      <c r="J98" s="182" cm="1">
        <f t="array" ref="J98">Common_InputFunctions.Utility_DisplayArrayInTable(Fuel_SourceData.Fuel_Scope1EmissionFactorsStationaryGaseous_Data(), Table_Fuel_EFs_StationaryGaseous[[#Headers],[Fuel combusted]],0)</f>
        <v>6.43</v>
      </c>
      <c r="K98" s="154"/>
      <c r="L98" s="154"/>
    </row>
    <row r="99" spans="1:13" ht="20.100000000000001" customHeight="1" x14ac:dyDescent="0.2">
      <c r="D99" s="182" t="str" cm="1">
        <f t="array" ref="D99">Common_InputFunctions.Utility_DisplayArrayInTable(Fuel_SourceData.Fuel_Scope1EmissionFactorsStationaryGaseous_Data(), Table_Fuel_EFs_StationaryGaseous[[#Headers],[Fuel combusted]],0)</f>
        <v>Sludge biogas that is captured for combustion (methane only)</v>
      </c>
      <c r="E99" s="182" cm="1">
        <f t="array" ref="E99">Common_InputFunctions.Utility_DisplayArrayInTable(Fuel_SourceData.Fuel_Scope1EmissionFactorsStationaryGaseous_Data(), Table_Fuel_EFs_StationaryGaseous[[#Headers],[Fuel combusted]],0)</f>
        <v>3.7699999999999997E-2</v>
      </c>
      <c r="F99" s="182" t="str" cm="1">
        <f t="array" ref="F99">Common_InputFunctions.Utility_DisplayArrayInTable(Fuel_SourceData.Fuel_Scope1EmissionFactorsStationaryGaseous_Data(), Table_Fuel_EFs_StationaryGaseous[[#Headers],[Fuel combusted]],0)</f>
        <v>m3</v>
      </c>
      <c r="G99" s="182" cm="1">
        <f t="array" ref="G99">Common_InputFunctions.Utility_DisplayArrayInTable(Fuel_SourceData.Fuel_Scope1EmissionFactorsStationaryGaseous_Data(), Table_Fuel_EFs_StationaryGaseous[[#Headers],[Fuel combusted]],0)</f>
        <v>0</v>
      </c>
      <c r="H99" s="182" cm="1">
        <f t="array" ref="H99">Common_InputFunctions.Utility_DisplayArrayInTable(Fuel_SourceData.Fuel_Scope1EmissionFactorsStationaryGaseous_Data(), Table_Fuel_EFs_StationaryGaseous[[#Headers],[Fuel combusted]],0)</f>
        <v>6.4</v>
      </c>
      <c r="I99" s="182" cm="1">
        <f t="array" ref="I99">Common_InputFunctions.Utility_DisplayArrayInTable(Fuel_SourceData.Fuel_Scope1EmissionFactorsStationaryGaseous_Data(), Table_Fuel_EFs_StationaryGaseous[[#Headers],[Fuel combusted]],0)</f>
        <v>0.03</v>
      </c>
      <c r="J99" s="182" cm="1">
        <f t="array" ref="J99">Common_InputFunctions.Utility_DisplayArrayInTable(Fuel_SourceData.Fuel_Scope1EmissionFactorsStationaryGaseous_Data(), Table_Fuel_EFs_StationaryGaseous[[#Headers],[Fuel combusted]],0)</f>
        <v>6.43</v>
      </c>
      <c r="K99" s="154"/>
      <c r="L99" s="154"/>
    </row>
    <row r="100" spans="1:13" ht="20.100000000000001" customHeight="1" x14ac:dyDescent="0.2">
      <c r="D100" s="182"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182" cm="1">
        <f t="array" ref="E100">Common_InputFunctions.Utility_DisplayArrayInTable(Fuel_SourceData.Fuel_Scope1EmissionFactorsStationaryGaseous_Data(), Table_Fuel_EFs_StationaryGaseous[[#Headers],[Fuel combusted]],0)</f>
        <v>3.6999999999999998E-2</v>
      </c>
      <c r="F100" s="182" t="str" cm="1">
        <f t="array" ref="F100">Common_InputFunctions.Utility_DisplayArrayInTable(Fuel_SourceData.Fuel_Scope1EmissionFactorsStationaryGaseous_Data(), Table_Fuel_EFs_StationaryGaseous[[#Headers],[Fuel combusted]],0)</f>
        <v>m3</v>
      </c>
      <c r="G100" s="182" cm="1">
        <f t="array" ref="G100">Common_InputFunctions.Utility_DisplayArrayInTable(Fuel_SourceData.Fuel_Scope1EmissionFactorsStationaryGaseous_Data(), Table_Fuel_EFs_StationaryGaseous[[#Headers],[Fuel combusted]],0)</f>
        <v>0</v>
      </c>
      <c r="H100" s="182" cm="1">
        <f t="array" ref="H100">Common_InputFunctions.Utility_DisplayArrayInTable(Fuel_SourceData.Fuel_Scope1EmissionFactorsStationaryGaseous_Data(), Table_Fuel_EFs_StationaryGaseous[[#Headers],[Fuel combusted]],0)</f>
        <v>6.4</v>
      </c>
      <c r="I100" s="182" cm="1">
        <f t="array" ref="I100">Common_InputFunctions.Utility_DisplayArrayInTable(Fuel_SourceData.Fuel_Scope1EmissionFactorsStationaryGaseous_Data(), Table_Fuel_EFs_StationaryGaseous[[#Headers],[Fuel combusted]],0)</f>
        <v>0.03</v>
      </c>
      <c r="J100" s="182" cm="1">
        <f t="array" ref="J100">Common_InputFunctions.Utility_DisplayArrayInTable(Fuel_SourceData.Fuel_Scope1EmissionFactorsStationaryGaseous_Data(), Table_Fuel_EFs_StationaryGaseous[[#Headers],[Fuel combusted]],0)</f>
        <v>6.43</v>
      </c>
      <c r="K100" s="154"/>
      <c r="L100" s="154"/>
    </row>
    <row r="101" spans="1:13" ht="20.100000000000001" customHeight="1" x14ac:dyDescent="0.2">
      <c r="D101" s="182" t="str" cm="1">
        <f t="array" ref="D101">Common_InputFunctions.Utility_DisplayArrayInTable(Fuel_SourceData.Fuel_Scope1EmissionFactorsStationaryGaseous_Data(), Table_Fuel_EFs_StationaryGaseous[[#Headers],[Fuel combusted]],0)</f>
        <v>Biomethane</v>
      </c>
      <c r="E101" s="182" cm="1">
        <f t="array" ref="E101">Common_InputFunctions.Utility_DisplayArrayInTable(Fuel_SourceData.Fuel_Scope1EmissionFactorsStationaryGaseous_Data(), Table_Fuel_EFs_StationaryGaseous[[#Headers],[Fuel combusted]],0)</f>
        <v>3.9300000000000002E-2</v>
      </c>
      <c r="F101" s="182" t="str" cm="1">
        <f t="array" ref="F101">Common_InputFunctions.Utility_DisplayArrayInTable(Fuel_SourceData.Fuel_Scope1EmissionFactorsStationaryGaseous_Data(), Table_Fuel_EFs_StationaryGaseous[[#Headers],[Fuel combusted]],0)</f>
        <v>m3</v>
      </c>
      <c r="G101" s="182" cm="1">
        <f t="array" ref="G101">Common_InputFunctions.Utility_DisplayArrayInTable(Fuel_SourceData.Fuel_Scope1EmissionFactorsStationaryGaseous_Data(), Table_Fuel_EFs_StationaryGaseous[[#Headers],[Fuel combusted]],0)</f>
        <v>0</v>
      </c>
      <c r="H101" s="182" cm="1">
        <f t="array" ref="H101">Common_InputFunctions.Utility_DisplayArrayInTable(Fuel_SourceData.Fuel_Scope1EmissionFactorsStationaryGaseous_Data(), Table_Fuel_EFs_StationaryGaseous[[#Headers],[Fuel combusted]],0)</f>
        <v>0.1</v>
      </c>
      <c r="I101" s="182" cm="1">
        <f t="array" ref="I101">Common_InputFunctions.Utility_DisplayArrayInTable(Fuel_SourceData.Fuel_Scope1EmissionFactorsStationaryGaseous_Data(), Table_Fuel_EFs_StationaryGaseous[[#Headers],[Fuel combusted]],0)</f>
        <v>0.03</v>
      </c>
      <c r="J101" s="182" cm="1">
        <f t="array" ref="J101">Common_InputFunctions.Utility_DisplayArrayInTable(Fuel_SourceData.Fuel_Scope1EmissionFactorsStationaryGaseous_Data(), Table_Fuel_EFs_StationaryGaseous[[#Headers],[Fuel combusted]],0)</f>
        <v>0.13</v>
      </c>
      <c r="K101" s="154"/>
      <c r="L101" s="154"/>
    </row>
    <row r="102" spans="1:13" ht="20.100000000000001" customHeight="1" x14ac:dyDescent="0.2">
      <c r="D102" s="182" t="str" cm="1">
        <f t="array" ref="D102">Common_InputFunctions.Utility_DisplayArrayInTable(Fuel_SourceData.Fuel_Scope1EmissionFactorsStationaryGaseous_Data(), Table_Fuel_EFs_StationaryGaseous[[#Headers],[Fuel combusted]],0)</f>
        <v>Hydrogen</v>
      </c>
      <c r="E102" s="182" cm="1">
        <f t="array" ref="E102">Common_InputFunctions.Utility_DisplayArrayInTable(Fuel_SourceData.Fuel_Scope1EmissionFactorsStationaryGaseous_Data(), Table_Fuel_EFs_StationaryGaseous[[#Headers],[Fuel combusted]],0)</f>
        <v>1.2200000000000001E-2</v>
      </c>
      <c r="F102" s="182" t="str" cm="1">
        <f t="array" ref="F102">Common_InputFunctions.Utility_DisplayArrayInTable(Fuel_SourceData.Fuel_Scope1EmissionFactorsStationaryGaseous_Data(), Table_Fuel_EFs_StationaryGaseous[[#Headers],[Fuel combusted]],0)</f>
        <v>m3</v>
      </c>
      <c r="G102" s="182" cm="1">
        <f t="array" ref="G102">Common_InputFunctions.Utility_DisplayArrayInTable(Fuel_SourceData.Fuel_Scope1EmissionFactorsStationaryGaseous_Data(), Table_Fuel_EFs_StationaryGaseous[[#Headers],[Fuel combusted]],0)</f>
        <v>0</v>
      </c>
      <c r="H102" s="182" cm="1">
        <f t="array" ref="H102">Common_InputFunctions.Utility_DisplayArrayInTable(Fuel_SourceData.Fuel_Scope1EmissionFactorsStationaryGaseous_Data(), Table_Fuel_EFs_StationaryGaseous[[#Headers],[Fuel combusted]],0)</f>
        <v>0</v>
      </c>
      <c r="I102" s="182" cm="1">
        <f t="array" ref="I102">Common_InputFunctions.Utility_DisplayArrayInTable(Fuel_SourceData.Fuel_Scope1EmissionFactorsStationaryGaseous_Data(), Table_Fuel_EFs_StationaryGaseous[[#Headers],[Fuel combusted]],0)</f>
        <v>0.5</v>
      </c>
      <c r="J102" s="182" cm="1">
        <f t="array" ref="J102">Common_InputFunctions.Utility_DisplayArrayInTable(Fuel_SourceData.Fuel_Scope1EmissionFactorsStationaryGaseous_Data(), Table_Fuel_EFs_StationaryGaseous[[#Headers],[Fuel combusted]],0)</f>
        <v>0.5</v>
      </c>
      <c r="K102" s="154"/>
      <c r="L102" s="154"/>
    </row>
    <row r="103" spans="1:13" ht="20.100000000000001" customHeight="1" x14ac:dyDescent="0.2">
      <c r="D103" s="182" t="str" cm="1">
        <f t="array" ref="D103">Common_InputFunctions.Utility_DisplayArrayInTable(Fuel_SourceData.Fuel_Scope1EmissionFactorsStationaryGaseous_Data(), Table_Fuel_EFs_StationaryGaseous[[#Headers],[Fuel combusted]],0)</f>
        <v>Natural gas distributed in a pipeline - Gigajoules</v>
      </c>
      <c r="E103" s="182" cm="1">
        <f t="array" ref="E103">Common_InputFunctions.Utility_DisplayArrayInTable(Fuel_SourceData.Fuel_Scope1EmissionFactorsStationaryGaseous_Data(), Table_Fuel_EFs_StationaryGaseous[[#Headers],[Fuel combusted]],0)</f>
        <v>1</v>
      </c>
      <c r="F103" s="182" t="str" cm="1">
        <f t="array" ref="F103">Common_InputFunctions.Utility_DisplayArrayInTable(Fuel_SourceData.Fuel_Scope1EmissionFactorsStationaryGaseous_Data(), Table_Fuel_EFs_StationaryGaseous[[#Headers],[Fuel combusted]],0)</f>
        <v>GJ</v>
      </c>
      <c r="G103" s="182" cm="1">
        <f t="array" ref="G103">Common_InputFunctions.Utility_DisplayArrayInTable(Fuel_SourceData.Fuel_Scope1EmissionFactorsStationaryGaseous_Data(), Table_Fuel_EFs_StationaryGaseous[[#Headers],[Fuel combusted]],0)</f>
        <v>51.4</v>
      </c>
      <c r="H103" s="182" cm="1">
        <f t="array" ref="H103">Common_InputFunctions.Utility_DisplayArrayInTable(Fuel_SourceData.Fuel_Scope1EmissionFactorsStationaryGaseous_Data(), Table_Fuel_EFs_StationaryGaseous[[#Headers],[Fuel combusted]],0)</f>
        <v>0.1</v>
      </c>
      <c r="I103" s="182" cm="1">
        <f t="array" ref="I103">Common_InputFunctions.Utility_DisplayArrayInTable(Fuel_SourceData.Fuel_Scope1EmissionFactorsStationaryGaseous_Data(), Table_Fuel_EFs_StationaryGaseous[[#Headers],[Fuel combusted]],0)</f>
        <v>0.03</v>
      </c>
      <c r="J103" s="182" cm="1">
        <f t="array" ref="J103">Common_InputFunctions.Utility_DisplayArrayInTable(Fuel_SourceData.Fuel_Scope1EmissionFactorsStationaryGaseous_Data(), Table_Fuel_EFs_StationaryGaseous[[#Headers],[Fuel combusted]],0)</f>
        <v>51.53</v>
      </c>
      <c r="K103" s="154"/>
      <c r="L103" s="154"/>
    </row>
    <row r="104" spans="1:13" ht="20.100000000000001" customHeight="1" x14ac:dyDescent="0.2">
      <c r="D104" s="182" t="str" cm="1">
        <f t="array" ref="D104">Common_InputFunctions.Utility_DisplayArrayInTable(Fuel_SourceData.Fuel_Scope1EmissionFactorsStationaryGaseous_Data(), Table_Fuel_EFs_StationaryGaseous[[#Headers],[Fuel combusted]],0)</f>
        <v>Town gas - Gigajoules</v>
      </c>
      <c r="E104" s="182" cm="1">
        <f t="array" ref="E104">Common_InputFunctions.Utility_DisplayArrayInTable(Fuel_SourceData.Fuel_Scope1EmissionFactorsStationaryGaseous_Data(), Table_Fuel_EFs_StationaryGaseous[[#Headers],[Fuel combusted]],0)</f>
        <v>1</v>
      </c>
      <c r="F104" s="182" t="str" cm="1">
        <f t="array" ref="F104">Common_InputFunctions.Utility_DisplayArrayInTable(Fuel_SourceData.Fuel_Scope1EmissionFactorsStationaryGaseous_Data(), Table_Fuel_EFs_StationaryGaseous[[#Headers],[Fuel combusted]],0)</f>
        <v>GJ</v>
      </c>
      <c r="G104" s="182" cm="1">
        <f t="array" ref="G104">Common_InputFunctions.Utility_DisplayArrayInTable(Fuel_SourceData.Fuel_Scope1EmissionFactorsStationaryGaseous_Data(), Table_Fuel_EFs_StationaryGaseous[[#Headers],[Fuel combusted]],0)</f>
        <v>60.2</v>
      </c>
      <c r="H104" s="182" cm="1">
        <f t="array" ref="H104">Common_InputFunctions.Utility_DisplayArrayInTable(Fuel_SourceData.Fuel_Scope1EmissionFactorsStationaryGaseous_Data(), Table_Fuel_EFs_StationaryGaseous[[#Headers],[Fuel combusted]],0)</f>
        <v>0.04</v>
      </c>
      <c r="I104" s="182" cm="1">
        <f t="array" ref="I104">Common_InputFunctions.Utility_DisplayArrayInTable(Fuel_SourceData.Fuel_Scope1EmissionFactorsStationaryGaseous_Data(), Table_Fuel_EFs_StationaryGaseous[[#Headers],[Fuel combusted]],0)</f>
        <v>0.03</v>
      </c>
      <c r="J104" s="182" cm="1">
        <f t="array" ref="J104">Common_InputFunctions.Utility_DisplayArrayInTable(Fuel_SourceData.Fuel_Scope1EmissionFactorsStationaryGaseous_Data(), Table_Fuel_EFs_StationaryGaseous[[#Headers],[Fuel combusted]],0)</f>
        <v>60.27</v>
      </c>
      <c r="K104" s="154"/>
      <c r="L104" s="154"/>
    </row>
    <row r="105" spans="1:13" ht="20.100000000000001" customHeight="1" x14ac:dyDescent="0.2">
      <c r="D105" s="154"/>
      <c r="E105" s="154"/>
      <c r="F105" s="154"/>
      <c r="G105" s="154"/>
      <c r="H105" s="154"/>
      <c r="I105" s="154"/>
      <c r="J105" s="154"/>
      <c r="K105" s="154"/>
      <c r="L105" s="154"/>
      <c r="M105" s="154"/>
    </row>
    <row r="106" spans="1:13" ht="20.100000000000001" customHeight="1" x14ac:dyDescent="0.2">
      <c r="D106" s="154"/>
      <c r="E106" s="154"/>
      <c r="F106" s="154"/>
      <c r="G106" s="154"/>
      <c r="H106" s="154"/>
      <c r="I106" s="154"/>
      <c r="J106" s="154"/>
      <c r="K106" s="154"/>
      <c r="L106" s="154"/>
      <c r="M106" s="154"/>
    </row>
    <row r="107" spans="1:13" ht="20.100000000000001" customHeight="1" x14ac:dyDescent="0.2">
      <c r="D107" s="2" t="str" cm="1">
        <f t="array" ref="D107">Fuel_SourceData.Fuel_Scope3EmissionFactorsStationaryGaseous_Title()</f>
        <v>Fuel scope 3 emission factors - Stationary gaseous fuels</v>
      </c>
      <c r="E107" s="154"/>
      <c r="F107" s="154"/>
      <c r="G107" s="154"/>
      <c r="H107" s="154"/>
      <c r="I107" s="154"/>
      <c r="J107" s="154"/>
      <c r="K107" s="154"/>
      <c r="L107" s="154"/>
    </row>
    <row r="108" spans="1:13" ht="20.100000000000001" customHeight="1" x14ac:dyDescent="0.2">
      <c r="D108" s="1" t="str" cm="1">
        <f t="array" ref="D108">Fuel_SourceData.Fuel_Scope3EmissionFactorsStationaryGaseous_Description()</f>
        <v>Indirect (Scope 3) emission factors for the consumption of natural gas.</v>
      </c>
      <c r="E108" s="154"/>
      <c r="F108" s="154"/>
      <c r="G108" s="154"/>
      <c r="H108" s="154"/>
      <c r="I108" s="154"/>
      <c r="J108" s="154"/>
      <c r="K108" s="154"/>
      <c r="L108" s="154"/>
    </row>
    <row r="109" spans="1:13" ht="20.100000000000001" customHeight="1" x14ac:dyDescent="0.2">
      <c r="D109" s="17" t="str" cm="1">
        <f t="array" ref="D109">Fuel_SourceData.Fuel_Scope3EmissionFactorsStationaryGaseous_Source()</f>
        <v>Australian National Greenhouse Accounts Factors 2025 - Table 6</v>
      </c>
      <c r="E109" s="154"/>
      <c r="F109" s="154"/>
      <c r="G109" s="154"/>
      <c r="H109" s="154"/>
      <c r="I109" s="154"/>
      <c r="J109" s="154"/>
      <c r="K109" s="154"/>
      <c r="L109" s="154"/>
    </row>
    <row r="110" spans="1:13" ht="20.100000000000001" customHeight="1" x14ac:dyDescent="0.2">
      <c r="D110" s="25"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154"/>
      <c r="F110" s="154"/>
      <c r="G110" s="154"/>
      <c r="H110" s="154"/>
      <c r="I110" s="154"/>
      <c r="J110" s="154"/>
      <c r="K110" s="154"/>
      <c r="L110" s="154"/>
    </row>
    <row r="111" spans="1:13" ht="20.100000000000001" customHeight="1" x14ac:dyDescent="0.2">
      <c r="D111" s="154"/>
      <c r="E111" s="154"/>
      <c r="F111" s="154"/>
      <c r="G111" s="154"/>
      <c r="H111" s="154"/>
      <c r="I111" s="154"/>
      <c r="J111" s="154"/>
      <c r="K111" s="154"/>
      <c r="L111" s="154"/>
    </row>
    <row r="112" spans="1:13" ht="20.100000000000001" customHeight="1" x14ac:dyDescent="0.2">
      <c r="D112" s="147" t="s">
        <v>655</v>
      </c>
      <c r="E112" s="181" t="s">
        <v>590</v>
      </c>
      <c r="F112" s="181" t="s">
        <v>656</v>
      </c>
      <c r="G112" s="154"/>
      <c r="H112" s="75" t="s">
        <v>657</v>
      </c>
      <c r="I112" s="154"/>
      <c r="J112" s="154"/>
      <c r="K112" s="154"/>
      <c r="L112" s="154"/>
    </row>
    <row r="113" spans="1:13" ht="20.100000000000001" customHeight="1" x14ac:dyDescent="0.2">
      <c r="D113" s="184" t="str" cm="1">
        <f t="array" ref="D113">Common_InputFunctions.Utility_DisplayArrayInTable(Fuel_SourceData.Fuel_Scope3EmissionFactorsStationaryGaseous_Data(), Table_Fuel_EFs_StationaryGaseous34[[#Headers],[State or territory]],0)</f>
        <v>New South Wales</v>
      </c>
      <c r="E113" s="184" cm="1">
        <f t="array" ref="E113">Common_InputFunctions.Utility_DisplayArrayInTable(Fuel_SourceData.Fuel_Scope3EmissionFactorsStationaryGaseous_Data(), Table_Fuel_EFs_StationaryGaseous34[[#Headers],[State or territory]],0)</f>
        <v>13.1</v>
      </c>
      <c r="F113" s="184" cm="1">
        <f t="array" ref="F113">Common_InputFunctions.Utility_DisplayArrayInTable(Fuel_SourceData.Fuel_Scope3EmissionFactorsStationaryGaseous_Data(), Table_Fuel_EFs_StationaryGaseous34[[#Headers],[State or territory]],0)</f>
        <v>14</v>
      </c>
      <c r="G113" s="185"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154"/>
      <c r="J113" s="154"/>
      <c r="K113" s="154"/>
      <c r="L113" s="154"/>
    </row>
    <row r="114" spans="1:13" ht="20.100000000000001" customHeight="1" x14ac:dyDescent="0.2">
      <c r="D114" s="184" t="str" cm="1">
        <f t="array" ref="D114">Common_InputFunctions.Utility_DisplayArrayInTable(Fuel_SourceData.Fuel_Scope3EmissionFactorsStationaryGaseous_Data(), Table_Fuel_EFs_StationaryGaseous34[[#Headers],[State or territory]],0)</f>
        <v>ACT</v>
      </c>
      <c r="E114" s="184" cm="1">
        <f t="array" ref="E114">Common_InputFunctions.Utility_DisplayArrayInTable(Fuel_SourceData.Fuel_Scope3EmissionFactorsStationaryGaseous_Data(), Table_Fuel_EFs_StationaryGaseous34[[#Headers],[State or territory]],0)</f>
        <v>13.1</v>
      </c>
      <c r="F114" s="184" cm="1">
        <f t="array" ref="F114">Common_InputFunctions.Utility_DisplayArrayInTable(Fuel_SourceData.Fuel_Scope3EmissionFactorsStationaryGaseous_Data(), Table_Fuel_EFs_StationaryGaseous34[[#Headers],[State or territory]],0)</f>
        <v>14</v>
      </c>
      <c r="G114" s="185" t="str">
        <v/>
      </c>
      <c r="H114" s="1" t="str">
        <v>Gas reaches end users either from the metro distribution networks or direct from the high - pressure distribution pipelines.</v>
      </c>
      <c r="I114" s="154"/>
      <c r="J114" s="154"/>
      <c r="K114" s="154"/>
      <c r="L114" s="154"/>
    </row>
    <row r="115" spans="1:13" ht="20.100000000000001" customHeight="1" x14ac:dyDescent="0.2">
      <c r="D115" s="184" t="str" cm="1">
        <f t="array" ref="D115">Common_InputFunctions.Utility_DisplayArrayInTable(Fuel_SourceData.Fuel_Scope3EmissionFactorsStationaryGaseous_Data(), Table_Fuel_EFs_StationaryGaseous34[[#Headers],[State or territory]],0)</f>
        <v>Victoria</v>
      </c>
      <c r="E115" s="184" cm="1">
        <f t="array" ref="E115">Common_InputFunctions.Utility_DisplayArrayInTable(Fuel_SourceData.Fuel_Scope3EmissionFactorsStationaryGaseous_Data(), Table_Fuel_EFs_StationaryGaseous34[[#Headers],[State or territory]],0)</f>
        <v>4</v>
      </c>
      <c r="F115" s="184" cm="1">
        <f t="array" ref="F115">Common_InputFunctions.Utility_DisplayArrayInTable(Fuel_SourceData.Fuel_Scope3EmissionFactorsStationaryGaseous_Data(), Table_Fuel_EFs_StationaryGaseous34[[#Headers],[State or territory]],0)</f>
        <v>4</v>
      </c>
      <c r="G115" s="185" t="str">
        <v/>
      </c>
      <c r="H115" s="1" t="str">
        <v>Households and commercial users tend to be served by the former, and electricity generators and large industrial plants from the latter.</v>
      </c>
      <c r="I115" s="154"/>
      <c r="J115" s="154"/>
      <c r="K115" s="154"/>
      <c r="L115" s="154"/>
    </row>
    <row r="116" spans="1:13" ht="20.100000000000001" customHeight="1" x14ac:dyDescent="0.2">
      <c r="D116" s="184" t="str" cm="1">
        <f t="array" ref="D116">Common_InputFunctions.Utility_DisplayArrayInTable(Fuel_SourceData.Fuel_Scope3EmissionFactorsStationaryGaseous_Data(), Table_Fuel_EFs_StationaryGaseous34[[#Headers],[State or territory]],0)</f>
        <v>Queensland</v>
      </c>
      <c r="E116" s="184" cm="1">
        <f t="array" ref="E116">Common_InputFunctions.Utility_DisplayArrayInTable(Fuel_SourceData.Fuel_Scope3EmissionFactorsStationaryGaseous_Data(), Table_Fuel_EFs_StationaryGaseous34[[#Headers],[State or territory]],0)</f>
        <v>8.8000000000000007</v>
      </c>
      <c r="F116" s="184" cm="1">
        <f t="array" ref="F116">Common_InputFunctions.Utility_DisplayArrayInTable(Fuel_SourceData.Fuel_Scope3EmissionFactorsStationaryGaseous_Data(), Table_Fuel_EFs_StationaryGaseous34[[#Headers],[State or territory]],0)</f>
        <v>7.9</v>
      </c>
      <c r="G116" s="185" t="str">
        <v>-</v>
      </c>
      <c r="H116" s="1" t="str">
        <v>Metro is defined as located on or east of the dividing range in NSW, including Canberra and Queanbeyan, Melbourne, Brisbane, Adelaide or Perth.</v>
      </c>
      <c r="I116" s="154"/>
      <c r="J116" s="154"/>
      <c r="K116" s="154"/>
      <c r="L116" s="154"/>
    </row>
    <row r="117" spans="1:13" ht="20.100000000000001" customHeight="1" x14ac:dyDescent="0.2">
      <c r="D117" s="184" t="str" cm="1">
        <f t="array" ref="D117">Common_InputFunctions.Utility_DisplayArrayInTable(Fuel_SourceData.Fuel_Scope3EmissionFactorsStationaryGaseous_Data(), Table_Fuel_EFs_StationaryGaseous34[[#Headers],[State or territory]],0)</f>
        <v>South Australia</v>
      </c>
      <c r="E117" s="184" cm="1">
        <f t="array" ref="E117">Common_InputFunctions.Utility_DisplayArrayInTable(Fuel_SourceData.Fuel_Scope3EmissionFactorsStationaryGaseous_Data(), Table_Fuel_EFs_StationaryGaseous34[[#Headers],[State or territory]],0)</f>
        <v>10.7</v>
      </c>
      <c r="F117" s="184" cm="1">
        <f t="array" ref="F117">Common_InputFunctions.Utility_DisplayArrayInTable(Fuel_SourceData.Fuel_Scope3EmissionFactorsStationaryGaseous_Data(), Table_Fuel_EFs_StationaryGaseous34[[#Headers],[State or territory]],0)</f>
        <v>10.6</v>
      </c>
      <c r="G117" s="185" t="str">
        <v/>
      </c>
      <c r="H117" s="1" t="str">
        <v>Otherwise, the non - metro factor should be used.</v>
      </c>
      <c r="I117" s="154"/>
      <c r="J117" s="154"/>
      <c r="K117" s="154"/>
      <c r="L117" s="154"/>
    </row>
    <row r="118" spans="1:13" ht="20.100000000000001" customHeight="1" x14ac:dyDescent="0.2">
      <c r="D118" s="184" t="str" cm="1">
        <f t="array" ref="D118">Common_InputFunctions.Utility_DisplayArrayInTable(Fuel_SourceData.Fuel_Scope3EmissionFactorsStationaryGaseous_Data(), Table_Fuel_EFs_StationaryGaseous34[[#Headers],[State or territory]],0)</f>
        <v>Western Australia</v>
      </c>
      <c r="E118" s="184" cm="1">
        <f t="array" ref="E118">Common_InputFunctions.Utility_DisplayArrayInTable(Fuel_SourceData.Fuel_Scope3EmissionFactorsStationaryGaseous_Data(), Table_Fuel_EFs_StationaryGaseous34[[#Headers],[State or territory]],0)</f>
        <v>4.0999999999999996</v>
      </c>
      <c r="F118" s="184" cm="1">
        <f t="array" ref="F118">Common_InputFunctions.Utility_DisplayArrayInTable(Fuel_SourceData.Fuel_Scope3EmissionFactorsStationaryGaseous_Data(), Table_Fuel_EFs_StationaryGaseous34[[#Headers],[State or territory]],0)</f>
        <v>4</v>
      </c>
      <c r="G118" s="185" t="str">
        <v>-</v>
      </c>
      <c r="H118" s="1" t="str">
        <v>Factors are calculated for all natural gas distributed in a pipeline which may include coal seam methane.</v>
      </c>
      <c r="I118" s="154"/>
      <c r="J118" s="154"/>
      <c r="K118" s="154"/>
      <c r="L118" s="154"/>
    </row>
    <row r="119" spans="1:13" ht="20.100000000000001" customHeight="1" x14ac:dyDescent="0.2">
      <c r="D119" s="184" t="str" cm="1">
        <f t="array" ref="D119">Common_InputFunctions.Utility_DisplayArrayInTable(Fuel_SourceData.Fuel_Scope3EmissionFactorsStationaryGaseous_Data(), Table_Fuel_EFs_StationaryGaseous34[[#Headers],[State or territory]],0)</f>
        <v>Tasmania</v>
      </c>
      <c r="E119" s="184" cm="1">
        <f t="array" ref="E119">Common_InputFunctions.Utility_DisplayArrayInTable(Fuel_SourceData.Fuel_Scope3EmissionFactorsStationaryGaseous_Data(), Table_Fuel_EFs_StationaryGaseous34[[#Headers],[State or territory]],0)</f>
        <v>4</v>
      </c>
      <c r="F119" s="184" cm="1">
        <f t="array" ref="F119">Common_InputFunctions.Utility_DisplayArrayInTable(Fuel_SourceData.Fuel_Scope3EmissionFactorsStationaryGaseous_Data(), Table_Fuel_EFs_StationaryGaseous34[[#Headers],[State or territory]],0)</f>
        <v>4</v>
      </c>
      <c r="G119" s="185" t="str">
        <v>-</v>
      </c>
      <c r="H119" s="1" t="str">
        <v>Table 6 is not applicable to ethane. See Table 7 Indirect (Scope 3) emissions from the consumption of ethane.</v>
      </c>
      <c r="I119" s="154"/>
      <c r="J119" s="154"/>
      <c r="K119" s="154"/>
      <c r="L119" s="154"/>
    </row>
    <row r="120" spans="1:13" ht="20.100000000000001" customHeight="1" x14ac:dyDescent="0.2">
      <c r="D120" s="184" t="str" cm="1">
        <f t="array" ref="D120">Common_InputFunctions.Utility_DisplayArrayInTable(Fuel_SourceData.Fuel_Scope3EmissionFactorsStationaryGaseous_Data(), Table_Fuel_EFs_StationaryGaseous34[[#Headers],[State or territory]],0)</f>
        <v>Northern Territory</v>
      </c>
      <c r="E120" s="184" cm="1">
        <f t="array" ref="E120">Common_InputFunctions.Utility_DisplayArrayInTable(Fuel_SourceData.Fuel_Scope3EmissionFactorsStationaryGaseous_Data(), Table_Fuel_EFs_StationaryGaseous34[[#Headers],[State or territory]],0)</f>
        <v>4.0999999999999996</v>
      </c>
      <c r="F120" s="184" cm="1">
        <f t="array" ref="F120">Common_InputFunctions.Utility_DisplayArrayInTable(Fuel_SourceData.Fuel_Scope3EmissionFactorsStationaryGaseous_Data(), Table_Fuel_EFs_StationaryGaseous34[[#Headers],[State or territory]],0)</f>
        <v>4</v>
      </c>
      <c r="G120" s="185" t="str">
        <v>-</v>
      </c>
      <c r="H120" s="1" t="str">
        <v>C = Confidential. Scope 3 emission factors for Tasmania and the Northern Territory are not available due to confidentiality constraints that arise</v>
      </c>
      <c r="I120" s="154"/>
      <c r="J120" s="154"/>
      <c r="K120" s="154"/>
      <c r="L120" s="154"/>
    </row>
    <row r="121" spans="1:13" ht="20.100000000000001" customHeight="1" x14ac:dyDescent="0.2">
      <c r="D121" s="8"/>
      <c r="E121" s="8"/>
      <c r="F121" s="8"/>
      <c r="G121" s="185" t="str">
        <v/>
      </c>
      <c r="H121" s="1" t="str">
        <v>from the use of a limited number of NGER data inputs. It is suggested that for Tasmania the use of the Victorian emission factors is appropriate,</v>
      </c>
      <c r="I121" s="154"/>
      <c r="J121" s="154"/>
      <c r="K121" s="154"/>
      <c r="L121" s="154"/>
    </row>
    <row r="122" spans="1:13" ht="20.100000000000001" customHeight="1" x14ac:dyDescent="0.2">
      <c r="D122" s="154"/>
      <c r="F122" s="186"/>
      <c r="G122" s="185" t="str">
        <v/>
      </c>
      <c r="H122" s="1" t="str">
        <v>while for Northern Territory the use of the Western Australian emission factors is appropriate.</v>
      </c>
      <c r="I122" s="154"/>
      <c r="J122" s="154"/>
      <c r="K122" s="154"/>
      <c r="L122" s="154"/>
    </row>
    <row r="123" spans="1:13" ht="20.100000000000001" customHeight="1" x14ac:dyDescent="0.2">
      <c r="D123" s="187"/>
      <c r="F123" s="186"/>
      <c r="G123" s="185" t="str">
        <v>-</v>
      </c>
      <c r="H123" s="1" t="str">
        <v>Scope 3 emission factors do not include fugitive emission leakage from low pressure natural gas distribution pipeline networks while those from high pressure</v>
      </c>
      <c r="I123" s="154"/>
      <c r="J123" s="154"/>
      <c r="K123" s="154"/>
      <c r="L123" s="154"/>
    </row>
    <row r="124" spans="1:13" ht="20.100000000000001" customHeight="1" x14ac:dyDescent="0.2">
      <c r="D124" s="187"/>
      <c r="F124" s="186"/>
      <c r="G124" s="154" t="str">
        <v/>
      </c>
      <c r="H124" s="1" t="str">
        <v>gas networks are considered negligible.</v>
      </c>
      <c r="I124" s="154"/>
      <c r="J124" s="154"/>
      <c r="K124" s="154"/>
      <c r="L124" s="154"/>
    </row>
    <row r="125" spans="1:13" ht="20.100000000000001" customHeight="1" x14ac:dyDescent="0.2">
      <c r="D125" s="187"/>
      <c r="F125" s="186"/>
      <c r="G125" s="154"/>
      <c r="H125" s="154"/>
      <c r="I125" s="154"/>
      <c r="J125" s="154"/>
      <c r="K125" s="154"/>
      <c r="L125" s="154"/>
    </row>
    <row r="126" spans="1:13" ht="20.100000000000001" customHeight="1" x14ac:dyDescent="0.2">
      <c r="D126" s="154"/>
      <c r="E126" s="154"/>
      <c r="F126" s="154"/>
      <c r="G126" s="154"/>
      <c r="H126" s="154"/>
      <c r="I126" s="154"/>
      <c r="J126" s="154"/>
      <c r="K126" s="154"/>
      <c r="L126" s="154"/>
      <c r="M126" s="154"/>
    </row>
    <row r="127" spans="1:13" ht="20.100000000000001" customHeight="1" x14ac:dyDescent="0.2">
      <c r="D127" s="154"/>
      <c r="E127" s="154"/>
      <c r="F127" s="154"/>
      <c r="G127" s="154"/>
      <c r="H127" s="154"/>
      <c r="I127" s="154"/>
      <c r="J127" s="154"/>
      <c r="K127" s="154"/>
      <c r="L127" s="154"/>
      <c r="M127" s="154"/>
    </row>
    <row r="128" spans="1:13" ht="20.100000000000001" customHeight="1" x14ac:dyDescent="0.2">
      <c r="A128" s="79" t="str">
        <f>HYPERLINK("#A1", "▲ Back to top")</f>
        <v>▲ Back to top</v>
      </c>
      <c r="D128" s="154"/>
      <c r="E128" s="154"/>
      <c r="F128" s="154"/>
      <c r="G128" s="154"/>
      <c r="H128" s="154"/>
      <c r="I128" s="154"/>
      <c r="J128" s="154"/>
      <c r="K128" s="154"/>
      <c r="L128" s="154"/>
      <c r="M128" s="154"/>
    </row>
    <row r="129" spans="4:33" ht="20.100000000000001" customHeight="1" x14ac:dyDescent="0.2">
      <c r="D129" s="188"/>
      <c r="E129" s="154"/>
      <c r="F129" s="154"/>
      <c r="G129" s="154"/>
      <c r="H129" s="154"/>
      <c r="I129" s="154"/>
      <c r="J129" s="154"/>
      <c r="K129" s="154"/>
      <c r="L129" s="154"/>
    </row>
    <row r="130" spans="4:33" ht="20.100000000000001" customHeight="1" x14ac:dyDescent="0.2">
      <c r="D130" s="189" t="s">
        <v>658</v>
      </c>
      <c r="E130" s="189" t="s">
        <v>599</v>
      </c>
      <c r="F130" s="189" t="s">
        <v>659</v>
      </c>
      <c r="G130" s="189" t="s">
        <v>602</v>
      </c>
      <c r="H130" s="189" t="s">
        <v>604</v>
      </c>
      <c r="I130" s="189" t="s">
        <v>605</v>
      </c>
      <c r="J130" s="154"/>
      <c r="K130" s="154"/>
      <c r="L130" s="154"/>
    </row>
    <row r="131" spans="4:33" ht="20.100000000000001" customHeight="1" x14ac:dyDescent="0.2">
      <c r="D131" s="190" t="str">
        <f>$D$143</f>
        <v>Petrol</v>
      </c>
      <c r="E131" s="190" t="str">
        <f>$D$143</f>
        <v>Petrol</v>
      </c>
      <c r="F131" s="190" t="str">
        <f>$D$150</f>
        <v>Avgas</v>
      </c>
      <c r="G131" s="190" t="str">
        <f>$D$143</f>
        <v>Petrol</v>
      </c>
      <c r="H131" s="190" t="str">
        <f>$D$144</f>
        <v>Diesel</v>
      </c>
      <c r="I131" s="190" t="str">
        <f>$D$143</f>
        <v>Petrol</v>
      </c>
      <c r="J131" s="154"/>
      <c r="K131" s="154"/>
      <c r="L131" s="154"/>
    </row>
    <row r="132" spans="4:33" ht="20.100000000000001" customHeight="1" x14ac:dyDescent="0.2">
      <c r="D132" s="190" t="str">
        <f>$D$144</f>
        <v>Diesel</v>
      </c>
      <c r="E132" s="190" t="str">
        <f>$D$144</f>
        <v>Diesel</v>
      </c>
      <c r="F132" s="190" t="str">
        <f>$D$151</f>
        <v>Jet A1, Jet B</v>
      </c>
      <c r="G132" s="190" t="str">
        <f>$D$144</f>
        <v>Diesel</v>
      </c>
      <c r="H132" s="190"/>
      <c r="I132" s="190" t="str">
        <f>$D$144</f>
        <v>Diesel</v>
      </c>
      <c r="J132" s="154"/>
      <c r="K132" s="154"/>
      <c r="L132" s="154"/>
    </row>
    <row r="133" spans="4:33" ht="20.100000000000001" customHeight="1" x14ac:dyDescent="0.2">
      <c r="D133" s="190" t="str">
        <f>$D$145</f>
        <v>Liquefied petroleum gas (LPG)</v>
      </c>
      <c r="E133" s="190" t="str">
        <f>$D$145</f>
        <v>Liquefied petroleum gas (LPG)</v>
      </c>
      <c r="F133" s="190" t="str">
        <f>$D$152</f>
        <v>Renewable aviation kerosene</v>
      </c>
      <c r="G133" s="190" t="str">
        <f>$D$145</f>
        <v>Liquefied petroleum gas (LPG)</v>
      </c>
      <c r="H133" s="190"/>
      <c r="I133" s="190" t="s">
        <v>606</v>
      </c>
      <c r="J133" s="154"/>
      <c r="K133" s="154"/>
      <c r="L133" s="154"/>
    </row>
    <row r="134" spans="4:33" ht="20.100000000000001" customHeight="1" x14ac:dyDescent="0.2">
      <c r="D134" s="190" t="str">
        <f>$D$146</f>
        <v>Biodiesel</v>
      </c>
      <c r="E134" s="190" t="str">
        <f>$D$146</f>
        <v>Biodiesel</v>
      </c>
      <c r="F134" s="189"/>
      <c r="G134" s="190" t="str">
        <f>$D$160</f>
        <v>Fuel oil</v>
      </c>
      <c r="H134" s="190"/>
      <c r="I134" s="190"/>
      <c r="J134" s="154"/>
      <c r="K134" s="154"/>
      <c r="L134" s="154"/>
    </row>
    <row r="135" spans="4:33" ht="20.100000000000001" customHeight="1" x14ac:dyDescent="0.2">
      <c r="D135" s="190" t="str">
        <f>$D$147</f>
        <v>Ethanol</v>
      </c>
      <c r="E135" s="190" t="str">
        <f>$D$147</f>
        <v>Ethanol</v>
      </c>
      <c r="F135" s="189"/>
      <c r="G135" s="190" t="str">
        <f>$D$147</f>
        <v>Ethanol</v>
      </c>
      <c r="H135" s="190"/>
      <c r="I135" s="190"/>
      <c r="J135" s="154"/>
      <c r="K135" s="154"/>
      <c r="L135" s="154"/>
    </row>
    <row r="136" spans="4:33" ht="20.100000000000001" customHeight="1" x14ac:dyDescent="0.2">
      <c r="D136" s="190" t="str">
        <f>$D$148</f>
        <v>Other biofuels</v>
      </c>
      <c r="E136" s="190" t="str">
        <f>$D$148</f>
        <v>Other biofuels</v>
      </c>
      <c r="F136" s="189"/>
      <c r="G136" s="190" t="str">
        <f>$D$146</f>
        <v>Biodiesel</v>
      </c>
      <c r="H136" s="190"/>
      <c r="I136" s="190"/>
      <c r="J136" s="154"/>
      <c r="K136" s="154"/>
      <c r="L136" s="154"/>
    </row>
    <row r="137" spans="4:33" ht="20.100000000000001" customHeight="1" x14ac:dyDescent="0.2">
      <c r="D137" s="190" t="str">
        <f>$D$149</f>
        <v>Renewable diesel</v>
      </c>
      <c r="E137" s="190" t="str">
        <f>$D$149</f>
        <v>Renewable diesel</v>
      </c>
      <c r="F137" s="189"/>
      <c r="G137" s="190" t="str">
        <f>$D$149</f>
        <v>Renewable diesel</v>
      </c>
      <c r="H137" s="190"/>
      <c r="I137" s="190"/>
      <c r="J137" s="154"/>
      <c r="K137" s="154"/>
      <c r="L137" s="154"/>
    </row>
    <row r="138" spans="4:33" ht="20.100000000000001" customHeight="1" x14ac:dyDescent="0.2">
      <c r="D138" s="189"/>
      <c r="E138" s="191" t="str">
        <f>$D$161</f>
        <v>Natural gas (via pipeline) in GJ</v>
      </c>
      <c r="F138" s="191"/>
      <c r="G138" s="190" t="str">
        <f>$D$148</f>
        <v>Other biofuels</v>
      </c>
      <c r="H138" s="190"/>
      <c r="I138" s="190"/>
      <c r="J138" s="154"/>
      <c r="K138" s="154"/>
      <c r="L138" s="154"/>
    </row>
    <row r="139" spans="4:33" ht="20.100000000000001" customHeight="1" x14ac:dyDescent="0.2">
      <c r="D139" s="191"/>
      <c r="E139" s="191" t="str">
        <f>$D$162</f>
        <v>Town gas in GJ</v>
      </c>
      <c r="F139" s="191"/>
      <c r="G139" s="191"/>
      <c r="H139" s="191"/>
      <c r="I139" s="191"/>
      <c r="J139" s="154"/>
      <c r="K139" s="154"/>
      <c r="L139" s="154"/>
    </row>
    <row r="140" spans="4:33" ht="20.100000000000001" customHeight="1" x14ac:dyDescent="0.2">
      <c r="D140" s="154"/>
      <c r="E140" s="154"/>
      <c r="F140" s="154"/>
      <c r="G140" s="154"/>
      <c r="H140" s="154"/>
      <c r="I140" s="154"/>
      <c r="J140" s="154"/>
      <c r="K140" s="154"/>
      <c r="L140" s="154"/>
    </row>
    <row r="141" spans="4:33" ht="20.100000000000001" customHeight="1" x14ac:dyDescent="0.2">
      <c r="D141" s="154"/>
      <c r="E141" s="154"/>
      <c r="F141" s="154"/>
      <c r="G141" s="154"/>
      <c r="H141" s="154"/>
      <c r="I141" s="154"/>
      <c r="J141" s="154"/>
      <c r="K141" s="154"/>
      <c r="L141" s="154"/>
    </row>
    <row r="142" spans="4:33" ht="20.100000000000001" customHeight="1" x14ac:dyDescent="0.2">
      <c r="D142" t="s">
        <v>660</v>
      </c>
      <c r="E142" t="s">
        <v>118</v>
      </c>
      <c r="F142" t="s">
        <v>661</v>
      </c>
      <c r="G142" s="154"/>
      <c r="H142" s="154"/>
      <c r="I142" s="154"/>
      <c r="J142" s="154"/>
      <c r="K142" s="154"/>
      <c r="L142" s="154"/>
      <c r="M142" s="154"/>
      <c r="AG142" s="1"/>
    </row>
    <row r="143" spans="4:33" ht="20.100000000000001" customHeight="1" x14ac:dyDescent="0.2">
      <c r="D143" s="190" t="s">
        <v>601</v>
      </c>
      <c r="E143" t="s">
        <v>662</v>
      </c>
      <c r="F143" t="s">
        <v>663</v>
      </c>
      <c r="G143" s="154"/>
      <c r="H143" s="154"/>
      <c r="I143" s="154"/>
      <c r="J143" s="154"/>
      <c r="K143" s="154"/>
      <c r="L143" s="154"/>
      <c r="M143" s="154"/>
      <c r="AG143" s="1"/>
    </row>
    <row r="144" spans="4:33" ht="20.100000000000001" customHeight="1" x14ac:dyDescent="0.2">
      <c r="D144" s="190" t="s">
        <v>603</v>
      </c>
      <c r="E144" t="s">
        <v>662</v>
      </c>
      <c r="F144" t="s">
        <v>663</v>
      </c>
      <c r="G144" s="154"/>
      <c r="H144" s="154"/>
      <c r="I144" s="154"/>
      <c r="J144" s="154"/>
      <c r="K144" s="154"/>
      <c r="L144" s="154"/>
      <c r="M144" s="154"/>
      <c r="AG144" s="1"/>
    </row>
    <row r="145" spans="1:33" ht="20.100000000000001" customHeight="1" x14ac:dyDescent="0.2">
      <c r="D145" s="190" t="s">
        <v>664</v>
      </c>
      <c r="E145" t="s">
        <v>662</v>
      </c>
      <c r="F145" t="s">
        <v>663</v>
      </c>
      <c r="G145" s="154"/>
      <c r="H145" s="154"/>
      <c r="I145" s="154"/>
      <c r="J145" s="154"/>
      <c r="K145" s="154"/>
      <c r="L145" s="154"/>
      <c r="M145" s="154"/>
      <c r="AG145" s="1"/>
    </row>
    <row r="146" spans="1:33" ht="20.100000000000001" customHeight="1" x14ac:dyDescent="0.2">
      <c r="D146" s="190" t="s">
        <v>665</v>
      </c>
      <c r="E146" t="s">
        <v>662</v>
      </c>
      <c r="F146" t="s">
        <v>663</v>
      </c>
      <c r="G146" s="154"/>
      <c r="H146" s="154"/>
      <c r="I146" s="154"/>
      <c r="J146" s="154"/>
      <c r="K146" s="154"/>
      <c r="L146" s="154"/>
      <c r="M146" s="154"/>
      <c r="AG146" s="1"/>
    </row>
    <row r="147" spans="1:33" ht="20.100000000000001" customHeight="1" x14ac:dyDescent="0.2">
      <c r="D147" s="190" t="s">
        <v>666</v>
      </c>
      <c r="E147" t="s">
        <v>662</v>
      </c>
      <c r="F147" t="s">
        <v>663</v>
      </c>
      <c r="G147" s="154"/>
      <c r="H147" s="154"/>
      <c r="I147" s="154"/>
      <c r="J147" s="154"/>
      <c r="K147" s="154"/>
      <c r="L147" s="154"/>
      <c r="M147" s="154"/>
      <c r="AG147" s="1"/>
    </row>
    <row r="148" spans="1:33" ht="20.100000000000001" customHeight="1" x14ac:dyDescent="0.2">
      <c r="D148" s="190" t="s">
        <v>667</v>
      </c>
      <c r="E148" t="s">
        <v>662</v>
      </c>
      <c r="F148" t="s">
        <v>663</v>
      </c>
      <c r="G148" s="154"/>
      <c r="H148" s="154"/>
      <c r="I148" s="154"/>
      <c r="J148" s="154"/>
      <c r="K148" s="154"/>
      <c r="L148" s="154"/>
      <c r="M148" s="154"/>
      <c r="AG148" s="1"/>
    </row>
    <row r="149" spans="1:33" ht="20.100000000000001" customHeight="1" x14ac:dyDescent="0.2">
      <c r="D149" s="190" t="s">
        <v>668</v>
      </c>
      <c r="E149" t="s">
        <v>662</v>
      </c>
      <c r="F149" t="s">
        <v>663</v>
      </c>
      <c r="G149" s="154"/>
      <c r="H149" s="154"/>
      <c r="I149" s="154"/>
      <c r="J149" s="154"/>
      <c r="K149" s="154"/>
      <c r="L149" s="154"/>
      <c r="M149" s="154"/>
      <c r="AG149" s="1"/>
    </row>
    <row r="150" spans="1:33" ht="20.100000000000001" customHeight="1" x14ac:dyDescent="0.2">
      <c r="D150" s="190" t="s">
        <v>669</v>
      </c>
      <c r="E150" t="s">
        <v>662</v>
      </c>
      <c r="F150" t="s">
        <v>663</v>
      </c>
      <c r="G150" s="154"/>
      <c r="H150" s="154"/>
      <c r="I150" s="154"/>
      <c r="J150" s="154"/>
      <c r="K150" s="154"/>
      <c r="L150" s="154"/>
      <c r="M150" s="154"/>
      <c r="AG150" s="1"/>
    </row>
    <row r="151" spans="1:33" ht="20.100000000000001" customHeight="1" x14ac:dyDescent="0.2">
      <c r="D151" s="190" t="s">
        <v>670</v>
      </c>
      <c r="E151" t="s">
        <v>662</v>
      </c>
      <c r="F151" t="s">
        <v>663</v>
      </c>
      <c r="G151" s="154"/>
      <c r="H151" s="154"/>
      <c r="I151" s="154"/>
      <c r="J151" s="154"/>
      <c r="K151" s="154"/>
      <c r="L151" s="154"/>
      <c r="M151" s="154"/>
      <c r="AG151" s="1"/>
    </row>
    <row r="152" spans="1:33" ht="20.100000000000001" customHeight="1" x14ac:dyDescent="0.2">
      <c r="D152" s="192" t="s">
        <v>671</v>
      </c>
      <c r="E152" s="8" t="s">
        <v>662</v>
      </c>
      <c r="F152" t="s">
        <v>663</v>
      </c>
      <c r="G152" s="154"/>
      <c r="H152" s="154"/>
      <c r="I152" s="154"/>
      <c r="J152" s="154"/>
      <c r="K152" s="154"/>
      <c r="L152" s="154"/>
      <c r="M152" s="154"/>
      <c r="AG152" s="1"/>
    </row>
    <row r="153" spans="1:33" ht="20.100000000000001" customHeight="1" x14ac:dyDescent="0.2">
      <c r="D153" s="192" t="s">
        <v>672</v>
      </c>
      <c r="E153" s="8" t="s">
        <v>662</v>
      </c>
      <c r="F153" t="s">
        <v>663</v>
      </c>
      <c r="G153" s="154"/>
      <c r="H153" s="154"/>
      <c r="I153" s="154"/>
      <c r="J153" s="154"/>
      <c r="K153" s="154"/>
      <c r="L153" s="154"/>
      <c r="M153" s="154"/>
      <c r="AG153" s="1"/>
    </row>
    <row r="154" spans="1:33" ht="20.100000000000001" customHeight="1" x14ac:dyDescent="0.2">
      <c r="D154" s="192" t="s">
        <v>673</v>
      </c>
      <c r="E154" s="8" t="s">
        <v>662</v>
      </c>
      <c r="F154" t="s">
        <v>663</v>
      </c>
      <c r="G154" s="154"/>
      <c r="H154" s="154"/>
      <c r="I154" s="154"/>
      <c r="J154" s="154"/>
      <c r="K154" s="154"/>
      <c r="L154" s="154"/>
      <c r="M154" s="154"/>
      <c r="AG154" s="1"/>
    </row>
    <row r="155" spans="1:33" ht="20.100000000000001" customHeight="1" x14ac:dyDescent="0.2">
      <c r="D155" s="192" t="s">
        <v>674</v>
      </c>
      <c r="E155" s="8" t="s">
        <v>662</v>
      </c>
      <c r="F155" t="s">
        <v>663</v>
      </c>
      <c r="G155" s="154"/>
      <c r="H155" s="154"/>
      <c r="I155" s="154"/>
      <c r="J155" s="154"/>
      <c r="K155" s="154"/>
      <c r="L155" s="154"/>
      <c r="M155" s="154"/>
      <c r="AG155" s="1"/>
    </row>
    <row r="156" spans="1:33" ht="20.100000000000001" customHeight="1" x14ac:dyDescent="0.2">
      <c r="D156" s="192" t="s">
        <v>675</v>
      </c>
      <c r="E156" s="8" t="s">
        <v>662</v>
      </c>
      <c r="F156" t="s">
        <v>663</v>
      </c>
      <c r="G156" s="154"/>
      <c r="H156" s="154"/>
      <c r="I156" s="154"/>
      <c r="J156" s="154"/>
      <c r="K156" s="154"/>
      <c r="L156" s="154"/>
      <c r="M156" s="154"/>
      <c r="AG156" s="1"/>
    </row>
    <row r="157" spans="1:33" ht="20.100000000000001" customHeight="1" x14ac:dyDescent="0.2">
      <c r="D157" s="192" t="s">
        <v>676</v>
      </c>
      <c r="E157" s="8" t="s">
        <v>662</v>
      </c>
      <c r="F157" t="s">
        <v>663</v>
      </c>
      <c r="G157" s="154"/>
      <c r="H157" s="154"/>
      <c r="I157" s="154"/>
      <c r="J157" s="154"/>
      <c r="K157" s="154"/>
      <c r="L157" s="154"/>
      <c r="M157" s="154"/>
      <c r="AG157" s="1"/>
    </row>
    <row r="158" spans="1:33" ht="20.100000000000001" customHeight="1" x14ac:dyDescent="0.2">
      <c r="A158" s="79" t="str">
        <f>HYPERLINK("#A1", "▲ Back to top")</f>
        <v>▲ Back to top</v>
      </c>
      <c r="D158" s="192" t="s">
        <v>677</v>
      </c>
      <c r="E158" s="8" t="s">
        <v>662</v>
      </c>
      <c r="F158" t="s">
        <v>663</v>
      </c>
      <c r="G158" s="154"/>
      <c r="H158" s="154"/>
      <c r="I158" s="154"/>
      <c r="J158" s="154"/>
      <c r="K158" s="154"/>
      <c r="L158" s="154"/>
      <c r="M158" s="154"/>
      <c r="AG158" s="1"/>
    </row>
    <row r="159" spans="1:33" ht="20.100000000000001" customHeight="1" x14ac:dyDescent="0.2">
      <c r="D159" s="192" t="s">
        <v>678</v>
      </c>
      <c r="E159" s="8" t="s">
        <v>662</v>
      </c>
      <c r="F159" t="s">
        <v>663</v>
      </c>
      <c r="G159" s="154"/>
      <c r="H159" s="154"/>
      <c r="I159" s="154"/>
      <c r="J159" s="154"/>
      <c r="K159" s="154"/>
      <c r="L159" s="154"/>
      <c r="M159" s="154"/>
      <c r="AG159" s="1"/>
    </row>
    <row r="160" spans="1:33" ht="20.100000000000001" customHeight="1" x14ac:dyDescent="0.2">
      <c r="D160" s="192" t="s">
        <v>606</v>
      </c>
      <c r="E160" s="8" t="s">
        <v>662</v>
      </c>
      <c r="F160" t="s">
        <v>663</v>
      </c>
      <c r="G160" s="154"/>
      <c r="H160" s="154"/>
      <c r="I160" s="154"/>
      <c r="J160" s="154"/>
      <c r="K160" s="154"/>
      <c r="L160" s="154"/>
      <c r="M160" s="154"/>
      <c r="AG160" s="1"/>
    </row>
    <row r="161" spans="4:33" ht="20.100000000000001" customHeight="1" x14ac:dyDescent="0.2">
      <c r="D161" s="191" t="s">
        <v>679</v>
      </c>
      <c r="E161" s="154" t="s">
        <v>680</v>
      </c>
      <c r="F161" s="154" t="s">
        <v>680</v>
      </c>
      <c r="G161" s="154"/>
      <c r="H161" s="154"/>
      <c r="I161" s="154"/>
      <c r="J161" s="154"/>
      <c r="K161" s="154"/>
      <c r="L161" s="154"/>
      <c r="M161" s="154"/>
      <c r="AG161" s="1"/>
    </row>
    <row r="162" spans="4:33" ht="20.100000000000001" customHeight="1" x14ac:dyDescent="0.2">
      <c r="D162" s="154" t="s">
        <v>600</v>
      </c>
      <c r="E162" s="154" t="s">
        <v>680</v>
      </c>
      <c r="F162" s="154" t="s">
        <v>680</v>
      </c>
      <c r="G162" s="154"/>
      <c r="H162" s="154"/>
      <c r="I162" s="154"/>
      <c r="J162" s="154"/>
      <c r="K162" s="154"/>
      <c r="L162" s="154"/>
      <c r="M162" s="154"/>
      <c r="AG162" s="1"/>
    </row>
  </sheetData>
  <pageMargins left="0.7" right="0.7" top="0.75" bottom="0.75" header="0.3" footer="0.3"/>
  <tableParts count="7">
    <tablePart r:id="rId1"/>
    <tablePart r:id="rId2"/>
    <tablePart r:id="rId3"/>
    <tablePart r:id="rId4"/>
    <tablePart r:id="rId5"/>
    <tablePart r:id="rId6"/>
    <tablePart r:id="rId7"/>
  </tableParts>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7EBF52-833B-414C-AA2C-947CA6687EFD}">
  <sheetPr>
    <tabColor theme="2" tint="-0.499984740745262"/>
  </sheetPr>
  <dimension ref="A1:R24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5703125" customWidth="1"/>
    <col min="3" max="3" width="4.5703125" style="1" customWidth="1"/>
    <col min="4" max="17" width="30.5703125" style="1" customWidth="1"/>
  </cols>
  <sheetData>
    <row r="1" spans="1:17" ht="30" customHeight="1" x14ac:dyDescent="0.35">
      <c r="A1" s="10" t="e" vm="1">
        <v>#VALUE!</v>
      </c>
      <c r="C1"/>
      <c r="D1"/>
      <c r="E1"/>
      <c r="F1"/>
      <c r="G1"/>
      <c r="H1"/>
      <c r="I1"/>
      <c r="J1"/>
      <c r="K1"/>
      <c r="L1"/>
      <c r="M1"/>
      <c r="N1"/>
      <c r="O1"/>
      <c r="P1"/>
      <c r="Q1"/>
    </row>
    <row r="2" spans="1:17" ht="20.100000000000001" customHeight="1" x14ac:dyDescent="0.2">
      <c r="C2"/>
      <c r="D2"/>
      <c r="E2"/>
      <c r="F2"/>
      <c r="G2"/>
      <c r="H2"/>
      <c r="I2"/>
      <c r="J2"/>
      <c r="K2"/>
      <c r="L2"/>
      <c r="M2"/>
      <c r="N2"/>
      <c r="O2"/>
      <c r="P2"/>
      <c r="Q2"/>
    </row>
    <row r="3" spans="1:17" ht="20.100000000000001" customHeight="1" x14ac:dyDescent="0.2">
      <c r="A3" s="5" t="str">
        <f>HYPERLINK("#'Home'!A1", "Home")</f>
        <v>Home</v>
      </c>
    </row>
    <row r="4" spans="1:17" ht="20.100000000000001" customHeight="1" x14ac:dyDescent="0.2">
      <c r="A4" s="5" t="str">
        <f>HYPERLINK("#'Results - Activity period'!A1", "Results - Activity period")</f>
        <v>Results - Activity period</v>
      </c>
    </row>
    <row r="5" spans="1:17" ht="20.100000000000001" customHeight="1" x14ac:dyDescent="0.2">
      <c r="A5" s="5" t="str">
        <f>HYPERLINK("#'Results - Product EI'!A1", "Results - Product Emissions Intensity")</f>
        <v>Results - Product Emissions Intensity</v>
      </c>
    </row>
    <row r="8" spans="1:17" ht="20.100000000000001" customHeight="1" x14ac:dyDescent="0.2">
      <c r="A8" s="7" t="s">
        <v>0</v>
      </c>
    </row>
    <row r="9" spans="1:17" ht="20.100000000000001" customHeight="1" x14ac:dyDescent="0.2">
      <c r="A9" s="5" t="str">
        <f>HYPERLINK("#'Input - Enterprise'!A1", "Enterprise")</f>
        <v>Enterprise</v>
      </c>
    </row>
    <row r="10" spans="1:17" ht="20.100000000000001" customHeight="1" x14ac:dyDescent="0.2">
      <c r="A10" s="5" t="str">
        <f>HYPERLINK("#'Input - Site'!A1", "Site")</f>
        <v>Site</v>
      </c>
    </row>
    <row r="11" spans="1:17" ht="20.100000000000001" customHeight="1" x14ac:dyDescent="0.2">
      <c r="A11" s="5" t="str">
        <f>HYPERLINK("#'Input - Poultry'!A1", "Poultry")</f>
        <v>Poultry</v>
      </c>
    </row>
    <row r="12" spans="1:17" ht="20.100000000000001" customHeight="1" x14ac:dyDescent="0.2">
      <c r="A12" s="5" t="str">
        <f>HYPERLINK("#'Input - Livestock sales'!A1", "Livestock sales")</f>
        <v>Livestock sales</v>
      </c>
    </row>
    <row r="13" spans="1:17" ht="20.100000000000001" customHeight="1" x14ac:dyDescent="0.2">
      <c r="A13" s="5" t="str">
        <f>HYPERLINK("#'Input - Poultry purchases'!A1", "Poultry purchases")</f>
        <v>Poultry purchases</v>
      </c>
    </row>
    <row r="14" spans="1:17" ht="20.100000000000001" customHeight="1" x14ac:dyDescent="0.2">
      <c r="A14" s="5" t="str">
        <f>HYPERLINK("#'Input - Fuel'!A1", "Fuel")</f>
        <v>Fuel</v>
      </c>
    </row>
    <row r="15" spans="1:17" ht="20.100000000000001" customHeight="1" x14ac:dyDescent="0.2">
      <c r="A15" s="5" t="str">
        <f>HYPERLINK("#'Input - Electricity'!A1", "Electricity")</f>
        <v>Electricity</v>
      </c>
    </row>
    <row r="16" spans="1:17" ht="20.100000000000001" customHeight="1" x14ac:dyDescent="0.2">
      <c r="A16" s="5" t="str">
        <f>HYPERLINK("#'Input - Common farm inputs'!A1", "Common farm inputs")</f>
        <v>Common farm inputs</v>
      </c>
    </row>
    <row r="17" spans="1:12" ht="20.100000000000001" customHeight="1" x14ac:dyDescent="0.2">
      <c r="A17" s="5" t="str">
        <f>HYPERLINK("#'Input - Livestock farm Inputs'!A1", "Livestock farm Inputs")</f>
        <v>Livestock farm Inputs</v>
      </c>
    </row>
    <row r="18" spans="1:12" ht="20.100000000000001" customHeight="1" x14ac:dyDescent="0.2">
      <c r="A18" s="5" t="str">
        <f>HYPERLINK("#'Input - Freight'!A1", "Freight")</f>
        <v>Freight</v>
      </c>
    </row>
    <row r="19" spans="1:12" ht="20.100000000000001" customHeight="1" x14ac:dyDescent="0.2">
      <c r="A19" s="5" t="str">
        <f>HYPERLINK("#'Input - Solid waste'!A1", "Solid waste")</f>
        <v>Solid waste</v>
      </c>
    </row>
    <row r="20" spans="1:12" ht="20.100000000000001" customHeight="1" x14ac:dyDescent="0.2">
      <c r="A20" s="5" t="str">
        <f>HYPERLINK("#'Input - Manure sent off-site'!A1", "Manure sent off-site")</f>
        <v>Manure sent off-site</v>
      </c>
    </row>
    <row r="21" spans="1:12" ht="20.100000000000001" customHeight="1" x14ac:dyDescent="0.2">
      <c r="A21" s="5" t="str">
        <f>HYPERLINK("#'Input - Data quality'!A1", "Data quality")</f>
        <v>Data quality</v>
      </c>
    </row>
    <row r="22" spans="1:12" ht="20.100000000000001" customHeight="1" x14ac:dyDescent="0.2">
      <c r="A22" s="5" t="str">
        <f>HYPERLINK("#'Input - Fert Prod System'!A1", "Fert Prod System")</f>
        <v>Fert Prod System</v>
      </c>
    </row>
    <row r="23" spans="1:12" ht="20.100000000000001" customHeight="1" x14ac:dyDescent="0.2">
      <c r="A23" s="5" t="str">
        <f>HYPERLINK("#'Input - Fertiliser'!A1", "Fertiliser")</f>
        <v>Fertiliser</v>
      </c>
    </row>
    <row r="26" spans="1:12" ht="20.100000000000001" customHeight="1" x14ac:dyDescent="0.2">
      <c r="A26" s="6" t="s">
        <v>2</v>
      </c>
    </row>
    <row r="27" spans="1:12" ht="20.100000000000001" customHeight="1" x14ac:dyDescent="0.2">
      <c r="A27" s="5" t="str">
        <f>HYPERLINK("#'4.6.1.1-2 Methane'!A1", "4.6.1.1-2 Manure Methane")</f>
        <v>4.6.1.1-2 Manure Methane</v>
      </c>
    </row>
    <row r="28" spans="1:12" ht="20.100000000000001" customHeight="1" x14ac:dyDescent="0.2">
      <c r="A28" s="5" t="str">
        <f>HYPERLINK("#'4.6.1.3-4 Direct N20'!A1", "4.6.1.3-4 Manure Direct N2O")</f>
        <v>4.6.1.3-4 Manure Direct N2O</v>
      </c>
    </row>
    <row r="29" spans="1:12" ht="20.100000000000001" customHeight="1" x14ac:dyDescent="0.2">
      <c r="A29" s="5" t="str">
        <f>HYPERLINK("#'4.6.1.5-6 Atmos Dep'!A1", "4.6.1.5-6 Manure Atmos Dep")</f>
        <v>4.6.1.5-6 Manure Atmos Dep</v>
      </c>
    </row>
    <row r="30" spans="1:12" ht="20.100000000000001" customHeight="1" x14ac:dyDescent="0.2">
      <c r="A30" s="5" t="str">
        <f>HYPERLINK("#'4.6.1.7-8 Leaching and runoff'!A1", "4.6.1.7-8 Manure Leaching and runoff")</f>
        <v>4.6.1.7-8 Manure Leaching and runoff</v>
      </c>
    </row>
    <row r="31" spans="1:12" ht="20.100000000000001" customHeight="1" x14ac:dyDescent="0.2">
      <c r="A31" s="5" t="str">
        <f>HYPERLINK("#'4.6.1.9 Manure applied to soils'!A1", "4.6.1.9 Manure applied to soils")</f>
        <v>4.6.1.9 Manure applied to soils</v>
      </c>
    </row>
    <row r="32" spans="1:12" ht="20.100000000000001" customHeight="1" x14ac:dyDescent="0.2">
      <c r="A32" s="5" t="str">
        <f>HYPERLINK("#'4.6.1.10-11 Soil direct N2O'!A1", "4.6.1.10-11 Soil direct N2O")</f>
        <v>4.6.1.10-11 Soil direct N2O</v>
      </c>
      <c r="D32" s="2" t="s">
        <v>1160</v>
      </c>
      <c r="L32" s="1" t="s">
        <v>1161</v>
      </c>
    </row>
    <row r="33" spans="1:13" ht="20.100000000000001" customHeight="1" x14ac:dyDescent="0.2">
      <c r="A33" s="5" t="str">
        <f>HYPERLINK("#'4.6.1.12-13 Soil atmos dep'!A1", "4.6.1.12-13 Soil atmos dep")</f>
        <v>4.6.1.12-13 Soil atmos dep</v>
      </c>
      <c r="D33" s="19" t="s">
        <v>1162</v>
      </c>
      <c r="E33" s="19" t="s">
        <v>132</v>
      </c>
      <c r="F33" s="19" t="s">
        <v>1163</v>
      </c>
      <c r="G33" s="19" t="s">
        <v>1164</v>
      </c>
      <c r="H33" s="19" t="s">
        <v>1165</v>
      </c>
      <c r="I33" s="19" t="s">
        <v>1166</v>
      </c>
      <c r="J33" s="19" t="s">
        <v>570</v>
      </c>
      <c r="L33" s="19" t="s">
        <v>1167</v>
      </c>
      <c r="M33" s="19" t="s">
        <v>1168</v>
      </c>
    </row>
    <row r="34" spans="1:13" ht="20.100000000000001" customHeight="1" x14ac:dyDescent="0.2">
      <c r="A34" s="5" t="str">
        <f>HYPERLINK("#'4.6.1.14-15 Soil leach runoff'!A1", "4.6.1.14-15 Soil leach runoff")</f>
        <v>4.6.1.14-15 Soil leach runoff</v>
      </c>
      <c r="D34" s="19" t="str" cm="1">
        <f t="array" ref="D34">Common_InputFunctions.Utility_DisplayArrayInTable(Scope3_SourceData.Scope3_Livestock_Data(), Table_SourceData_Scope3_Animals[[#Headers],[Category]], 0, 2)</f>
        <v>Beef cattle</v>
      </c>
      <c r="E34" s="19" t="str" cm="1">
        <f t="array" ref="E34">Common_InputFunctions.Utility_DisplayArrayInTable(Scope3_SourceData.Scope3_Livestock_Data(), Table_SourceData_Scope3_Animals[[#Headers],[Category]], 0, 2)</f>
        <v>Cattle, for manufacturing beef</v>
      </c>
      <c r="F34" s="19" t="str" cm="1">
        <f t="array" ref="F34">Common_InputFunctions.Utility_DisplayArrayInTable(Scope3_SourceData.Scope3_Livestock_Data(), Table_SourceData_Scope3_Animals[[#Headers],[Category]], 0, 2)</f>
        <v>Australia</v>
      </c>
      <c r="G34" s="19" t="str" cm="1">
        <f t="array" ref="G34">Common_InputFunctions.Utility_DisplayArrayInTable(Scope3_SourceData.Scope3_Livestock_Data(), Table_SourceData_Scope3_Animals[[#Headers],[Category]], 0, 2)</f>
        <v>kg liveweight</v>
      </c>
      <c r="H34" s="19" cm="1">
        <f t="array" ref="H34">Common_InputFunctions.Utility_DisplayArrayInTable(Scope3_SourceData.Scope3_Livestock_Data(), Table_SourceData_Scope3_Animals[[#Headers],[Category]], 0, 2)</f>
        <v>11</v>
      </c>
      <c r="I34" s="19" t="str" cm="1">
        <f t="array" ref="I34">Common_InputFunctions.Utility_DisplayArrayInTable(Scope3_SourceData.Scope3_Livestock_Data(), Table_SourceData_Scope3_Animals[[#Headers],[Category]], 0, 2)</f>
        <v>at market</v>
      </c>
      <c r="J34" s="19" t="s">
        <v>1169</v>
      </c>
      <c r="L34" s="19" t="s">
        <v>523</v>
      </c>
      <c r="M34" s="19" t="s">
        <v>522</v>
      </c>
    </row>
    <row r="35" spans="1:13" ht="20.100000000000001" customHeight="1" x14ac:dyDescent="0.2">
      <c r="A35" s="5" t="str">
        <f>HYPERLINK("#'8.1.1.1-2 Transport fuel'!A1", "8.1.1.1-2 Transport fuel")</f>
        <v>8.1.1.1-2 Transport fuel</v>
      </c>
      <c r="D35" s="19" t="str" cm="1">
        <f t="array" ref="D35">Common_InputFunctions.Utility_DisplayArrayInTable(Scope3_SourceData.Scope3_Livestock_Data(), Table_SourceData_Scope3_Animals[[#Headers],[Category]], 0, 2)</f>
        <v>Beef cattle</v>
      </c>
      <c r="E35" s="19" t="str" cm="1">
        <f t="array" ref="E35">Common_InputFunctions.Utility_DisplayArrayInTable(Scope3_SourceData.Scope3_Livestock_Data(), Table_SourceData_Scope3_Animals[[#Headers],[Category]], 0, 2)</f>
        <v>Cattle, for manufacturing beef</v>
      </c>
      <c r="F35" s="19" t="str" cm="1">
        <f t="array" ref="F35">Common_InputFunctions.Utility_DisplayArrayInTable(Scope3_SourceData.Scope3_Livestock_Data(), Table_SourceData_Scope3_Animals[[#Headers],[Category]], 0, 2)</f>
        <v>NSW</v>
      </c>
      <c r="G35" s="19" t="str" cm="1">
        <f t="array" ref="G35">Common_InputFunctions.Utility_DisplayArrayInTable(Scope3_SourceData.Scope3_Livestock_Data(), Table_SourceData_Scope3_Animals[[#Headers],[Category]], 0, 2)</f>
        <v>kg liveweight</v>
      </c>
      <c r="H35" s="19" cm="1">
        <f t="array" ref="H35">Common_InputFunctions.Utility_DisplayArrayInTable(Scope3_SourceData.Scope3_Livestock_Data(), Table_SourceData_Scope3_Animals[[#Headers],[Category]], 0, 2)</f>
        <v>8.2100000000000009</v>
      </c>
      <c r="I35" s="19" t="str" cm="1">
        <f t="array" ref="I35">Common_InputFunctions.Utility_DisplayArrayInTable(Scope3_SourceData.Scope3_Livestock_Data(), Table_SourceData_Scope3_Animals[[#Headers],[Category]], 0, 2)</f>
        <v>at market</v>
      </c>
      <c r="J35" s="19" t="s">
        <v>1169</v>
      </c>
      <c r="L35" s="19" t="s">
        <v>522</v>
      </c>
      <c r="M35" s="19" t="s">
        <v>522</v>
      </c>
    </row>
    <row r="36" spans="1:13" ht="20.100000000000001" customHeight="1" x14ac:dyDescent="0.2">
      <c r="A36" s="5" t="str">
        <f>HYPERLINK("#'8.2.1.1-2 Stationary fuel'!A1", "8.2.1.1-2 Stationary fuel")</f>
        <v>8.2.1.1-2 Stationary fuel</v>
      </c>
      <c r="D36" s="19" t="str" cm="1">
        <f t="array" ref="D36">Common_InputFunctions.Utility_DisplayArrayInTable(Scope3_SourceData.Scope3_Livestock_Data(), Table_SourceData_Scope3_Animals[[#Headers],[Category]], 0, 2)</f>
        <v>Beef cattle</v>
      </c>
      <c r="E36" s="19" t="str" cm="1">
        <f t="array" ref="E36">Common_InputFunctions.Utility_DisplayArrayInTable(Scope3_SourceData.Scope3_Livestock_Data(), Table_SourceData_Scope3_Animals[[#Headers],[Category]], 0, 2)</f>
        <v>Cattle, for manufacturing beef</v>
      </c>
      <c r="F36" s="19" t="str" cm="1">
        <f t="array" ref="F36">Common_InputFunctions.Utility_DisplayArrayInTable(Scope3_SourceData.Scope3_Livestock_Data(), Table_SourceData_Scope3_Animals[[#Headers],[Category]], 0, 2)</f>
        <v>NT</v>
      </c>
      <c r="G36" s="19" t="str" cm="1">
        <f t="array" ref="G36">Common_InputFunctions.Utility_DisplayArrayInTable(Scope3_SourceData.Scope3_Livestock_Data(), Table_SourceData_Scope3_Animals[[#Headers],[Category]], 0, 2)</f>
        <v>kg liveweight</v>
      </c>
      <c r="H36" s="19" cm="1">
        <f t="array" ref="H36">Common_InputFunctions.Utility_DisplayArrayInTable(Scope3_SourceData.Scope3_Livestock_Data(), Table_SourceData_Scope3_Animals[[#Headers],[Category]], 0, 2)</f>
        <v>12.2</v>
      </c>
      <c r="I36" s="19" t="str" cm="1">
        <f t="array" ref="I36">Common_InputFunctions.Utility_DisplayArrayInTable(Scope3_SourceData.Scope3_Livestock_Data(), Table_SourceData_Scope3_Animals[[#Headers],[Category]], 0, 2)</f>
        <v>at market</v>
      </c>
      <c r="J36" s="19" t="s">
        <v>1169</v>
      </c>
      <c r="L36" s="19" t="s">
        <v>527</v>
      </c>
      <c r="M36" s="19" t="s">
        <v>527</v>
      </c>
    </row>
    <row r="37" spans="1:13" ht="20.100000000000001" customHeight="1" x14ac:dyDescent="0.2">
      <c r="A37" s="5" t="str">
        <f>HYPERLINK("#'10.1.1-2 Solid waste treatment'!A1", "10.1.1.1-2 Solid waste")</f>
        <v>10.1.1.1-2 Solid waste</v>
      </c>
      <c r="D37" s="19" t="str" cm="1">
        <f t="array" ref="D37">Common_InputFunctions.Utility_DisplayArrayInTable(Scope3_SourceData.Scope3_Livestock_Data(), Table_SourceData_Scope3_Animals[[#Headers],[Category]], 0, 2)</f>
        <v>Beef cattle</v>
      </c>
      <c r="E37" s="19" t="str" cm="1">
        <f t="array" ref="E37">Common_InputFunctions.Utility_DisplayArrayInTable(Scope3_SourceData.Scope3_Livestock_Data(), Table_SourceData_Scope3_Animals[[#Headers],[Category]], 0, 2)</f>
        <v>Cattle, for manufacturing beef</v>
      </c>
      <c r="F37" s="19" t="str" cm="1">
        <f t="array" ref="F37">Common_InputFunctions.Utility_DisplayArrayInTable(Scope3_SourceData.Scope3_Livestock_Data(), Table_SourceData_Scope3_Animals[[#Headers],[Category]], 0, 2)</f>
        <v>QLD</v>
      </c>
      <c r="G37" s="19" t="str" cm="1">
        <f t="array" ref="G37">Common_InputFunctions.Utility_DisplayArrayInTable(Scope3_SourceData.Scope3_Livestock_Data(), Table_SourceData_Scope3_Animals[[#Headers],[Category]], 0, 2)</f>
        <v>kg liveweight</v>
      </c>
      <c r="H37" s="19" cm="1">
        <f t="array" ref="H37">Common_InputFunctions.Utility_DisplayArrayInTable(Scope3_SourceData.Scope3_Livestock_Data(), Table_SourceData_Scope3_Animals[[#Headers],[Category]], 0, 2)</f>
        <v>10.9</v>
      </c>
      <c r="I37" s="19" t="str" cm="1">
        <f t="array" ref="I37">Common_InputFunctions.Utility_DisplayArrayInTable(Scope3_SourceData.Scope3_Livestock_Data(), Table_SourceData_Scope3_Animals[[#Headers],[Category]], 0, 2)</f>
        <v>at market</v>
      </c>
      <c r="J37" s="19" t="s">
        <v>1169</v>
      </c>
      <c r="L37" s="19" t="s">
        <v>529</v>
      </c>
      <c r="M37" s="19" t="s">
        <v>529</v>
      </c>
    </row>
    <row r="38" spans="1:13" ht="20.100000000000001" customHeight="1" x14ac:dyDescent="0.2">
      <c r="A38" s="5" t="str">
        <f>HYPERLINK("#'14.1.1-2 Purchased electricity'!A1", "14.1.1-2 Purchased electricity")</f>
        <v>14.1.1-2 Purchased electricity</v>
      </c>
      <c r="D38" s="19" t="str" cm="1">
        <f t="array" ref="D38">Common_InputFunctions.Utility_DisplayArrayInTable(Scope3_SourceData.Scope3_Livestock_Data(), Table_SourceData_Scope3_Animals[[#Headers],[Category]], 0, 2)</f>
        <v>Beef cattle</v>
      </c>
      <c r="E38" s="19" t="str" cm="1">
        <f t="array" ref="E38">Common_InputFunctions.Utility_DisplayArrayInTable(Scope3_SourceData.Scope3_Livestock_Data(), Table_SourceData_Scope3_Animals[[#Headers],[Category]], 0, 2)</f>
        <v>Cattle, for manufacturing beef</v>
      </c>
      <c r="F38" s="19" t="str" cm="1">
        <f t="array" ref="F38">Common_InputFunctions.Utility_DisplayArrayInTable(Scope3_SourceData.Scope3_Livestock_Data(), Table_SourceData_Scope3_Animals[[#Headers],[Category]], 0, 2)</f>
        <v>SA</v>
      </c>
      <c r="G38" s="19" t="str" cm="1">
        <f t="array" ref="G38">Common_InputFunctions.Utility_DisplayArrayInTable(Scope3_SourceData.Scope3_Livestock_Data(), Table_SourceData_Scope3_Animals[[#Headers],[Category]], 0, 2)</f>
        <v>kg liveweight</v>
      </c>
      <c r="H38" s="19" cm="1">
        <f t="array" ref="H38">Common_InputFunctions.Utility_DisplayArrayInTable(Scope3_SourceData.Scope3_Livestock_Data(), Table_SourceData_Scope3_Animals[[#Headers],[Category]], 0, 2)</f>
        <v>7.63</v>
      </c>
      <c r="I38" s="19" t="str" cm="1">
        <f t="array" ref="I38">Common_InputFunctions.Utility_DisplayArrayInTable(Scope3_SourceData.Scope3_Livestock_Data(), Table_SourceData_Scope3_Animals[[#Headers],[Category]], 0, 2)</f>
        <v>at market</v>
      </c>
      <c r="J38" s="19" t="s">
        <v>1169</v>
      </c>
      <c r="L38" s="19" t="s">
        <v>526</v>
      </c>
      <c r="M38" s="19" t="s">
        <v>526</v>
      </c>
    </row>
    <row r="39" spans="1:13" ht="20.100000000000001" customHeight="1" x14ac:dyDescent="0.2">
      <c r="A39" s="5" t="str">
        <f>HYPERLINK("#'15 Scope 3'!A1", "15 Scope 3")</f>
        <v>15 Scope 3</v>
      </c>
      <c r="D39" s="19" t="str" cm="1">
        <f t="array" ref="D39">Common_InputFunctions.Utility_DisplayArrayInTable(Scope3_SourceData.Scope3_Livestock_Data(), Table_SourceData_Scope3_Animals[[#Headers],[Category]], 0, 2)</f>
        <v>Beef cattle</v>
      </c>
      <c r="E39" s="19" t="str" cm="1">
        <f t="array" ref="E39">Common_InputFunctions.Utility_DisplayArrayInTable(Scope3_SourceData.Scope3_Livestock_Data(), Table_SourceData_Scope3_Animals[[#Headers],[Category]], 0, 2)</f>
        <v>Cattle, for manufacturing beef</v>
      </c>
      <c r="F39" s="19" t="str" cm="1">
        <f t="array" ref="F39">Common_InputFunctions.Utility_DisplayArrayInTable(Scope3_SourceData.Scope3_Livestock_Data(), Table_SourceData_Scope3_Animals[[#Headers],[Category]], 0, 2)</f>
        <v>TAS</v>
      </c>
      <c r="G39" s="19" t="str" cm="1">
        <f t="array" ref="G39">Common_InputFunctions.Utility_DisplayArrayInTable(Scope3_SourceData.Scope3_Livestock_Data(), Table_SourceData_Scope3_Animals[[#Headers],[Category]], 0, 2)</f>
        <v>kg liveweight</v>
      </c>
      <c r="H39" s="19" cm="1">
        <f t="array" ref="H39">Common_InputFunctions.Utility_DisplayArrayInTable(Scope3_SourceData.Scope3_Livestock_Data(), Table_SourceData_Scope3_Animals[[#Headers],[Category]], 0, 2)</f>
        <v>8.75</v>
      </c>
      <c r="I39" s="19" t="str" cm="1">
        <f t="array" ref="I39">Common_InputFunctions.Utility_DisplayArrayInTable(Scope3_SourceData.Scope3_Livestock_Data(), Table_SourceData_Scope3_Animals[[#Headers],[Category]], 0, 2)</f>
        <v>at market</v>
      </c>
      <c r="J39" s="19" t="s">
        <v>1169</v>
      </c>
      <c r="L39" s="19" t="s">
        <v>1170</v>
      </c>
      <c r="M39" s="19" t="s">
        <v>528</v>
      </c>
    </row>
    <row r="40" spans="1:13" ht="20.100000000000001" customHeight="1" x14ac:dyDescent="0.2">
      <c r="A40" s="5" t="str">
        <f>HYPERLINK("#'Calcs - Manure sent off-site'!A1", "Calcs - Manure sent off-site")</f>
        <v>Calcs - Manure sent off-site</v>
      </c>
      <c r="D40" s="19" t="str" cm="1">
        <f t="array" ref="D40">Common_InputFunctions.Utility_DisplayArrayInTable(Scope3_SourceData.Scope3_Livestock_Data(), Table_SourceData_Scope3_Animals[[#Headers],[Category]], 0, 2)</f>
        <v>Beef cattle</v>
      </c>
      <c r="E40" s="19" t="str" cm="1">
        <f t="array" ref="E40">Common_InputFunctions.Utility_DisplayArrayInTable(Scope3_SourceData.Scope3_Livestock_Data(), Table_SourceData_Scope3_Animals[[#Headers],[Category]], 0, 2)</f>
        <v>Cattle, for manufacturing beef</v>
      </c>
      <c r="F40" s="19" t="str" cm="1">
        <f t="array" ref="F40">Common_InputFunctions.Utility_DisplayArrayInTable(Scope3_SourceData.Scope3_Livestock_Data(), Table_SourceData_Scope3_Animals[[#Headers],[Category]], 0, 2)</f>
        <v>VIC</v>
      </c>
      <c r="G40" s="19" t="str" cm="1">
        <f t="array" ref="G40">Common_InputFunctions.Utility_DisplayArrayInTable(Scope3_SourceData.Scope3_Livestock_Data(), Table_SourceData_Scope3_Animals[[#Headers],[Category]], 0, 2)</f>
        <v>kg liveweight</v>
      </c>
      <c r="H40" s="19" cm="1">
        <f t="array" ref="H40">Common_InputFunctions.Utility_DisplayArrayInTable(Scope3_SourceData.Scope3_Livestock_Data(), Table_SourceData_Scope3_Animals[[#Headers],[Category]], 0, 2)</f>
        <v>8.17</v>
      </c>
      <c r="I40" s="19" t="str" cm="1">
        <f t="array" ref="I40">Common_InputFunctions.Utility_DisplayArrayInTable(Scope3_SourceData.Scope3_Livestock_Data(), Table_SourceData_Scope3_Animals[[#Headers],[Category]], 0, 2)</f>
        <v>at market</v>
      </c>
      <c r="J40" s="19" t="s">
        <v>1169</v>
      </c>
      <c r="L40" s="19" t="s">
        <v>1171</v>
      </c>
      <c r="M40" s="19" t="s">
        <v>528</v>
      </c>
    </row>
    <row r="41" spans="1:13" ht="20.100000000000001" customHeight="1" x14ac:dyDescent="0.2">
      <c r="A41" s="5" t="str">
        <f>HYPERLINK("#'5.1.1.1-2 Inorganic fert N2O'!A1", "5.1.1.1-2 Inorganic fert N2O")</f>
        <v>5.1.1.1-2 Inorganic fert N2O</v>
      </c>
      <c r="D41" s="19" t="str" cm="1">
        <f t="array" ref="D41">Common_InputFunctions.Utility_DisplayArrayInTable(Scope3_SourceData.Scope3_Livestock_Data(), Table_SourceData_Scope3_Animals[[#Headers],[Category]], 0, 2)</f>
        <v>Beef cattle</v>
      </c>
      <c r="E41" s="19" t="str" cm="1">
        <f t="array" ref="E41">Common_InputFunctions.Utility_DisplayArrayInTable(Scope3_SourceData.Scope3_Livestock_Data(), Table_SourceData_Scope3_Animals[[#Headers],[Category]], 0, 2)</f>
        <v>Cattle, for manufacturing beef</v>
      </c>
      <c r="F41" s="19" t="str" cm="1">
        <f t="array" ref="F41">Common_InputFunctions.Utility_DisplayArrayInTable(Scope3_SourceData.Scope3_Livestock_Data(), Table_SourceData_Scope3_Animals[[#Headers],[Category]], 0, 2)</f>
        <v>WA</v>
      </c>
      <c r="G41" s="19" t="str" cm="1">
        <f t="array" ref="G41">Common_InputFunctions.Utility_DisplayArrayInTable(Scope3_SourceData.Scope3_Livestock_Data(), Table_SourceData_Scope3_Animals[[#Headers],[Category]], 0, 2)</f>
        <v>kg liveweight</v>
      </c>
      <c r="H41" s="19" cm="1">
        <f t="array" ref="H41">Common_InputFunctions.Utility_DisplayArrayInTable(Scope3_SourceData.Scope3_Livestock_Data(), Table_SourceData_Scope3_Animals[[#Headers],[Category]], 0, 2)</f>
        <v>13.1</v>
      </c>
      <c r="I41" s="19" t="str" cm="1">
        <f t="array" ref="I41">Common_InputFunctions.Utility_DisplayArrayInTable(Scope3_SourceData.Scope3_Livestock_Data(), Table_SourceData_Scope3_Animals[[#Headers],[Category]], 0, 2)</f>
        <v>at market</v>
      </c>
      <c r="J41" s="19" t="s">
        <v>1169</v>
      </c>
      <c r="L41" s="19" t="s">
        <v>1172</v>
      </c>
      <c r="M41" s="19" t="s">
        <v>528</v>
      </c>
    </row>
    <row r="42" spans="1:13" ht="20.100000000000001" customHeight="1" x14ac:dyDescent="0.2">
      <c r="A42" s="5" t="str">
        <f>HYPERLINK("#'5.1.1.3-4 Inorganic fert CO2'!A1", "5.1.1.3-4 Inorganic fert CO2")</f>
        <v>5.1.1.3-4 Inorganic fert CO2</v>
      </c>
      <c r="D42" s="19" t="str" cm="1">
        <f t="array" ref="D42">Common_InputFunctions.Utility_DisplayArrayInTable(Scope3_SourceData.Scope3_Livestock_Data(), Table_SourceData_Scope3_Animals[[#Headers],[Category]], 0, 2)</f>
        <v>Beef cattle</v>
      </c>
      <c r="E42" s="19" t="str" cm="1">
        <f t="array" ref="E42">Common_InputFunctions.Utility_DisplayArrayInTable(Scope3_SourceData.Scope3_Livestock_Data(), Table_SourceData_Scope3_Animals[[#Headers],[Category]], 0, 2)</f>
        <v>Cattle, for prime beef</v>
      </c>
      <c r="F42" s="19" t="str" cm="1">
        <f t="array" ref="F42">Common_InputFunctions.Utility_DisplayArrayInTable(Scope3_SourceData.Scope3_Livestock_Data(), Table_SourceData_Scope3_Animals[[#Headers],[Category]], 0, 2)</f>
        <v>Australia</v>
      </c>
      <c r="G42" s="19" t="str" cm="1">
        <f t="array" ref="G42">Common_InputFunctions.Utility_DisplayArrayInTable(Scope3_SourceData.Scope3_Livestock_Data(), Table_SourceData_Scope3_Animals[[#Headers],[Category]], 0, 2)</f>
        <v>kg liveweight</v>
      </c>
      <c r="H42" s="19" cm="1">
        <f t="array" ref="H42">Common_InputFunctions.Utility_DisplayArrayInTable(Scope3_SourceData.Scope3_Livestock_Data(), Table_SourceData_Scope3_Animals[[#Headers],[Category]], 0, 2)</f>
        <v>14.5</v>
      </c>
      <c r="I42" s="19" t="str" cm="1">
        <f t="array" ref="I42">Common_InputFunctions.Utility_DisplayArrayInTable(Scope3_SourceData.Scope3_Livestock_Data(), Table_SourceData_Scope3_Animals[[#Headers],[Category]], 0, 2)</f>
        <v>at market</v>
      </c>
      <c r="J42" s="19" t="s">
        <v>1169</v>
      </c>
      <c r="L42" s="19" t="s">
        <v>1173</v>
      </c>
      <c r="M42" s="19" t="s">
        <v>525</v>
      </c>
    </row>
    <row r="43" spans="1:13" ht="20.100000000000001" customHeight="1" x14ac:dyDescent="0.2">
      <c r="A43" s="5" t="str">
        <f>HYPERLINK("#'5.2.1.1-2 Organic Fert N2O'!A1", "5.2.1.1-2 Organic Fert N2O")</f>
        <v>5.2.1.1-2 Organic Fert N2O</v>
      </c>
      <c r="D43" s="19" t="str" cm="1">
        <f t="array" ref="D43">Common_InputFunctions.Utility_DisplayArrayInTable(Scope3_SourceData.Scope3_Livestock_Data(), Table_SourceData_Scope3_Animals[[#Headers],[Category]], 0, 2)</f>
        <v>Beef cattle</v>
      </c>
      <c r="E43" s="19" t="str" cm="1">
        <f t="array" ref="E43">Common_InputFunctions.Utility_DisplayArrayInTable(Scope3_SourceData.Scope3_Livestock_Data(), Table_SourceData_Scope3_Animals[[#Headers],[Category]], 0, 2)</f>
        <v>Cattle, for prime beef</v>
      </c>
      <c r="F43" s="19" t="str" cm="1">
        <f t="array" ref="F43">Common_InputFunctions.Utility_DisplayArrayInTable(Scope3_SourceData.Scope3_Livestock_Data(), Table_SourceData_Scope3_Animals[[#Headers],[Category]], 0, 2)</f>
        <v>NSW</v>
      </c>
      <c r="G43" s="19" t="str" cm="1">
        <f t="array" ref="G43">Common_InputFunctions.Utility_DisplayArrayInTable(Scope3_SourceData.Scope3_Livestock_Data(), Table_SourceData_Scope3_Animals[[#Headers],[Category]], 0, 2)</f>
        <v>kg liveweight</v>
      </c>
      <c r="H43" s="19" cm="1">
        <f t="array" ref="H43">Common_InputFunctions.Utility_DisplayArrayInTable(Scope3_SourceData.Scope3_Livestock_Data(), Table_SourceData_Scope3_Animals[[#Headers],[Category]], 0, 2)</f>
        <v>11.3</v>
      </c>
      <c r="I43" s="19" t="str" cm="1">
        <f t="array" ref="I43">Common_InputFunctions.Utility_DisplayArrayInTable(Scope3_SourceData.Scope3_Livestock_Data(), Table_SourceData_Scope3_Animals[[#Headers],[Category]], 0, 2)</f>
        <v>at market</v>
      </c>
      <c r="J43" s="19" t="s">
        <v>1169</v>
      </c>
      <c r="L43" s="19" t="s">
        <v>1174</v>
      </c>
      <c r="M43" s="19" t="s">
        <v>525</v>
      </c>
    </row>
    <row r="44" spans="1:13" ht="20.100000000000001" customHeight="1" x14ac:dyDescent="0.2">
      <c r="A44" s="5" t="str">
        <f>HYPERLINK("#'5.3.1.1-2 Lime CO2'!A1", "5.3.1.1-2 Lime CO2")</f>
        <v>5.3.1.1-2 Lime CO2</v>
      </c>
      <c r="D44" s="19" t="str" cm="1">
        <f t="array" ref="D44">Common_InputFunctions.Utility_DisplayArrayInTable(Scope3_SourceData.Scope3_Livestock_Data(), Table_SourceData_Scope3_Animals[[#Headers],[Category]], 0, 2)</f>
        <v>Beef cattle</v>
      </c>
      <c r="E44" s="19" t="str" cm="1">
        <f t="array" ref="E44">Common_InputFunctions.Utility_DisplayArrayInTable(Scope3_SourceData.Scope3_Livestock_Data(), Table_SourceData_Scope3_Animals[[#Headers],[Category]], 0, 2)</f>
        <v>Cattle, for prime beef</v>
      </c>
      <c r="F44" s="19" t="str" cm="1">
        <f t="array" ref="F44">Common_InputFunctions.Utility_DisplayArrayInTable(Scope3_SourceData.Scope3_Livestock_Data(), Table_SourceData_Scope3_Animals[[#Headers],[Category]], 0, 2)</f>
        <v>NT</v>
      </c>
      <c r="G44" s="19" t="str" cm="1">
        <f t="array" ref="G44">Common_InputFunctions.Utility_DisplayArrayInTable(Scope3_SourceData.Scope3_Livestock_Data(), Table_SourceData_Scope3_Animals[[#Headers],[Category]], 0, 2)</f>
        <v>kg liveweight</v>
      </c>
      <c r="H44" s="19" cm="1">
        <f t="array" ref="H44">Common_InputFunctions.Utility_DisplayArrayInTable(Scope3_SourceData.Scope3_Livestock_Data(), Table_SourceData_Scope3_Animals[[#Headers],[Category]], 0, 2)</f>
        <v>18.899999999999999</v>
      </c>
      <c r="I44" s="19" t="str" cm="1">
        <f t="array" ref="I44">Common_InputFunctions.Utility_DisplayArrayInTable(Scope3_SourceData.Scope3_Livestock_Data(), Table_SourceData_Scope3_Animals[[#Headers],[Category]], 0, 2)</f>
        <v>at market</v>
      </c>
      <c r="J44" s="19" t="s">
        <v>1169</v>
      </c>
      <c r="L44" s="19" t="s">
        <v>1175</v>
      </c>
      <c r="M44" s="19" t="s">
        <v>525</v>
      </c>
    </row>
    <row r="45" spans="1:13" ht="20.100000000000001" customHeight="1" x14ac:dyDescent="0.2">
      <c r="A45" s="5" t="str">
        <f>HYPERLINK("#'5.4.1.1-4 Atmos deposition'!A1", "5.4.1.1-4 Atmos deposition")</f>
        <v>5.4.1.1-4 Atmos deposition</v>
      </c>
      <c r="D45" s="19" t="str" cm="1">
        <f t="array" ref="D45">Common_InputFunctions.Utility_DisplayArrayInTable(Scope3_SourceData.Scope3_Livestock_Data(), Table_SourceData_Scope3_Animals[[#Headers],[Category]], 0, 2)</f>
        <v>Beef cattle</v>
      </c>
      <c r="E45" s="19" t="str" cm="1">
        <f t="array" ref="E45">Common_InputFunctions.Utility_DisplayArrayInTable(Scope3_SourceData.Scope3_Livestock_Data(), Table_SourceData_Scope3_Animals[[#Headers],[Category]], 0, 2)</f>
        <v>Cattle, for prime beef</v>
      </c>
      <c r="F45" s="19" t="str" cm="1">
        <f t="array" ref="F45">Common_InputFunctions.Utility_DisplayArrayInTable(Scope3_SourceData.Scope3_Livestock_Data(), Table_SourceData_Scope3_Animals[[#Headers],[Category]], 0, 2)</f>
        <v>QLD</v>
      </c>
      <c r="G45" s="19" t="str" cm="1">
        <f t="array" ref="G45">Common_InputFunctions.Utility_DisplayArrayInTable(Scope3_SourceData.Scope3_Livestock_Data(), Table_SourceData_Scope3_Animals[[#Headers],[Category]], 0, 2)</f>
        <v>kg liveweight</v>
      </c>
      <c r="H45" s="19" cm="1">
        <f t="array" ref="H45">Common_InputFunctions.Utility_DisplayArrayInTable(Scope3_SourceData.Scope3_Livestock_Data(), Table_SourceData_Scope3_Animals[[#Headers],[Category]], 0, 2)</f>
        <v>13.9</v>
      </c>
      <c r="I45" s="19" t="str" cm="1">
        <f t="array" ref="I45">Common_InputFunctions.Utility_DisplayArrayInTable(Scope3_SourceData.Scope3_Livestock_Data(), Table_SourceData_Scope3_Animals[[#Headers],[Category]], 0, 2)</f>
        <v>at market</v>
      </c>
      <c r="J45" s="19" t="s">
        <v>1169</v>
      </c>
      <c r="L45" s="19" t="s">
        <v>1176</v>
      </c>
      <c r="M45" s="19" t="s">
        <v>524</v>
      </c>
    </row>
    <row r="46" spans="1:13" ht="20.100000000000001" customHeight="1" x14ac:dyDescent="0.2">
      <c r="A46" s="5" t="str">
        <f>HYPERLINK("#'5.5.1.1-2 Leaching and runoff'!A1", "5.5.1.1-2 Leaching and runoff")</f>
        <v>5.5.1.1-2 Leaching and runoff</v>
      </c>
      <c r="D46" s="19" t="str" cm="1">
        <f t="array" ref="D46">Common_InputFunctions.Utility_DisplayArrayInTable(Scope3_SourceData.Scope3_Livestock_Data(), Table_SourceData_Scope3_Animals[[#Headers],[Category]], 0, 2)</f>
        <v>Beef cattle</v>
      </c>
      <c r="E46" s="19" t="str" cm="1">
        <f t="array" ref="E46">Common_InputFunctions.Utility_DisplayArrayInTable(Scope3_SourceData.Scope3_Livestock_Data(), Table_SourceData_Scope3_Animals[[#Headers],[Category]], 0, 2)</f>
        <v>Cattle, for prime beef</v>
      </c>
      <c r="F46" s="19" t="str" cm="1">
        <f t="array" ref="F46">Common_InputFunctions.Utility_DisplayArrayInTable(Scope3_SourceData.Scope3_Livestock_Data(), Table_SourceData_Scope3_Animals[[#Headers],[Category]], 0, 2)</f>
        <v>SA</v>
      </c>
      <c r="G46" s="19" t="str" cm="1">
        <f t="array" ref="G46">Common_InputFunctions.Utility_DisplayArrayInTable(Scope3_SourceData.Scope3_Livestock_Data(), Table_SourceData_Scope3_Animals[[#Headers],[Category]], 0, 2)</f>
        <v>kg liveweight</v>
      </c>
      <c r="H46" s="19" cm="1">
        <f t="array" ref="H46">Common_InputFunctions.Utility_DisplayArrayInTable(Scope3_SourceData.Scope3_Livestock_Data(), Table_SourceData_Scope3_Animals[[#Headers],[Category]], 0, 2)</f>
        <v>12.3</v>
      </c>
      <c r="I46" s="19" t="str" cm="1">
        <f t="array" ref="I46">Common_InputFunctions.Utility_DisplayArrayInTable(Scope3_SourceData.Scope3_Livestock_Data(), Table_SourceData_Scope3_Animals[[#Headers],[Category]], 0, 2)</f>
        <v>at market</v>
      </c>
      <c r="J46" s="19" t="s">
        <v>1169</v>
      </c>
      <c r="L46" s="19" t="s">
        <v>1177</v>
      </c>
      <c r="M46" s="19" t="s">
        <v>524</v>
      </c>
    </row>
    <row r="47" spans="1:13" ht="20.100000000000001" customHeight="1" x14ac:dyDescent="0.2">
      <c r="D47" s="19" t="str" cm="1">
        <f t="array" ref="D47">Common_InputFunctions.Utility_DisplayArrayInTable(Scope3_SourceData.Scope3_Livestock_Data(), Table_SourceData_Scope3_Animals[[#Headers],[Category]], 0, 2)</f>
        <v>Beef cattle</v>
      </c>
      <c r="E47" s="19" t="str" cm="1">
        <f t="array" ref="E47">Common_InputFunctions.Utility_DisplayArrayInTable(Scope3_SourceData.Scope3_Livestock_Data(), Table_SourceData_Scope3_Animals[[#Headers],[Category]], 0, 2)</f>
        <v>Cattle, for prime beef</v>
      </c>
      <c r="F47" s="19" t="str" cm="1">
        <f t="array" ref="F47">Common_InputFunctions.Utility_DisplayArrayInTable(Scope3_SourceData.Scope3_Livestock_Data(), Table_SourceData_Scope3_Animals[[#Headers],[Category]], 0, 2)</f>
        <v>TAS</v>
      </c>
      <c r="G47" s="19" t="str" cm="1">
        <f t="array" ref="G47">Common_InputFunctions.Utility_DisplayArrayInTable(Scope3_SourceData.Scope3_Livestock_Data(), Table_SourceData_Scope3_Animals[[#Headers],[Category]], 0, 2)</f>
        <v>kg liveweight</v>
      </c>
      <c r="H47" s="19" cm="1">
        <f t="array" ref="H47">Common_InputFunctions.Utility_DisplayArrayInTable(Scope3_SourceData.Scope3_Livestock_Data(), Table_SourceData_Scope3_Animals[[#Headers],[Category]], 0, 2)</f>
        <v>11.5</v>
      </c>
      <c r="I47" s="19" t="str" cm="1">
        <f t="array" ref="I47">Common_InputFunctions.Utility_DisplayArrayInTable(Scope3_SourceData.Scope3_Livestock_Data(), Table_SourceData_Scope3_Animals[[#Headers],[Category]], 0, 2)</f>
        <v>at market</v>
      </c>
      <c r="J47" s="19" t="s">
        <v>1169</v>
      </c>
      <c r="L47" s="19" t="s">
        <v>1178</v>
      </c>
      <c r="M47" s="19" t="s">
        <v>524</v>
      </c>
    </row>
    <row r="48" spans="1:13" ht="20.100000000000001" customHeight="1" x14ac:dyDescent="0.2">
      <c r="D48" s="19" t="str" cm="1">
        <f t="array" ref="D48">Common_InputFunctions.Utility_DisplayArrayInTable(Scope3_SourceData.Scope3_Livestock_Data(), Table_SourceData_Scope3_Animals[[#Headers],[Category]], 0, 2)</f>
        <v>Beef cattle</v>
      </c>
      <c r="E48" s="19" t="str" cm="1">
        <f t="array" ref="E48">Common_InputFunctions.Utility_DisplayArrayInTable(Scope3_SourceData.Scope3_Livestock_Data(), Table_SourceData_Scope3_Animals[[#Headers],[Category]], 0, 2)</f>
        <v>Cattle, for prime beef</v>
      </c>
      <c r="F48" s="19" t="str" cm="1">
        <f t="array" ref="F48">Common_InputFunctions.Utility_DisplayArrayInTable(Scope3_SourceData.Scope3_Livestock_Data(), Table_SourceData_Scope3_Animals[[#Headers],[Category]], 0, 2)</f>
        <v>VIC</v>
      </c>
      <c r="G48" s="19" t="str" cm="1">
        <f t="array" ref="G48">Common_InputFunctions.Utility_DisplayArrayInTable(Scope3_SourceData.Scope3_Livestock_Data(), Table_SourceData_Scope3_Animals[[#Headers],[Category]], 0, 2)</f>
        <v>kg liveweight</v>
      </c>
      <c r="H48" s="19" cm="1">
        <f t="array" ref="H48">Common_InputFunctions.Utility_DisplayArrayInTable(Scope3_SourceData.Scope3_Livestock_Data(), Table_SourceData_Scope3_Animals[[#Headers],[Category]], 0, 2)</f>
        <v>11.5</v>
      </c>
      <c r="I48" s="19" t="str" cm="1">
        <f t="array" ref="I48">Common_InputFunctions.Utility_DisplayArrayInTable(Scope3_SourceData.Scope3_Livestock_Data(), Table_SourceData_Scope3_Animals[[#Headers],[Category]], 0, 2)</f>
        <v>at market</v>
      </c>
      <c r="J48" s="19" t="s">
        <v>1169</v>
      </c>
      <c r="L48" s="19" t="s">
        <v>1179</v>
      </c>
      <c r="M48" s="19" t="s">
        <v>524</v>
      </c>
    </row>
    <row r="49" spans="1:13" ht="20.100000000000001" customHeight="1" x14ac:dyDescent="0.2">
      <c r="A49" s="80" t="s">
        <v>1</v>
      </c>
      <c r="D49" s="19" t="str" cm="1">
        <f t="array" ref="D49">Common_InputFunctions.Utility_DisplayArrayInTable(Scope3_SourceData.Scope3_Livestock_Data(), Table_SourceData_Scope3_Animals[[#Headers],[Category]], 0, 2)</f>
        <v>Beef cattle</v>
      </c>
      <c r="E49" s="19" t="str" cm="1">
        <f t="array" ref="E49">Common_InputFunctions.Utility_DisplayArrayInTable(Scope3_SourceData.Scope3_Livestock_Data(), Table_SourceData_Scope3_Animals[[#Headers],[Category]], 0, 2)</f>
        <v>Cattle, for prime beef</v>
      </c>
      <c r="F49" s="19" t="str" cm="1">
        <f t="array" ref="F49">Common_InputFunctions.Utility_DisplayArrayInTable(Scope3_SourceData.Scope3_Livestock_Data(), Table_SourceData_Scope3_Animals[[#Headers],[Category]], 0, 2)</f>
        <v>WA</v>
      </c>
      <c r="G49" s="19" t="str" cm="1">
        <f t="array" ref="G49">Common_InputFunctions.Utility_DisplayArrayInTable(Scope3_SourceData.Scope3_Livestock_Data(), Table_SourceData_Scope3_Animals[[#Headers],[Category]], 0, 2)</f>
        <v>kg liveweight</v>
      </c>
      <c r="H49" s="19" cm="1">
        <f t="array" ref="H49">Common_InputFunctions.Utility_DisplayArrayInTable(Scope3_SourceData.Scope3_Livestock_Data(), Table_SourceData_Scope3_Animals[[#Headers],[Category]], 0, 2)</f>
        <v>20.8</v>
      </c>
      <c r="I49" s="19" t="str" cm="1">
        <f t="array" ref="I49">Common_InputFunctions.Utility_DisplayArrayInTable(Scope3_SourceData.Scope3_Livestock_Data(), Table_SourceData_Scope3_Animals[[#Headers],[Category]], 0, 2)</f>
        <v>at market</v>
      </c>
      <c r="J49" s="19" t="s">
        <v>1169</v>
      </c>
      <c r="L49" s="1" t="s">
        <v>991</v>
      </c>
      <c r="M49" s="1" t="s">
        <v>991</v>
      </c>
    </row>
    <row r="50" spans="1:13" ht="20.100000000000001" customHeight="1" x14ac:dyDescent="0.2">
      <c r="A50" s="5" t="str">
        <f>HYPERLINK("#'Constants - Poultry'!A1", "Constants - Poultry")</f>
        <v>Constants - Poultry</v>
      </c>
      <c r="D50" s="19" t="str" cm="1">
        <f t="array" ref="D50">Common_InputFunctions.Utility_DisplayArrayInTable(Scope3_SourceData.Scope3_Livestock_Data(), Table_SourceData_Scope3_Animals[[#Headers],[Category]], 0, 2)</f>
        <v>Beef cattle</v>
      </c>
      <c r="E50" s="19" t="str" cm="1">
        <f t="array" ref="E50">Common_InputFunctions.Utility_DisplayArrayInTable(Scope3_SourceData.Scope3_Livestock_Data(), Table_SourceData_Scope3_Animals[[#Headers],[Category]], 0, 2)</f>
        <v>Cattle, weaners</v>
      </c>
      <c r="F50" s="19" t="str" cm="1">
        <f t="array" ref="F50">Common_InputFunctions.Utility_DisplayArrayInTable(Scope3_SourceData.Scope3_Livestock_Data(), Table_SourceData_Scope3_Animals[[#Headers],[Category]], 0, 2)</f>
        <v>Australia</v>
      </c>
      <c r="G50" s="19" t="str" cm="1">
        <f t="array" ref="G50">Common_InputFunctions.Utility_DisplayArrayInTable(Scope3_SourceData.Scope3_Livestock_Data(), Table_SourceData_Scope3_Animals[[#Headers],[Category]], 0, 2)</f>
        <v>kg liveweight</v>
      </c>
      <c r="H50" s="19" cm="1">
        <f t="array" ref="H50">Common_InputFunctions.Utility_DisplayArrayInTable(Scope3_SourceData.Scope3_Livestock_Data(), Table_SourceData_Scope3_Animals[[#Headers],[Category]], 0, 2)</f>
        <v>15.5</v>
      </c>
      <c r="I50" s="19" t="str" cm="1">
        <f t="array" ref="I50">Common_InputFunctions.Utility_DisplayArrayInTable(Scope3_SourceData.Scope3_Livestock_Data(), Table_SourceData_Scope3_Animals[[#Headers],[Category]], 0, 2)</f>
        <v>at market</v>
      </c>
      <c r="J50" s="19" t="s">
        <v>1169</v>
      </c>
    </row>
    <row r="51" spans="1:13" ht="20.100000000000001" customHeight="1" x14ac:dyDescent="0.2">
      <c r="A51" s="5" t="str">
        <f>HYPERLINK("#'Constants - Common livestock'!A1", "Constants - Common Livestock")</f>
        <v>Constants - Common Livestock</v>
      </c>
      <c r="D51" s="19" t="str" cm="1">
        <f t="array" ref="D51">Common_InputFunctions.Utility_DisplayArrayInTable(Scope3_SourceData.Scope3_Livestock_Data(), Table_SourceData_Scope3_Animals[[#Headers],[Category]], 0, 2)</f>
        <v>Beef cattle</v>
      </c>
      <c r="E51" s="19" t="str" cm="1">
        <f t="array" ref="E51">Common_InputFunctions.Utility_DisplayArrayInTable(Scope3_SourceData.Scope3_Livestock_Data(), Table_SourceData_Scope3_Animals[[#Headers],[Category]], 0, 2)</f>
        <v>Cattle, weaners</v>
      </c>
      <c r="F51" s="19" t="str" cm="1">
        <f t="array" ref="F51">Common_InputFunctions.Utility_DisplayArrayInTable(Scope3_SourceData.Scope3_Livestock_Data(), Table_SourceData_Scope3_Animals[[#Headers],[Category]], 0, 2)</f>
        <v>NSW</v>
      </c>
      <c r="G51" s="19" t="str" cm="1">
        <f t="array" ref="G51">Common_InputFunctions.Utility_DisplayArrayInTable(Scope3_SourceData.Scope3_Livestock_Data(), Table_SourceData_Scope3_Animals[[#Headers],[Category]], 0, 2)</f>
        <v>kg liveweight</v>
      </c>
      <c r="H51" s="19" cm="1">
        <f t="array" ref="H51">Common_InputFunctions.Utility_DisplayArrayInTable(Scope3_SourceData.Scope3_Livestock_Data(), Table_SourceData_Scope3_Animals[[#Headers],[Category]], 0, 2)</f>
        <v>12.7</v>
      </c>
      <c r="I51" s="19" t="str" cm="1">
        <f t="array" ref="I51">Common_InputFunctions.Utility_DisplayArrayInTable(Scope3_SourceData.Scope3_Livestock_Data(), Table_SourceData_Scope3_Animals[[#Headers],[Category]], 0, 2)</f>
        <v>at market</v>
      </c>
      <c r="J51" s="19" t="s">
        <v>1169</v>
      </c>
    </row>
    <row r="52" spans="1:13" ht="20.100000000000001" customHeight="1" x14ac:dyDescent="0.2">
      <c r="A52" s="5" t="str">
        <f>HYPERLINK("#'Constants - Electricity'!A1", "Constants - Electricity")</f>
        <v>Constants - Electricity</v>
      </c>
      <c r="D52" s="19" t="str" cm="1">
        <f t="array" ref="D52">Common_InputFunctions.Utility_DisplayArrayInTable(Scope3_SourceData.Scope3_Livestock_Data(), Table_SourceData_Scope3_Animals[[#Headers],[Category]], 0, 2)</f>
        <v>Beef cattle</v>
      </c>
      <c r="E52" s="19" t="str" cm="1">
        <f t="array" ref="E52">Common_InputFunctions.Utility_DisplayArrayInTable(Scope3_SourceData.Scope3_Livestock_Data(), Table_SourceData_Scope3_Animals[[#Headers],[Category]], 0, 2)</f>
        <v>Cattle, weaners</v>
      </c>
      <c r="F52" s="19" t="str" cm="1">
        <f t="array" ref="F52">Common_InputFunctions.Utility_DisplayArrayInTable(Scope3_SourceData.Scope3_Livestock_Data(), Table_SourceData_Scope3_Animals[[#Headers],[Category]], 0, 2)</f>
        <v>NT</v>
      </c>
      <c r="G52" s="19" t="str" cm="1">
        <f t="array" ref="G52">Common_InputFunctions.Utility_DisplayArrayInTable(Scope3_SourceData.Scope3_Livestock_Data(), Table_SourceData_Scope3_Animals[[#Headers],[Category]], 0, 2)</f>
        <v>kg liveweight</v>
      </c>
      <c r="H52" s="19" cm="1">
        <f t="array" ref="H52">Common_InputFunctions.Utility_DisplayArrayInTable(Scope3_SourceData.Scope3_Livestock_Data(), Table_SourceData_Scope3_Animals[[#Headers],[Category]], 0, 2)</f>
        <v>19.100000000000001</v>
      </c>
      <c r="I52" s="19" t="str" cm="1">
        <f t="array" ref="I52">Common_InputFunctions.Utility_DisplayArrayInTable(Scope3_SourceData.Scope3_Livestock_Data(), Table_SourceData_Scope3_Animals[[#Headers],[Category]], 0, 2)</f>
        <v>at market</v>
      </c>
      <c r="J52" s="19" t="s">
        <v>1169</v>
      </c>
    </row>
    <row r="53" spans="1:13" ht="20.100000000000001" customHeight="1" x14ac:dyDescent="0.2">
      <c r="A53" s="5" t="str">
        <f>HYPERLINK("#'Constants - Fertiliser'!A1", "Constants - Fertiliser")</f>
        <v>Constants - Fertiliser</v>
      </c>
      <c r="D53" s="19" t="str" cm="1">
        <f t="array" ref="D53">Common_InputFunctions.Utility_DisplayArrayInTable(Scope3_SourceData.Scope3_Livestock_Data(), Table_SourceData_Scope3_Animals[[#Headers],[Category]], 0, 2)</f>
        <v>Beef cattle</v>
      </c>
      <c r="E53" s="19" t="str" cm="1">
        <f t="array" ref="E53">Common_InputFunctions.Utility_DisplayArrayInTable(Scope3_SourceData.Scope3_Livestock_Data(), Table_SourceData_Scope3_Animals[[#Headers],[Category]], 0, 2)</f>
        <v>Cattle, weaners</v>
      </c>
      <c r="F53" s="19" t="str" cm="1">
        <f t="array" ref="F53">Common_InputFunctions.Utility_DisplayArrayInTable(Scope3_SourceData.Scope3_Livestock_Data(), Table_SourceData_Scope3_Animals[[#Headers],[Category]], 0, 2)</f>
        <v>QLD</v>
      </c>
      <c r="G53" s="19" t="str" cm="1">
        <f t="array" ref="G53">Common_InputFunctions.Utility_DisplayArrayInTable(Scope3_SourceData.Scope3_Livestock_Data(), Table_SourceData_Scope3_Animals[[#Headers],[Category]], 0, 2)</f>
        <v>kg liveweight</v>
      </c>
      <c r="H53" s="19" cm="1">
        <f t="array" ref="H53">Common_InputFunctions.Utility_DisplayArrayInTable(Scope3_SourceData.Scope3_Livestock_Data(), Table_SourceData_Scope3_Animals[[#Headers],[Category]], 0, 2)</f>
        <v>20.5</v>
      </c>
      <c r="I53" s="19" t="str" cm="1">
        <f t="array" ref="I53">Common_InputFunctions.Utility_DisplayArrayInTable(Scope3_SourceData.Scope3_Livestock_Data(), Table_SourceData_Scope3_Animals[[#Headers],[Category]], 0, 2)</f>
        <v>at market</v>
      </c>
      <c r="J53" s="19" t="s">
        <v>1169</v>
      </c>
    </row>
    <row r="54" spans="1:13" ht="20.100000000000001" customHeight="1" x14ac:dyDescent="0.2">
      <c r="A54" s="5" t="str">
        <f>HYPERLINK("#'Constants - Fuel'!A1", "Constants - Fuel")</f>
        <v>Constants - Fuel</v>
      </c>
      <c r="D54" s="19" t="str" cm="1">
        <f t="array" ref="D54">Common_InputFunctions.Utility_DisplayArrayInTable(Scope3_SourceData.Scope3_Livestock_Data(), Table_SourceData_Scope3_Animals[[#Headers],[Category]], 0, 2)</f>
        <v>Beef cattle</v>
      </c>
      <c r="E54" s="19" t="str" cm="1">
        <f t="array" ref="E54">Common_InputFunctions.Utility_DisplayArrayInTable(Scope3_SourceData.Scope3_Livestock_Data(), Table_SourceData_Scope3_Animals[[#Headers],[Category]], 0, 2)</f>
        <v>Cattle, weaners</v>
      </c>
      <c r="F54" s="19" t="str" cm="1">
        <f t="array" ref="F54">Common_InputFunctions.Utility_DisplayArrayInTable(Scope3_SourceData.Scope3_Livestock_Data(), Table_SourceData_Scope3_Animals[[#Headers],[Category]], 0, 2)</f>
        <v>SA</v>
      </c>
      <c r="G54" s="19" t="str" cm="1">
        <f t="array" ref="G54">Common_InputFunctions.Utility_DisplayArrayInTable(Scope3_SourceData.Scope3_Livestock_Data(), Table_SourceData_Scope3_Animals[[#Headers],[Category]], 0, 2)</f>
        <v>kg liveweight</v>
      </c>
      <c r="H54" s="19" cm="1">
        <f t="array" ref="H54">Common_InputFunctions.Utility_DisplayArrayInTable(Scope3_SourceData.Scope3_Livestock_Data(), Table_SourceData_Scope3_Animals[[#Headers],[Category]], 0, 2)</f>
        <v>10.8</v>
      </c>
      <c r="I54" s="19" t="str" cm="1">
        <f t="array" ref="I54">Common_InputFunctions.Utility_DisplayArrayInTable(Scope3_SourceData.Scope3_Livestock_Data(), Table_SourceData_Scope3_Animals[[#Headers],[Category]], 0, 2)</f>
        <v>at market</v>
      </c>
      <c r="J54" s="19" t="s">
        <v>1169</v>
      </c>
    </row>
    <row r="55" spans="1:13" ht="20.100000000000001" customHeight="1" x14ac:dyDescent="0.2">
      <c r="A55" s="81" t="str">
        <f>HYPERLINK("#'Constants - Scope 3'!A1", "Constants - Scope 3")</f>
        <v>Constants - Scope 3</v>
      </c>
      <c r="D55" s="19" t="str" cm="1">
        <f t="array" ref="D55">Common_InputFunctions.Utility_DisplayArrayInTable(Scope3_SourceData.Scope3_Livestock_Data(), Table_SourceData_Scope3_Animals[[#Headers],[Category]], 0, 2)</f>
        <v>Beef cattle</v>
      </c>
      <c r="E55" s="19" t="str" cm="1">
        <f t="array" ref="E55">Common_InputFunctions.Utility_DisplayArrayInTable(Scope3_SourceData.Scope3_Livestock_Data(), Table_SourceData_Scope3_Animals[[#Headers],[Category]], 0, 2)</f>
        <v>Cattle, weaners</v>
      </c>
      <c r="F55" s="19" t="str" cm="1">
        <f t="array" ref="F55">Common_InputFunctions.Utility_DisplayArrayInTable(Scope3_SourceData.Scope3_Livestock_Data(), Table_SourceData_Scope3_Animals[[#Headers],[Category]], 0, 2)</f>
        <v>TAS</v>
      </c>
      <c r="G55" s="19" t="str" cm="1">
        <f t="array" ref="G55">Common_InputFunctions.Utility_DisplayArrayInTable(Scope3_SourceData.Scope3_Livestock_Data(), Table_SourceData_Scope3_Animals[[#Headers],[Category]], 0, 2)</f>
        <v>kg liveweight</v>
      </c>
      <c r="H55" s="19" cm="1">
        <f t="array" ref="H55">Common_InputFunctions.Utility_DisplayArrayInTable(Scope3_SourceData.Scope3_Livestock_Data(), Table_SourceData_Scope3_Animals[[#Headers],[Category]], 0, 2)</f>
        <v>13.4</v>
      </c>
      <c r="I55" s="19" t="str" cm="1">
        <f t="array" ref="I55">Common_InputFunctions.Utility_DisplayArrayInTable(Scope3_SourceData.Scope3_Livestock_Data(), Table_SourceData_Scope3_Animals[[#Headers],[Category]], 0, 2)</f>
        <v>at market</v>
      </c>
      <c r="J55" s="19" t="s">
        <v>1169</v>
      </c>
    </row>
    <row r="56" spans="1:13" ht="20.100000000000001" customHeight="1" x14ac:dyDescent="0.2">
      <c r="A56" s="5" t="str">
        <f>HYPERLINK("#'Constants - Solid Waste'!A1", "Constants - Solid Waste")</f>
        <v>Constants - Solid Waste</v>
      </c>
      <c r="D56" s="19" t="str" cm="1">
        <f t="array" ref="D56">Common_InputFunctions.Utility_DisplayArrayInTable(Scope3_SourceData.Scope3_Livestock_Data(), Table_SourceData_Scope3_Animals[[#Headers],[Category]], 0, 2)</f>
        <v>Beef cattle</v>
      </c>
      <c r="E56" s="19" t="str" cm="1">
        <f t="array" ref="E56">Common_InputFunctions.Utility_DisplayArrayInTable(Scope3_SourceData.Scope3_Livestock_Data(), Table_SourceData_Scope3_Animals[[#Headers],[Category]], 0, 2)</f>
        <v>Cattle, weaners</v>
      </c>
      <c r="F56" s="19" t="str" cm="1">
        <f t="array" ref="F56">Common_InputFunctions.Utility_DisplayArrayInTable(Scope3_SourceData.Scope3_Livestock_Data(), Table_SourceData_Scope3_Animals[[#Headers],[Category]], 0, 2)</f>
        <v>VIC</v>
      </c>
      <c r="G56" s="19" t="str" cm="1">
        <f t="array" ref="G56">Common_InputFunctions.Utility_DisplayArrayInTable(Scope3_SourceData.Scope3_Livestock_Data(), Table_SourceData_Scope3_Animals[[#Headers],[Category]], 0, 2)</f>
        <v>kg liveweight</v>
      </c>
      <c r="H56" s="19" cm="1">
        <f t="array" ref="H56">Common_InputFunctions.Utility_DisplayArrayInTable(Scope3_SourceData.Scope3_Livestock_Data(), Table_SourceData_Scope3_Animals[[#Headers],[Category]], 0, 2)</f>
        <v>12</v>
      </c>
      <c r="I56" s="19" t="str" cm="1">
        <f t="array" ref="I56">Common_InputFunctions.Utility_DisplayArrayInTable(Scope3_SourceData.Scope3_Livestock_Data(), Table_SourceData_Scope3_Animals[[#Headers],[Category]], 0, 2)</f>
        <v>at market</v>
      </c>
      <c r="J56" s="19" t="s">
        <v>1169</v>
      </c>
    </row>
    <row r="57" spans="1:13" ht="20.100000000000001" customHeight="1" x14ac:dyDescent="0.2">
      <c r="A57" s="5" t="str">
        <f>HYPERLINK("#'Constants - Common'!A1", "Constants - Common")</f>
        <v>Constants - Common</v>
      </c>
      <c r="D57" s="19" t="str" cm="1">
        <f t="array" ref="D57">Common_InputFunctions.Utility_DisplayArrayInTable(Scope3_SourceData.Scope3_Livestock_Data(), Table_SourceData_Scope3_Animals[[#Headers],[Category]], 0, 2)</f>
        <v>Beef cattle</v>
      </c>
      <c r="E57" s="19" t="str" cm="1">
        <f t="array" ref="E57">Common_InputFunctions.Utility_DisplayArrayInTable(Scope3_SourceData.Scope3_Livestock_Data(), Table_SourceData_Scope3_Animals[[#Headers],[Category]], 0, 2)</f>
        <v>Cattle, weaners</v>
      </c>
      <c r="F57" s="19" t="str" cm="1">
        <f t="array" ref="F57">Common_InputFunctions.Utility_DisplayArrayInTable(Scope3_SourceData.Scope3_Livestock_Data(), Table_SourceData_Scope3_Animals[[#Headers],[Category]], 0, 2)</f>
        <v>WA</v>
      </c>
      <c r="G57" s="19" t="str" cm="1">
        <f t="array" ref="G57">Common_InputFunctions.Utility_DisplayArrayInTable(Scope3_SourceData.Scope3_Livestock_Data(), Table_SourceData_Scope3_Animals[[#Headers],[Category]], 0, 2)</f>
        <v>kg liveweight</v>
      </c>
      <c r="H57" s="19" cm="1">
        <f t="array" ref="H57">Common_InputFunctions.Utility_DisplayArrayInTable(Scope3_SourceData.Scope3_Livestock_Data(), Table_SourceData_Scope3_Animals[[#Headers],[Category]], 0, 2)</f>
        <v>12.4</v>
      </c>
      <c r="I57" s="19" t="str" cm="1">
        <f t="array" ref="I57">Common_InputFunctions.Utility_DisplayArrayInTable(Scope3_SourceData.Scope3_Livestock_Data(), Table_SourceData_Scope3_Animals[[#Headers],[Category]], 0, 2)</f>
        <v>at market</v>
      </c>
      <c r="J57" s="19" t="s">
        <v>1169</v>
      </c>
    </row>
    <row r="58" spans="1:13" ht="20.100000000000001" customHeight="1" x14ac:dyDescent="0.2">
      <c r="D58" s="19" t="str" cm="1">
        <f t="array" ref="D58">Common_InputFunctions.Utility_DisplayArrayInTable(Scope3_SourceData.Scope3_Livestock_Data(), Table_SourceData_Scope3_Animals[[#Headers],[Category]], 0, 2)</f>
        <v>Chickens</v>
      </c>
      <c r="E58" s="19" t="str" cm="1">
        <f t="array" ref="E58">Common_InputFunctions.Utility_DisplayArrayInTable(Scope3_SourceData.Scope3_Livestock_Data(), Table_SourceData_Scope3_Animals[[#Headers],[Category]], 0, 2)</f>
        <v>Chickens</v>
      </c>
      <c r="F58" s="19" t="str" cm="1">
        <f t="array" ref="F58">Common_InputFunctions.Utility_DisplayArrayInTable(Scope3_SourceData.Scope3_Livestock_Data(), Table_SourceData_Scope3_Animals[[#Headers],[Category]], 0, 2)</f>
        <v>Australia</v>
      </c>
      <c r="G58" s="19" t="str" cm="1">
        <f t="array" ref="G58">Common_InputFunctions.Utility_DisplayArrayInTable(Scope3_SourceData.Scope3_Livestock_Data(), Table_SourceData_Scope3_Animals[[#Headers],[Category]], 0, 2)</f>
        <v>kg liveweight</v>
      </c>
      <c r="H58" s="19" cm="1">
        <f t="array" ref="H58">Common_InputFunctions.Utility_DisplayArrayInTable(Scope3_SourceData.Scope3_Livestock_Data(), Table_SourceData_Scope3_Animals[[#Headers],[Category]], 0, 2)</f>
        <v>1.36</v>
      </c>
      <c r="I58" s="19" t="str" cm="1">
        <f t="array" ref="I58">Common_InputFunctions.Utility_DisplayArrayInTable(Scope3_SourceData.Scope3_Livestock_Data(), Table_SourceData_Scope3_Animals[[#Headers],[Category]], 0, 2)</f>
        <v>at market</v>
      </c>
      <c r="J58" s="19" t="s">
        <v>1169</v>
      </c>
    </row>
    <row r="59" spans="1:13" ht="20.100000000000001" customHeight="1" x14ac:dyDescent="0.2">
      <c r="D59" s="19" t="str" cm="1">
        <f t="array" ref="D59">Common_InputFunctions.Utility_DisplayArrayInTable(Scope3_SourceData.Scope3_Livestock_Data(), Table_SourceData_Scope3_Animals[[#Headers],[Category]], 0, 2)</f>
        <v>Dairy cattle</v>
      </c>
      <c r="E59" s="19" t="str" cm="1">
        <f t="array" ref="E59">Common_InputFunctions.Utility_DisplayArrayInTable(Scope3_SourceData.Scope3_Livestock_Data(), Table_SourceData_Scope3_Animals[[#Headers],[Category]], 0, 2)</f>
        <v>Dairy cows</v>
      </c>
      <c r="F59" s="19" t="str" cm="1">
        <f t="array" ref="F59">Common_InputFunctions.Utility_DisplayArrayInTable(Scope3_SourceData.Scope3_Livestock_Data(), Table_SourceData_Scope3_Animals[[#Headers],[Category]], 0, 2)</f>
        <v>VIC</v>
      </c>
      <c r="G59" s="19" t="str" cm="1">
        <f t="array" ref="G59">Common_InputFunctions.Utility_DisplayArrayInTable(Scope3_SourceData.Scope3_Livestock_Data(), Table_SourceData_Scope3_Animals[[#Headers],[Category]], 0, 2)</f>
        <v>kg liveweight</v>
      </c>
      <c r="H59" s="19" cm="1">
        <f t="array" ref="H59">Common_InputFunctions.Utility_DisplayArrayInTable(Scope3_SourceData.Scope3_Livestock_Data(), Table_SourceData_Scope3_Animals[[#Headers],[Category]], 0, 2)</f>
        <v>4.41</v>
      </c>
      <c r="I59" s="19" t="str" cm="1">
        <f t="array" ref="I59">Common_InputFunctions.Utility_DisplayArrayInTable(Scope3_SourceData.Scope3_Livestock_Data(), Table_SourceData_Scope3_Animals[[#Headers],[Category]], 0, 2)</f>
        <v>at market</v>
      </c>
      <c r="J59" s="19" t="s">
        <v>1169</v>
      </c>
    </row>
    <row r="60" spans="1:13" ht="20.100000000000001" customHeight="1" x14ac:dyDescent="0.2">
      <c r="D60" s="19" t="str" cm="1">
        <f t="array" ref="D60">Common_InputFunctions.Utility_DisplayArrayInTable(Scope3_SourceData.Scope3_Livestock_Data(), Table_SourceData_Scope3_Animals[[#Headers],[Category]], 0, 2)</f>
        <v>Pigs</v>
      </c>
      <c r="E60" s="19" t="str" cm="1">
        <f t="array" ref="E60">Common_InputFunctions.Utility_DisplayArrayInTable(Scope3_SourceData.Scope3_Livestock_Data(), Table_SourceData_Scope3_Animals[[#Headers],[Category]], 0, 2)</f>
        <v>Pigs</v>
      </c>
      <c r="F60" s="19" t="str" cm="1">
        <f t="array" ref="F60">Common_InputFunctions.Utility_DisplayArrayInTable(Scope3_SourceData.Scope3_Livestock_Data(), Table_SourceData_Scope3_Animals[[#Headers],[Category]], 0, 2)</f>
        <v>Australia</v>
      </c>
      <c r="G60" s="19" t="str" cm="1">
        <f t="array" ref="G60">Common_InputFunctions.Utility_DisplayArrayInTable(Scope3_SourceData.Scope3_Livestock_Data(), Table_SourceData_Scope3_Animals[[#Headers],[Category]], 0, 2)</f>
        <v>kg liveweight</v>
      </c>
      <c r="H60" s="19" cm="1">
        <f t="array" ref="H60">Common_InputFunctions.Utility_DisplayArrayInTable(Scope3_SourceData.Scope3_Livestock_Data(), Table_SourceData_Scope3_Animals[[#Headers],[Category]], 0, 2)</f>
        <v>3.38</v>
      </c>
      <c r="I60" s="19" t="str" cm="1">
        <f t="array" ref="I60">Common_InputFunctions.Utility_DisplayArrayInTable(Scope3_SourceData.Scope3_Livestock_Data(), Table_SourceData_Scope3_Animals[[#Headers],[Category]], 0, 2)</f>
        <v>at market</v>
      </c>
      <c r="J60" s="19" t="s">
        <v>1169</v>
      </c>
    </row>
    <row r="61" spans="1:13" ht="20.100000000000001" customHeight="1" x14ac:dyDescent="0.2">
      <c r="D61" s="19" t="str" cm="1">
        <f t="array" ref="D61">Common_InputFunctions.Utility_DisplayArrayInTable(Scope3_SourceData.Scope3_Livestock_Data(), Table_SourceData_Scope3_Animals[[#Headers],[Category]], 0, 2)</f>
        <v>Sheep</v>
      </c>
      <c r="E61" s="19" t="str" cm="1">
        <f t="array" ref="E61">Common_InputFunctions.Utility_DisplayArrayInTable(Scope3_SourceData.Scope3_Livestock_Data(), Table_SourceData_Scope3_Animals[[#Headers],[Category]], 0, 2)</f>
        <v>Sheep, for mutton</v>
      </c>
      <c r="F61" s="19" t="str" cm="1">
        <f t="array" ref="F61">Common_InputFunctions.Utility_DisplayArrayInTable(Scope3_SourceData.Scope3_Livestock_Data(), Table_SourceData_Scope3_Animals[[#Headers],[Category]], 0, 2)</f>
        <v>Australia</v>
      </c>
      <c r="G61" s="19" t="str" cm="1">
        <f t="array" ref="G61">Common_InputFunctions.Utility_DisplayArrayInTable(Scope3_SourceData.Scope3_Livestock_Data(), Table_SourceData_Scope3_Animals[[#Headers],[Category]], 0, 2)</f>
        <v>kg liveweight</v>
      </c>
      <c r="H61" s="19" cm="1">
        <f t="array" ref="H61">Common_InputFunctions.Utility_DisplayArrayInTable(Scope3_SourceData.Scope3_Livestock_Data(), Table_SourceData_Scope3_Animals[[#Headers],[Category]], 0, 2)</f>
        <v>6.81</v>
      </c>
      <c r="I61" s="19" t="str" cm="1">
        <f t="array" ref="I61">Common_InputFunctions.Utility_DisplayArrayInTable(Scope3_SourceData.Scope3_Livestock_Data(), Table_SourceData_Scope3_Animals[[#Headers],[Category]], 0, 2)</f>
        <v>at market</v>
      </c>
      <c r="J61" s="19" t="s">
        <v>1169</v>
      </c>
    </row>
    <row r="62" spans="1:13" ht="20.100000000000001" customHeight="1" x14ac:dyDescent="0.2">
      <c r="D62" s="19" t="str" cm="1">
        <f t="array" ref="D62">Common_InputFunctions.Utility_DisplayArrayInTable(Scope3_SourceData.Scope3_Livestock_Data(), Table_SourceData_Scope3_Animals[[#Headers],[Category]], 0, 2)</f>
        <v>Sheep</v>
      </c>
      <c r="E62" s="19" t="str" cm="1">
        <f t="array" ref="E62">Common_InputFunctions.Utility_DisplayArrayInTable(Scope3_SourceData.Scope3_Livestock_Data(), Table_SourceData_Scope3_Animals[[#Headers],[Category]], 0, 2)</f>
        <v>Sheep, for mutton</v>
      </c>
      <c r="F62" s="19" t="str" cm="1">
        <f t="array" ref="F62">Common_InputFunctions.Utility_DisplayArrayInTable(Scope3_SourceData.Scope3_Livestock_Data(), Table_SourceData_Scope3_Animals[[#Headers],[Category]], 0, 2)</f>
        <v>NSW</v>
      </c>
      <c r="G62" s="19" t="str" cm="1">
        <f t="array" ref="G62">Common_InputFunctions.Utility_DisplayArrayInTable(Scope3_SourceData.Scope3_Livestock_Data(), Table_SourceData_Scope3_Animals[[#Headers],[Category]], 0, 2)</f>
        <v>kg liveweight</v>
      </c>
      <c r="H62" s="19" cm="1">
        <f t="array" ref="H62">Common_InputFunctions.Utility_DisplayArrayInTable(Scope3_SourceData.Scope3_Livestock_Data(), Table_SourceData_Scope3_Animals[[#Headers],[Category]], 0, 2)</f>
        <v>2.2599999999999998</v>
      </c>
      <c r="I62" s="19" t="str" cm="1">
        <f t="array" ref="I62">Common_InputFunctions.Utility_DisplayArrayInTable(Scope3_SourceData.Scope3_Livestock_Data(), Table_SourceData_Scope3_Animals[[#Headers],[Category]], 0, 2)</f>
        <v>at market</v>
      </c>
      <c r="J62" s="19" t="s">
        <v>1169</v>
      </c>
    </row>
    <row r="63" spans="1:13" ht="20.100000000000001" customHeight="1" x14ac:dyDescent="0.2">
      <c r="D63" s="19" t="str" cm="1">
        <f t="array" ref="D63">Common_InputFunctions.Utility_DisplayArrayInTable(Scope3_SourceData.Scope3_Livestock_Data(), Table_SourceData_Scope3_Animals[[#Headers],[Category]], 0, 2)</f>
        <v>Sheep</v>
      </c>
      <c r="E63" s="19" t="str" cm="1">
        <f t="array" ref="E63">Common_InputFunctions.Utility_DisplayArrayInTable(Scope3_SourceData.Scope3_Livestock_Data(), Table_SourceData_Scope3_Animals[[#Headers],[Category]], 0, 2)</f>
        <v>Sheep, for mutton</v>
      </c>
      <c r="F63" s="19" t="str" cm="1">
        <f t="array" ref="F63">Common_InputFunctions.Utility_DisplayArrayInTable(Scope3_SourceData.Scope3_Livestock_Data(), Table_SourceData_Scope3_Animals[[#Headers],[Category]], 0, 2)</f>
        <v>QLD</v>
      </c>
      <c r="G63" s="19" t="str" cm="1">
        <f t="array" ref="G63">Common_InputFunctions.Utility_DisplayArrayInTable(Scope3_SourceData.Scope3_Livestock_Data(), Table_SourceData_Scope3_Animals[[#Headers],[Category]], 0, 2)</f>
        <v>kg liveweight</v>
      </c>
      <c r="H63" s="19" cm="1">
        <f t="array" ref="H63">Common_InputFunctions.Utility_DisplayArrayInTable(Scope3_SourceData.Scope3_Livestock_Data(), Table_SourceData_Scope3_Animals[[#Headers],[Category]], 0, 2)</f>
        <v>6.33</v>
      </c>
      <c r="I63" s="19" t="str" cm="1">
        <f t="array" ref="I63">Common_InputFunctions.Utility_DisplayArrayInTable(Scope3_SourceData.Scope3_Livestock_Data(), Table_SourceData_Scope3_Animals[[#Headers],[Category]], 0, 2)</f>
        <v>at market</v>
      </c>
      <c r="J63" s="19" t="s">
        <v>1169</v>
      </c>
    </row>
    <row r="64" spans="1:13" ht="20.100000000000001" customHeight="1" x14ac:dyDescent="0.2">
      <c r="D64" s="19" t="str" cm="1">
        <f t="array" ref="D64">Common_InputFunctions.Utility_DisplayArrayInTable(Scope3_SourceData.Scope3_Livestock_Data(), Table_SourceData_Scope3_Animals[[#Headers],[Category]], 0, 2)</f>
        <v>Sheep</v>
      </c>
      <c r="E64" s="19" t="str" cm="1">
        <f t="array" ref="E64">Common_InputFunctions.Utility_DisplayArrayInTable(Scope3_SourceData.Scope3_Livestock_Data(), Table_SourceData_Scope3_Animals[[#Headers],[Category]], 0, 2)</f>
        <v>Sheep, for mutton</v>
      </c>
      <c r="F64" s="19" t="str" cm="1">
        <f t="array" ref="F64">Common_InputFunctions.Utility_DisplayArrayInTable(Scope3_SourceData.Scope3_Livestock_Data(), Table_SourceData_Scope3_Animals[[#Headers],[Category]], 0, 2)</f>
        <v>SA</v>
      </c>
      <c r="G64" s="19" t="str" cm="1">
        <f t="array" ref="G64">Common_InputFunctions.Utility_DisplayArrayInTable(Scope3_SourceData.Scope3_Livestock_Data(), Table_SourceData_Scope3_Animals[[#Headers],[Category]], 0, 2)</f>
        <v>kg liveweight</v>
      </c>
      <c r="H64" s="19" cm="1">
        <f t="array" ref="H64">Common_InputFunctions.Utility_DisplayArrayInTable(Scope3_SourceData.Scope3_Livestock_Data(), Table_SourceData_Scope3_Animals[[#Headers],[Category]], 0, 2)</f>
        <v>6.18</v>
      </c>
      <c r="I64" s="19" t="str" cm="1">
        <f t="array" ref="I64">Common_InputFunctions.Utility_DisplayArrayInTable(Scope3_SourceData.Scope3_Livestock_Data(), Table_SourceData_Scope3_Animals[[#Headers],[Category]], 0, 2)</f>
        <v>at market</v>
      </c>
      <c r="J64" s="19" t="s">
        <v>1169</v>
      </c>
    </row>
    <row r="65" spans="1:10" ht="20.100000000000001" customHeight="1" x14ac:dyDescent="0.2">
      <c r="D65" s="19" t="str" cm="1">
        <f t="array" ref="D65">Common_InputFunctions.Utility_DisplayArrayInTable(Scope3_SourceData.Scope3_Livestock_Data(), Table_SourceData_Scope3_Animals[[#Headers],[Category]], 0, 2)</f>
        <v>Sheep</v>
      </c>
      <c r="E65" s="19" t="str" cm="1">
        <f t="array" ref="E65">Common_InputFunctions.Utility_DisplayArrayInTable(Scope3_SourceData.Scope3_Livestock_Data(), Table_SourceData_Scope3_Animals[[#Headers],[Category]], 0, 2)</f>
        <v>Sheep, for mutton</v>
      </c>
      <c r="F65" s="19" t="str" cm="1">
        <f t="array" ref="F65">Common_InputFunctions.Utility_DisplayArrayInTable(Scope3_SourceData.Scope3_Livestock_Data(), Table_SourceData_Scope3_Animals[[#Headers],[Category]], 0, 2)</f>
        <v>TAS</v>
      </c>
      <c r="G65" s="19" t="str" cm="1">
        <f t="array" ref="G65">Common_InputFunctions.Utility_DisplayArrayInTable(Scope3_SourceData.Scope3_Livestock_Data(), Table_SourceData_Scope3_Animals[[#Headers],[Category]], 0, 2)</f>
        <v>kg liveweight</v>
      </c>
      <c r="H65" s="19" cm="1">
        <f t="array" ref="H65">Common_InputFunctions.Utility_DisplayArrayInTable(Scope3_SourceData.Scope3_Livestock_Data(), Table_SourceData_Scope3_Animals[[#Headers],[Category]], 0, 2)</f>
        <v>7.5</v>
      </c>
      <c r="I65" s="19" t="str" cm="1">
        <f t="array" ref="I65">Common_InputFunctions.Utility_DisplayArrayInTable(Scope3_SourceData.Scope3_Livestock_Data(), Table_SourceData_Scope3_Animals[[#Headers],[Category]], 0, 2)</f>
        <v>at market</v>
      </c>
      <c r="J65" s="19" t="s">
        <v>1169</v>
      </c>
    </row>
    <row r="66" spans="1:10" ht="20.100000000000001" customHeight="1" x14ac:dyDescent="0.2">
      <c r="D66" s="19" t="str" cm="1">
        <f t="array" ref="D66">Common_InputFunctions.Utility_DisplayArrayInTable(Scope3_SourceData.Scope3_Livestock_Data(), Table_SourceData_Scope3_Animals[[#Headers],[Category]], 0, 2)</f>
        <v>Sheep</v>
      </c>
      <c r="E66" s="19" t="str" cm="1">
        <f t="array" ref="E66">Common_InputFunctions.Utility_DisplayArrayInTable(Scope3_SourceData.Scope3_Livestock_Data(), Table_SourceData_Scope3_Animals[[#Headers],[Category]], 0, 2)</f>
        <v>Sheep, for mutton</v>
      </c>
      <c r="F66" s="19" t="str" cm="1">
        <f t="array" ref="F66">Common_InputFunctions.Utility_DisplayArrayInTable(Scope3_SourceData.Scope3_Livestock_Data(), Table_SourceData_Scope3_Animals[[#Headers],[Category]], 0, 2)</f>
        <v>VIC</v>
      </c>
      <c r="G66" s="19" t="str" cm="1">
        <f t="array" ref="G66">Common_InputFunctions.Utility_DisplayArrayInTable(Scope3_SourceData.Scope3_Livestock_Data(), Table_SourceData_Scope3_Animals[[#Headers],[Category]], 0, 2)</f>
        <v>kg liveweight</v>
      </c>
      <c r="H66" s="19" cm="1">
        <f t="array" ref="H66">Common_InputFunctions.Utility_DisplayArrayInTable(Scope3_SourceData.Scope3_Livestock_Data(), Table_SourceData_Scope3_Animals[[#Headers],[Category]], 0, 2)</f>
        <v>8.08</v>
      </c>
      <c r="I66" s="19" t="str" cm="1">
        <f t="array" ref="I66">Common_InputFunctions.Utility_DisplayArrayInTable(Scope3_SourceData.Scope3_Livestock_Data(), Table_SourceData_Scope3_Animals[[#Headers],[Category]], 0, 2)</f>
        <v>at market</v>
      </c>
      <c r="J66" s="19" t="s">
        <v>1169</v>
      </c>
    </row>
    <row r="67" spans="1:10" ht="20.100000000000001" customHeight="1" x14ac:dyDescent="0.2">
      <c r="D67" s="19" t="str" cm="1">
        <f t="array" ref="D67">Common_InputFunctions.Utility_DisplayArrayInTable(Scope3_SourceData.Scope3_Livestock_Data(), Table_SourceData_Scope3_Animals[[#Headers],[Category]], 0, 2)</f>
        <v>Sheep</v>
      </c>
      <c r="E67" s="19" t="str" cm="1">
        <f t="array" ref="E67">Common_InputFunctions.Utility_DisplayArrayInTable(Scope3_SourceData.Scope3_Livestock_Data(), Table_SourceData_Scope3_Animals[[#Headers],[Category]], 0, 2)</f>
        <v>Sheep, for mutton</v>
      </c>
      <c r="F67" s="19" t="str" cm="1">
        <f t="array" ref="F67">Common_InputFunctions.Utility_DisplayArrayInTable(Scope3_SourceData.Scope3_Livestock_Data(), Table_SourceData_Scope3_Animals[[#Headers],[Category]], 0, 2)</f>
        <v>WA</v>
      </c>
      <c r="G67" s="19" t="str" cm="1">
        <f t="array" ref="G67">Common_InputFunctions.Utility_DisplayArrayInTable(Scope3_SourceData.Scope3_Livestock_Data(), Table_SourceData_Scope3_Animals[[#Headers],[Category]], 0, 2)</f>
        <v>kg liveweight</v>
      </c>
      <c r="H67" s="19" cm="1">
        <f t="array" ref="H67">Common_InputFunctions.Utility_DisplayArrayInTable(Scope3_SourceData.Scope3_Livestock_Data(), Table_SourceData_Scope3_Animals[[#Headers],[Category]], 0, 2)</f>
        <v>5.45</v>
      </c>
      <c r="I67" s="19" t="str" cm="1">
        <f t="array" ref="I67">Common_InputFunctions.Utility_DisplayArrayInTable(Scope3_SourceData.Scope3_Livestock_Data(), Table_SourceData_Scope3_Animals[[#Headers],[Category]], 0, 2)</f>
        <v>at market</v>
      </c>
      <c r="J67" s="19" t="s">
        <v>1169</v>
      </c>
    </row>
    <row r="68" spans="1:10" ht="20.100000000000001" customHeight="1" x14ac:dyDescent="0.2">
      <c r="A68" s="79" t="str">
        <f>HYPERLINK("#A1", "▲ Back to top")</f>
        <v>▲ Back to top</v>
      </c>
      <c r="D68" s="19" t="str" cm="1">
        <f t="array" ref="D68">Common_InputFunctions.Utility_DisplayArrayInTable(Scope3_SourceData.Scope3_Livestock_Data(), Table_SourceData_Scope3_Animals[[#Headers],[Category]], 0, 2)</f>
        <v>Sheep</v>
      </c>
      <c r="E68" s="19" t="str" cm="1">
        <f t="array" ref="E68">Common_InputFunctions.Utility_DisplayArrayInTable(Scope3_SourceData.Scope3_Livestock_Data(), Table_SourceData_Scope3_Animals[[#Headers],[Category]], 0, 2)</f>
        <v>Sheep, for prime lamb</v>
      </c>
      <c r="F68" s="19" t="str" cm="1">
        <f t="array" ref="F68">Common_InputFunctions.Utility_DisplayArrayInTable(Scope3_SourceData.Scope3_Livestock_Data(), Table_SourceData_Scope3_Animals[[#Headers],[Category]], 0, 2)</f>
        <v>Australia</v>
      </c>
      <c r="G68" s="19" t="str" cm="1">
        <f t="array" ref="G68">Common_InputFunctions.Utility_DisplayArrayInTable(Scope3_SourceData.Scope3_Livestock_Data(), Table_SourceData_Scope3_Animals[[#Headers],[Category]], 0, 2)</f>
        <v>kg liveweight</v>
      </c>
      <c r="H68" s="19" cm="1">
        <f t="array" ref="H68">Common_InputFunctions.Utility_DisplayArrayInTable(Scope3_SourceData.Scope3_Livestock_Data(), Table_SourceData_Scope3_Animals[[#Headers],[Category]], 0, 2)</f>
        <v>7.15</v>
      </c>
      <c r="I68" s="19" t="str" cm="1">
        <f t="array" ref="I68">Common_InputFunctions.Utility_DisplayArrayInTable(Scope3_SourceData.Scope3_Livestock_Data(), Table_SourceData_Scope3_Animals[[#Headers],[Category]], 0, 2)</f>
        <v>at market</v>
      </c>
      <c r="J68" s="19" t="s">
        <v>1169</v>
      </c>
    </row>
    <row r="69" spans="1:10" ht="20.100000000000001" customHeight="1" x14ac:dyDescent="0.2">
      <c r="D69" s="19" t="str" cm="1">
        <f t="array" ref="D69">Common_InputFunctions.Utility_DisplayArrayInTable(Scope3_SourceData.Scope3_Livestock_Data(), Table_SourceData_Scope3_Animals[[#Headers],[Category]], 0, 2)</f>
        <v>Sheep</v>
      </c>
      <c r="E69" s="19" t="str" cm="1">
        <f t="array" ref="E69">Common_InputFunctions.Utility_DisplayArrayInTable(Scope3_SourceData.Scope3_Livestock_Data(), Table_SourceData_Scope3_Animals[[#Headers],[Category]], 0, 2)</f>
        <v>Sheep, for prime lamb</v>
      </c>
      <c r="F69" s="19" t="str" cm="1">
        <f t="array" ref="F69">Common_InputFunctions.Utility_DisplayArrayInTable(Scope3_SourceData.Scope3_Livestock_Data(), Table_SourceData_Scope3_Animals[[#Headers],[Category]], 0, 2)</f>
        <v>NSW</v>
      </c>
      <c r="G69" s="19" t="str" cm="1">
        <f t="array" ref="G69">Common_InputFunctions.Utility_DisplayArrayInTable(Scope3_SourceData.Scope3_Livestock_Data(), Table_SourceData_Scope3_Animals[[#Headers],[Category]], 0, 2)</f>
        <v>kg liveweight</v>
      </c>
      <c r="H69" s="19" cm="1">
        <f t="array" ref="H69">Common_InputFunctions.Utility_DisplayArrayInTable(Scope3_SourceData.Scope3_Livestock_Data(), Table_SourceData_Scope3_Animals[[#Headers],[Category]], 0, 2)</f>
        <v>8.2899999999999991</v>
      </c>
      <c r="I69" s="19" t="str" cm="1">
        <f t="array" ref="I69">Common_InputFunctions.Utility_DisplayArrayInTable(Scope3_SourceData.Scope3_Livestock_Data(), Table_SourceData_Scope3_Animals[[#Headers],[Category]], 0, 2)</f>
        <v>at market</v>
      </c>
      <c r="J69" s="19" t="s">
        <v>1169</v>
      </c>
    </row>
    <row r="70" spans="1:10" ht="20.100000000000001" customHeight="1" x14ac:dyDescent="0.2">
      <c r="D70" s="19" t="str" cm="1">
        <f t="array" ref="D70">Common_InputFunctions.Utility_DisplayArrayInTable(Scope3_SourceData.Scope3_Livestock_Data(), Table_SourceData_Scope3_Animals[[#Headers],[Category]], 0, 2)</f>
        <v>Sheep</v>
      </c>
      <c r="E70" s="19" t="str" cm="1">
        <f t="array" ref="E70">Common_InputFunctions.Utility_DisplayArrayInTable(Scope3_SourceData.Scope3_Livestock_Data(), Table_SourceData_Scope3_Animals[[#Headers],[Category]], 0, 2)</f>
        <v>Sheep, for prime lamb</v>
      </c>
      <c r="F70" s="19" t="str" cm="1">
        <f t="array" ref="F70">Common_InputFunctions.Utility_DisplayArrayInTable(Scope3_SourceData.Scope3_Livestock_Data(), Table_SourceData_Scope3_Animals[[#Headers],[Category]], 0, 2)</f>
        <v>QLD</v>
      </c>
      <c r="G70" s="19" t="str" cm="1">
        <f t="array" ref="G70">Common_InputFunctions.Utility_DisplayArrayInTable(Scope3_SourceData.Scope3_Livestock_Data(), Table_SourceData_Scope3_Animals[[#Headers],[Category]], 0, 2)</f>
        <v>kg liveweight</v>
      </c>
      <c r="H70" s="19" cm="1">
        <f t="array" ref="H70">Common_InputFunctions.Utility_DisplayArrayInTable(Scope3_SourceData.Scope3_Livestock_Data(), Table_SourceData_Scope3_Animals[[#Headers],[Category]], 0, 2)</f>
        <v>6.39</v>
      </c>
      <c r="I70" s="19" t="str" cm="1">
        <f t="array" ref="I70">Common_InputFunctions.Utility_DisplayArrayInTable(Scope3_SourceData.Scope3_Livestock_Data(), Table_SourceData_Scope3_Animals[[#Headers],[Category]], 0, 2)</f>
        <v>at market</v>
      </c>
      <c r="J70" s="19" t="s">
        <v>1169</v>
      </c>
    </row>
    <row r="71" spans="1:10" ht="20.100000000000001" customHeight="1" x14ac:dyDescent="0.2">
      <c r="D71" s="19" t="str" cm="1">
        <f t="array" ref="D71">Common_InputFunctions.Utility_DisplayArrayInTable(Scope3_SourceData.Scope3_Livestock_Data(), Table_SourceData_Scope3_Animals[[#Headers],[Category]], 0, 2)</f>
        <v>Sheep</v>
      </c>
      <c r="E71" s="19" t="str" cm="1">
        <f t="array" ref="E71">Common_InputFunctions.Utility_DisplayArrayInTable(Scope3_SourceData.Scope3_Livestock_Data(), Table_SourceData_Scope3_Animals[[#Headers],[Category]], 0, 2)</f>
        <v>Sheep, for prime lamb</v>
      </c>
      <c r="F71" s="19" t="str" cm="1">
        <f t="array" ref="F71">Common_InputFunctions.Utility_DisplayArrayInTable(Scope3_SourceData.Scope3_Livestock_Data(), Table_SourceData_Scope3_Animals[[#Headers],[Category]], 0, 2)</f>
        <v>SA</v>
      </c>
      <c r="G71" s="19" t="str" cm="1">
        <f t="array" ref="G71">Common_InputFunctions.Utility_DisplayArrayInTable(Scope3_SourceData.Scope3_Livestock_Data(), Table_SourceData_Scope3_Animals[[#Headers],[Category]], 0, 2)</f>
        <v>kg liveweight</v>
      </c>
      <c r="H71" s="19" cm="1">
        <f t="array" ref="H71">Common_InputFunctions.Utility_DisplayArrayInTable(Scope3_SourceData.Scope3_Livestock_Data(), Table_SourceData_Scope3_Animals[[#Headers],[Category]], 0, 2)</f>
        <v>6.87</v>
      </c>
      <c r="I71" s="19" t="str" cm="1">
        <f t="array" ref="I71">Common_InputFunctions.Utility_DisplayArrayInTable(Scope3_SourceData.Scope3_Livestock_Data(), Table_SourceData_Scope3_Animals[[#Headers],[Category]], 0, 2)</f>
        <v>at market</v>
      </c>
      <c r="J71" s="19" t="s">
        <v>1169</v>
      </c>
    </row>
    <row r="72" spans="1:10" ht="20.100000000000001" customHeight="1" x14ac:dyDescent="0.2">
      <c r="D72" s="19" t="str" cm="1">
        <f t="array" ref="D72">Common_InputFunctions.Utility_DisplayArrayInTable(Scope3_SourceData.Scope3_Livestock_Data(), Table_SourceData_Scope3_Animals[[#Headers],[Category]], 0, 2)</f>
        <v>Sheep</v>
      </c>
      <c r="E72" s="19" t="str" cm="1">
        <f t="array" ref="E72">Common_InputFunctions.Utility_DisplayArrayInTable(Scope3_SourceData.Scope3_Livestock_Data(), Table_SourceData_Scope3_Animals[[#Headers],[Category]], 0, 2)</f>
        <v>Sheep, for prime lamb</v>
      </c>
      <c r="F72" s="19" t="str" cm="1">
        <f t="array" ref="F72">Common_InputFunctions.Utility_DisplayArrayInTable(Scope3_SourceData.Scope3_Livestock_Data(), Table_SourceData_Scope3_Animals[[#Headers],[Category]], 0, 2)</f>
        <v>TAS</v>
      </c>
      <c r="G72" s="19" t="str" cm="1">
        <f t="array" ref="G72">Common_InputFunctions.Utility_DisplayArrayInTable(Scope3_SourceData.Scope3_Livestock_Data(), Table_SourceData_Scope3_Animals[[#Headers],[Category]], 0, 2)</f>
        <v>kg liveweight</v>
      </c>
      <c r="H72" s="19" cm="1">
        <f t="array" ref="H72">Common_InputFunctions.Utility_DisplayArrayInTable(Scope3_SourceData.Scope3_Livestock_Data(), Table_SourceData_Scope3_Animals[[#Headers],[Category]], 0, 2)</f>
        <v>8.66</v>
      </c>
      <c r="I72" s="19" t="str" cm="1">
        <f t="array" ref="I72">Common_InputFunctions.Utility_DisplayArrayInTable(Scope3_SourceData.Scope3_Livestock_Data(), Table_SourceData_Scope3_Animals[[#Headers],[Category]], 0, 2)</f>
        <v>at market</v>
      </c>
      <c r="J72" s="19" t="s">
        <v>1169</v>
      </c>
    </row>
    <row r="73" spans="1:10" ht="20.100000000000001" customHeight="1" x14ac:dyDescent="0.2">
      <c r="D73" s="19" t="str" cm="1">
        <f t="array" ref="D73">Common_InputFunctions.Utility_DisplayArrayInTable(Scope3_SourceData.Scope3_Livestock_Data(), Table_SourceData_Scope3_Animals[[#Headers],[Category]], 0, 2)</f>
        <v>Sheep</v>
      </c>
      <c r="E73" s="19" t="str" cm="1">
        <f t="array" ref="E73">Common_InputFunctions.Utility_DisplayArrayInTable(Scope3_SourceData.Scope3_Livestock_Data(), Table_SourceData_Scope3_Animals[[#Headers],[Category]], 0, 2)</f>
        <v>Sheep, for prime lamb</v>
      </c>
      <c r="F73" s="19" t="str" cm="1">
        <f t="array" ref="F73">Common_InputFunctions.Utility_DisplayArrayInTable(Scope3_SourceData.Scope3_Livestock_Data(), Table_SourceData_Scope3_Animals[[#Headers],[Category]], 0, 2)</f>
        <v>VIC</v>
      </c>
      <c r="G73" s="19" t="str" cm="1">
        <f t="array" ref="G73">Common_InputFunctions.Utility_DisplayArrayInTable(Scope3_SourceData.Scope3_Livestock_Data(), Table_SourceData_Scope3_Animals[[#Headers],[Category]], 0, 2)</f>
        <v>kg liveweight</v>
      </c>
      <c r="H73" s="19" cm="1">
        <f t="array" ref="H73">Common_InputFunctions.Utility_DisplayArrayInTable(Scope3_SourceData.Scope3_Livestock_Data(), Table_SourceData_Scope3_Animals[[#Headers],[Category]], 0, 2)</f>
        <v>10</v>
      </c>
      <c r="I73" s="19" t="str" cm="1">
        <f t="array" ref="I73">Common_InputFunctions.Utility_DisplayArrayInTable(Scope3_SourceData.Scope3_Livestock_Data(), Table_SourceData_Scope3_Animals[[#Headers],[Category]], 0, 2)</f>
        <v>at market</v>
      </c>
      <c r="J73" s="19" t="s">
        <v>1169</v>
      </c>
    </row>
    <row r="74" spans="1:10" ht="20.100000000000001" customHeight="1" x14ac:dyDescent="0.2">
      <c r="D74" s="19" t="str" cm="1">
        <f t="array" ref="D74">Common_InputFunctions.Utility_DisplayArrayInTable(Scope3_SourceData.Scope3_Livestock_Data(), Table_SourceData_Scope3_Animals[[#Headers],[Category]], 0, 2)</f>
        <v>Sheep</v>
      </c>
      <c r="E74" s="19" t="str" cm="1">
        <f t="array" ref="E74">Common_InputFunctions.Utility_DisplayArrayInTable(Scope3_SourceData.Scope3_Livestock_Data(), Table_SourceData_Scope3_Animals[[#Headers],[Category]], 0, 2)</f>
        <v>Sheep, for prime lamb</v>
      </c>
      <c r="F74" s="19" t="str" cm="1">
        <f t="array" ref="F74">Common_InputFunctions.Utility_DisplayArrayInTable(Scope3_SourceData.Scope3_Livestock_Data(), Table_SourceData_Scope3_Animals[[#Headers],[Category]], 0, 2)</f>
        <v>WA</v>
      </c>
      <c r="G74" s="19" t="str" cm="1">
        <f t="array" ref="G74">Common_InputFunctions.Utility_DisplayArrayInTable(Scope3_SourceData.Scope3_Livestock_Data(), Table_SourceData_Scope3_Animals[[#Headers],[Category]], 0, 2)</f>
        <v>kg liveweight</v>
      </c>
      <c r="H74" s="19" cm="1">
        <f t="array" ref="H74">Common_InputFunctions.Utility_DisplayArrayInTable(Scope3_SourceData.Scope3_Livestock_Data(), Table_SourceData_Scope3_Animals[[#Headers],[Category]], 0, 2)</f>
        <v>5.67</v>
      </c>
      <c r="I74" s="19" t="str" cm="1">
        <f t="array" ref="I74">Common_InputFunctions.Utility_DisplayArrayInTable(Scope3_SourceData.Scope3_Livestock_Data(), Table_SourceData_Scope3_Animals[[#Headers],[Category]], 0, 2)</f>
        <v>at market</v>
      </c>
      <c r="J74" s="19" t="s">
        <v>1169</v>
      </c>
    </row>
    <row r="76" spans="1:10" ht="20.100000000000001" customHeight="1" x14ac:dyDescent="0.2">
      <c r="D76" s="2" t="s">
        <v>1180</v>
      </c>
    </row>
    <row r="77" spans="1:10" ht="20.100000000000001" customHeight="1" x14ac:dyDescent="0.2">
      <c r="D77" s="19" t="s">
        <v>1162</v>
      </c>
      <c r="E77" s="19" t="s">
        <v>132</v>
      </c>
      <c r="F77" s="19" t="s">
        <v>1163</v>
      </c>
      <c r="G77" s="19" t="s">
        <v>1164</v>
      </c>
      <c r="H77" s="19" t="s">
        <v>1165</v>
      </c>
      <c r="I77" s="19" t="s">
        <v>1166</v>
      </c>
      <c r="J77" s="19" t="s">
        <v>570</v>
      </c>
    </row>
    <row r="78" spans="1:10" ht="20.100000000000001" customHeight="1" x14ac:dyDescent="0.2">
      <c r="D78" s="19" t="str" cm="1">
        <f t="array" ref="D78">Common_InputFunctions.Utility_DisplayArrayInTable(Scope3_SourceData.Scope3_Chemicals_Data(), Table_SourceData_Scope3_ChemicalsCleaning[[#Headers],[Category]], 0, 2)</f>
        <v>Cleaning chemicals</v>
      </c>
      <c r="E78" s="19" t="str" cm="1">
        <f t="array" ref="E78">Common_InputFunctions.Utility_DisplayArrayInTable(Scope3_SourceData.Scope3_Chemicals_Data(), Table_SourceData_Scope3_ChemicalsCleaning[[#Headers],[Category]], 0, 2)</f>
        <v>Alkaline cleaner</v>
      </c>
      <c r="F78" s="19" t="str" cm="1">
        <f t="array" ref="F78">Common_InputFunctions.Utility_DisplayArrayInTable(Scope3_SourceData.Scope3_Chemicals_Data(), Table_SourceData_Scope3_ChemicalsCleaning[[#Headers],[Category]], 0, 2)</f>
        <v>Global</v>
      </c>
      <c r="G78" s="19" t="str" cm="1">
        <f t="array" ref="G78">Common_InputFunctions.Utility_DisplayArrayInTable(Scope3_SourceData.Scope3_Chemicals_Data(), Table_SourceData_Scope3_ChemicalsCleaning[[#Headers],[Category]], 0, 2)</f>
        <v>kg</v>
      </c>
      <c r="H78" s="19" cm="1">
        <f t="array" ref="H78">Common_InputFunctions.Utility_DisplayArrayInTable(Scope3_SourceData.Scope3_Chemicals_Data(), Table_SourceData_Scope3_ChemicalsCleaning[[#Headers],[Category]], 0, 2)</f>
        <v>0.72199999999999998</v>
      </c>
      <c r="I78" s="19" t="str" cm="1">
        <f t="array" ref="I78">Common_InputFunctions.Utility_DisplayArrayInTable(Scope3_SourceData.Scope3_Chemicals_Data(), Table_SourceData_Scope3_ChemicalsCleaning[[#Headers],[Category]], 0, 2)</f>
        <v>at manufacturer</v>
      </c>
      <c r="J78" s="19" t="s">
        <v>1169</v>
      </c>
    </row>
    <row r="79" spans="1:10" ht="20.100000000000001" customHeight="1" x14ac:dyDescent="0.2">
      <c r="D79" s="19" t="str" cm="1">
        <f t="array" ref="D79">Common_InputFunctions.Utility_DisplayArrayInTable(Scope3_SourceData.Scope3_Chemicals_Data(), Table_SourceData_Scope3_ChemicalsCleaning[[#Headers],[Category]], 0, 2)</f>
        <v>Cleaning chemicals</v>
      </c>
      <c r="E79" s="19" t="str" cm="1">
        <f t="array" ref="E79">Common_InputFunctions.Utility_DisplayArrayInTable(Scope3_SourceData.Scope3_Chemicals_Data(), Table_SourceData_Scope3_ChemicalsCleaning[[#Headers],[Category]], 0, 2)</f>
        <v>Bleach</v>
      </c>
      <c r="F79" s="19" t="str" cm="1">
        <f t="array" ref="F79">Common_InputFunctions.Utility_DisplayArrayInTable(Scope3_SourceData.Scope3_Chemicals_Data(), Table_SourceData_Scope3_ChemicalsCleaning[[#Headers],[Category]], 0, 2)</f>
        <v>Global</v>
      </c>
      <c r="G79" s="19" t="str" cm="1">
        <f t="array" ref="G79">Common_InputFunctions.Utility_DisplayArrayInTable(Scope3_SourceData.Scope3_Chemicals_Data(), Table_SourceData_Scope3_ChemicalsCleaning[[#Headers],[Category]], 0, 2)</f>
        <v>kg</v>
      </c>
      <c r="H79" s="19" cm="1">
        <f t="array" ref="H79">Common_InputFunctions.Utility_DisplayArrayInTable(Scope3_SourceData.Scope3_Chemicals_Data(), Table_SourceData_Scope3_ChemicalsCleaning[[#Headers],[Category]], 0, 2)</f>
        <v>0.80400000000000005</v>
      </c>
      <c r="I79" s="19" t="str" cm="1">
        <f t="array" ref="I79">Common_InputFunctions.Utility_DisplayArrayInTable(Scope3_SourceData.Scope3_Chemicals_Data(), Table_SourceData_Scope3_ChemicalsCleaning[[#Headers],[Category]], 0, 2)</f>
        <v>at manufacturer</v>
      </c>
      <c r="J79" s="19" t="s">
        <v>1169</v>
      </c>
    </row>
    <row r="80" spans="1:10" ht="20.100000000000001" customHeight="1" x14ac:dyDescent="0.2">
      <c r="D80" s="19" t="str" cm="1">
        <f t="array" ref="D80">Common_InputFunctions.Utility_DisplayArrayInTable(Scope3_SourceData.Scope3_Chemicals_Data(), Table_SourceData_Scope3_ChemicalsCleaning[[#Headers],[Category]], 0, 2)</f>
        <v>Cleaning chemicals</v>
      </c>
      <c r="E80" s="19" t="str" cm="1">
        <f t="array" ref="E80">Common_InputFunctions.Utility_DisplayArrayInTable(Scope3_SourceData.Scope3_Chemicals_Data(), Table_SourceData_Scope3_ChemicalsCleaning[[#Headers],[Category]], 0, 2)</f>
        <v>Phosphoric acid</v>
      </c>
      <c r="F80" s="19" t="str" cm="1">
        <f t="array" ref="F80">Common_InputFunctions.Utility_DisplayArrayInTable(Scope3_SourceData.Scope3_Chemicals_Data(), Table_SourceData_Scope3_ChemicalsCleaning[[#Headers],[Category]], 0, 2)</f>
        <v>Global</v>
      </c>
      <c r="G80" s="19" t="str" cm="1">
        <f t="array" ref="G80">Common_InputFunctions.Utility_DisplayArrayInTable(Scope3_SourceData.Scope3_Chemicals_Data(), Table_SourceData_Scope3_ChemicalsCleaning[[#Headers],[Category]], 0, 2)</f>
        <v>kg</v>
      </c>
      <c r="H80" s="19" cm="1">
        <f t="array" ref="H80">Common_InputFunctions.Utility_DisplayArrayInTable(Scope3_SourceData.Scope3_Chemicals_Data(), Table_SourceData_Scope3_ChemicalsCleaning[[#Headers],[Category]], 0, 2)</f>
        <v>0.90700000000000003</v>
      </c>
      <c r="I80" s="19" t="str" cm="1">
        <f t="array" ref="I80">Common_InputFunctions.Utility_DisplayArrayInTable(Scope3_SourceData.Scope3_Chemicals_Data(), Table_SourceData_Scope3_ChemicalsCleaning[[#Headers],[Category]], 0, 2)</f>
        <v>at manufacturer</v>
      </c>
      <c r="J80" s="19" t="s">
        <v>1169</v>
      </c>
    </row>
    <row r="82" spans="4:17" ht="20.100000000000001" customHeight="1" x14ac:dyDescent="0.2">
      <c r="D82" s="19" t="s">
        <v>1162</v>
      </c>
      <c r="E82" s="19" t="s">
        <v>132</v>
      </c>
      <c r="F82" s="19" t="s">
        <v>1163</v>
      </c>
      <c r="G82" s="19" t="s">
        <v>1164</v>
      </c>
      <c r="H82" s="19" t="s">
        <v>1165</v>
      </c>
      <c r="I82" s="19" t="s">
        <v>1166</v>
      </c>
      <c r="J82" s="19" t="s">
        <v>570</v>
      </c>
    </row>
    <row r="83" spans="4:17" ht="20.100000000000001" customHeight="1" x14ac:dyDescent="0.2">
      <c r="D83" s="19" t="str" cm="1">
        <f t="array" ref="D83">Common_InputFunctions.Utility_DisplayArrayInTable(Scope3_SourceData.Scope3_Chemicals_Data(), Table_SourceData_Scope3_ChemicalsPharmacy[[#Headers],[Category]], -3, 2)</f>
        <v>Pharmacy chemicals</v>
      </c>
      <c r="E83" s="19" t="str" cm="1">
        <f t="array" ref="E83">Common_InputFunctions.Utility_DisplayArrayInTable(Scope3_SourceData.Scope3_Chemicals_Data(), Table_SourceData_Scope3_ChemicalsPharmacy[[#Headers],[Category]], -3, 2)</f>
        <v>Parasite control for cattle (external), dipping</v>
      </c>
      <c r="F83" s="19" t="str" cm="1">
        <f t="array" ref="F83">Common_InputFunctions.Utility_DisplayArrayInTable(Scope3_SourceData.Scope3_Chemicals_Data(), Table_SourceData_Scope3_ChemicalsPharmacy[[#Headers],[Category]], -3, 2)</f>
        <v>Global</v>
      </c>
      <c r="G83" s="19" t="str" cm="1">
        <f t="array" ref="G83">Common_InputFunctions.Utility_DisplayArrayInTable(Scope3_SourceData.Scope3_Chemicals_Data(), Table_SourceData_Scope3_ChemicalsPharmacy[[#Headers],[Category]], -3, 2)</f>
        <v>p (head)</v>
      </c>
      <c r="H83" s="19" cm="1">
        <f t="array" ref="H83">Common_InputFunctions.Utility_DisplayArrayInTable(Scope3_SourceData.Scope3_Chemicals_Data(), Table_SourceData_Scope3_ChemicalsPharmacy[[#Headers],[Category]], -3, 2)</f>
        <v>5.4699999999999999E-2</v>
      </c>
      <c r="I83" s="19" t="str" cm="1">
        <f t="array" ref="I83">Common_InputFunctions.Utility_DisplayArrayInTable(Scope3_SourceData.Scope3_Chemicals_Data(), Table_SourceData_Scope3_ChemicalsPharmacy[[#Headers],[Category]], -3, 2)</f>
        <v>at manufacturer</v>
      </c>
      <c r="J83" s="19" t="s">
        <v>1169</v>
      </c>
    </row>
    <row r="84" spans="4:17" ht="20.100000000000001" customHeight="1" x14ac:dyDescent="0.2">
      <c r="D84" s="19" t="str" cm="1">
        <f t="array" ref="D84">Common_InputFunctions.Utility_DisplayArrayInTable(Scope3_SourceData.Scope3_Chemicals_Data(), Table_SourceData_Scope3_ChemicalsPharmacy[[#Headers],[Category]], -3, 2)</f>
        <v>Pharmacy chemicals</v>
      </c>
      <c r="E84" s="19" t="str" cm="1">
        <f t="array" ref="E84">Common_InputFunctions.Utility_DisplayArrayInTable(Scope3_SourceData.Scope3_Chemicals_Data(), Table_SourceData_Scope3_ChemicalsPharmacy[[#Headers],[Category]], -3, 2)</f>
        <v>Parasite control for cattle (internal)</v>
      </c>
      <c r="F84" s="19" t="str" cm="1">
        <f t="array" ref="F84">Common_InputFunctions.Utility_DisplayArrayInTable(Scope3_SourceData.Scope3_Chemicals_Data(), Table_SourceData_Scope3_ChemicalsPharmacy[[#Headers],[Category]], -3, 2)</f>
        <v>Global</v>
      </c>
      <c r="G84" s="19" t="str" cm="1">
        <f t="array" ref="G84">Common_InputFunctions.Utility_DisplayArrayInTable(Scope3_SourceData.Scope3_Chemicals_Data(), Table_SourceData_Scope3_ChemicalsPharmacy[[#Headers],[Category]], -3, 2)</f>
        <v>p (head)</v>
      </c>
      <c r="H84" s="19" cm="1">
        <f t="array" ref="H84">Common_InputFunctions.Utility_DisplayArrayInTable(Scope3_SourceData.Scope3_Chemicals_Data(), Table_SourceData_Scope3_ChemicalsPharmacy[[#Headers],[Category]], -3, 2)</f>
        <v>1.4200000000000001E-2</v>
      </c>
      <c r="I84" s="19" t="str" cm="1">
        <f t="array" ref="I84">Common_InputFunctions.Utility_DisplayArrayInTable(Scope3_SourceData.Scope3_Chemicals_Data(), Table_SourceData_Scope3_ChemicalsPharmacy[[#Headers],[Category]], -3, 2)</f>
        <v>at manufacturer</v>
      </c>
      <c r="J84" s="19" t="s">
        <v>1169</v>
      </c>
    </row>
    <row r="85" spans="4:17" ht="20.100000000000001" customHeight="1" x14ac:dyDescent="0.2">
      <c r="D85" s="19" t="str" cm="1">
        <f t="array" ref="D85">Common_InputFunctions.Utility_DisplayArrayInTable(Scope3_SourceData.Scope3_Chemicals_Data(), Table_SourceData_Scope3_ChemicalsPharmacy[[#Headers],[Category]], -3, 2)</f>
        <v>Pharmacy chemicals</v>
      </c>
      <c r="E85" s="19" t="str" cm="1">
        <f t="array" ref="E85">Common_InputFunctions.Utility_DisplayArrayInTable(Scope3_SourceData.Scope3_Chemicals_Data(), Table_SourceData_Scope3_ChemicalsPharmacy[[#Headers],[Category]], -3, 2)</f>
        <v>Parasite control for sheep (external)</v>
      </c>
      <c r="F85" s="19" t="str" cm="1">
        <f t="array" ref="F85">Common_InputFunctions.Utility_DisplayArrayInTable(Scope3_SourceData.Scope3_Chemicals_Data(), Table_SourceData_Scope3_ChemicalsPharmacy[[#Headers],[Category]], -3, 2)</f>
        <v>Global</v>
      </c>
      <c r="G85" s="19" t="str" cm="1">
        <f t="array" ref="G85">Common_InputFunctions.Utility_DisplayArrayInTable(Scope3_SourceData.Scope3_Chemicals_Data(), Table_SourceData_Scope3_ChemicalsPharmacy[[#Headers],[Category]], -3, 2)</f>
        <v>p (head)</v>
      </c>
      <c r="H85" s="19" cm="1">
        <f t="array" ref="H85">Common_InputFunctions.Utility_DisplayArrayInTable(Scope3_SourceData.Scope3_Chemicals_Data(), Table_SourceData_Scope3_ChemicalsPharmacy[[#Headers],[Category]], -3, 2)</f>
        <v>1.43E-2</v>
      </c>
      <c r="I85" s="19" t="str" cm="1">
        <f t="array" ref="I85">Common_InputFunctions.Utility_DisplayArrayInTable(Scope3_SourceData.Scope3_Chemicals_Data(), Table_SourceData_Scope3_ChemicalsPharmacy[[#Headers],[Category]], -3, 2)</f>
        <v>at manufacturer</v>
      </c>
      <c r="J85" s="19" t="s">
        <v>1169</v>
      </c>
    </row>
    <row r="86" spans="4:17" ht="20.100000000000001" customHeight="1" x14ac:dyDescent="0.2">
      <c r="D86" s="19" t="str" cm="1">
        <f t="array" ref="D86">Common_InputFunctions.Utility_DisplayArrayInTable(Scope3_SourceData.Scope3_Chemicals_Data(), Table_SourceData_Scope3_ChemicalsPharmacy[[#Headers],[Category]], -3, 2)</f>
        <v>Pharmacy chemicals</v>
      </c>
      <c r="E86" s="19" t="str" cm="1">
        <f t="array" ref="E86">Common_InputFunctions.Utility_DisplayArrayInTable(Scope3_SourceData.Scope3_Chemicals_Data(), Table_SourceData_Scope3_ChemicalsPharmacy[[#Headers],[Category]], -3, 2)</f>
        <v>Parasite control for sheep (internal)</v>
      </c>
      <c r="F86" s="19" t="str" cm="1">
        <f t="array" ref="F86">Common_InputFunctions.Utility_DisplayArrayInTable(Scope3_SourceData.Scope3_Chemicals_Data(), Table_SourceData_Scope3_ChemicalsPharmacy[[#Headers],[Category]], -3, 2)</f>
        <v>Global</v>
      </c>
      <c r="G86" s="19" t="str" cm="1">
        <f t="array" ref="G86">Common_InputFunctions.Utility_DisplayArrayInTable(Scope3_SourceData.Scope3_Chemicals_Data(), Table_SourceData_Scope3_ChemicalsPharmacy[[#Headers],[Category]], -3, 2)</f>
        <v>p (head)</v>
      </c>
      <c r="H86" s="19" cm="1">
        <f t="array" ref="H86">Common_InputFunctions.Utility_DisplayArrayInTable(Scope3_SourceData.Scope3_Chemicals_Data(), Table_SourceData_Scope3_ChemicalsPharmacy[[#Headers],[Category]], -3, 2)</f>
        <v>4.2599999999999999E-3</v>
      </c>
      <c r="I86" s="19" t="str" cm="1">
        <f t="array" ref="I86">Common_InputFunctions.Utility_DisplayArrayInTable(Scope3_SourceData.Scope3_Chemicals_Data(), Table_SourceData_Scope3_ChemicalsPharmacy[[#Headers],[Category]], -3, 2)</f>
        <v>at manufacturer</v>
      </c>
      <c r="J86" s="19" t="s">
        <v>1169</v>
      </c>
    </row>
    <row r="88" spans="4:17" ht="20.100000000000001" customHeight="1" x14ac:dyDescent="0.2">
      <c r="D88" s="2" t="s">
        <v>975</v>
      </c>
    </row>
    <row r="89" spans="4:17" ht="20.100000000000001" customHeight="1" x14ac:dyDescent="0.2">
      <c r="D89" s="19" t="s">
        <v>1162</v>
      </c>
      <c r="E89" s="19" t="s">
        <v>132</v>
      </c>
      <c r="F89" s="19" t="s">
        <v>1163</v>
      </c>
      <c r="G89" s="19" t="s">
        <v>1164</v>
      </c>
      <c r="H89" s="19" t="s">
        <v>1165</v>
      </c>
      <c r="I89" s="19" t="s">
        <v>1166</v>
      </c>
      <c r="J89" s="19" t="s">
        <v>570</v>
      </c>
      <c r="O89" s="19" t="s">
        <v>132</v>
      </c>
      <c r="P89" s="19" t="s">
        <v>1167</v>
      </c>
      <c r="Q89" s="1" t="str">
        <f>"Table_ProductRegions_" &amp; SUBSTITUTE(SUBSTITUTE(SUBSTITUTE(SUBSTITUTE(O90, " ", ""), ",", ""), "(", ""), ")", "")</f>
        <v>Table_ProductRegions_Barleygrain</v>
      </c>
    </row>
    <row r="90" spans="4:17" ht="20.100000000000001" customHeight="1" x14ac:dyDescent="0.2">
      <c r="D90" s="19" t="str" cm="1">
        <f t="array" ref="D90">Common_InputFunctions.Utility_DisplayArrayInTable(Scope3_SourceData.Scope3_Feed_Data(), Table_SourceData_Scope3_Feed[[#Headers],[Category]], -1, 2)</f>
        <v>Grain</v>
      </c>
      <c r="E90" s="19" t="str" cm="1">
        <f t="array" ref="E90">Common_InputFunctions.Utility_DisplayArrayInTable(Scope3_SourceData.Scope3_Feed_Data(), Table_SourceData_Scope3_Feed[[#Headers],[Category]], -1, 2)</f>
        <v>Barley grain</v>
      </c>
      <c r="F90" s="19" t="str" cm="1">
        <f t="array" ref="F90">Common_InputFunctions.Utility_DisplayArrayInTable(Scope3_SourceData.Scope3_Feed_Data(), Table_SourceData_Scope3_Feed[[#Headers],[Category]], -1, 2)</f>
        <v>Australia</v>
      </c>
      <c r="G90" s="19" t="str" cm="1">
        <f t="array" ref="G90">Common_InputFunctions.Utility_DisplayArrayInTable(Scope3_SourceData.Scope3_Feed_Data(), Table_SourceData_Scope3_Feed[[#Headers],[Category]], -1, 2)</f>
        <v>kg</v>
      </c>
      <c r="H90" s="19" cm="1">
        <f t="array" ref="H90">Common_InputFunctions.Utility_DisplayArrayInTable(Scope3_SourceData.Scope3_Feed_Data(), Table_SourceData_Scope3_Feed[[#Headers],[Category]], -1, 2)</f>
        <v>0.23899999999999999</v>
      </c>
      <c r="I90" s="19" t="str" cm="1">
        <f t="array" ref="I90">Common_InputFunctions.Utility_DisplayArrayInTable(Scope3_SourceData.Scope3_Feed_Data(), Table_SourceData_Scope3_Feed[[#Headers],[Category]], -1, 2)</f>
        <v>at market</v>
      </c>
      <c r="J90" s="19" t="s">
        <v>1169</v>
      </c>
      <c r="O90" s="19" t="str">
        <f>Table_SourceData_Scope3_Feed[[#This Row],[Product]]</f>
        <v>Barley grain</v>
      </c>
      <c r="P90" s="19" t="str">
        <f>Table_SourceData_Scope3_Feed[[#This Row],[Region of origin]]</f>
        <v>Australia</v>
      </c>
    </row>
    <row r="91" spans="4:17" ht="20.100000000000001" customHeight="1" x14ac:dyDescent="0.2">
      <c r="D91" s="19" t="str" cm="1">
        <f t="array" ref="D91">Common_InputFunctions.Utility_DisplayArrayInTable(Scope3_SourceData.Scope3_Feed_Data(), Table_SourceData_Scope3_Feed[[#Headers],[Category]], -1, 2)</f>
        <v>Grain</v>
      </c>
      <c r="E91" s="19" t="str" cm="1">
        <f t="array" ref="E91">Common_InputFunctions.Utility_DisplayArrayInTable(Scope3_SourceData.Scope3_Feed_Data(), Table_SourceData_Scope3_Feed[[#Headers],[Category]], -1, 2)</f>
        <v>Barley grain</v>
      </c>
      <c r="F91" s="19" t="str" cm="1">
        <f t="array" ref="F91">Common_InputFunctions.Utility_DisplayArrayInTable(Scope3_SourceData.Scope3_Feed_Data(), Table_SourceData_Scope3_Feed[[#Headers],[Category]], -1, 2)</f>
        <v>NSW</v>
      </c>
      <c r="G91" s="19" t="str" cm="1">
        <f t="array" ref="G91">Common_InputFunctions.Utility_DisplayArrayInTable(Scope3_SourceData.Scope3_Feed_Data(), Table_SourceData_Scope3_Feed[[#Headers],[Category]], -1, 2)</f>
        <v>kg</v>
      </c>
      <c r="H91" s="19" cm="1">
        <f t="array" ref="H91">Common_InputFunctions.Utility_DisplayArrayInTable(Scope3_SourceData.Scope3_Feed_Data(), Table_SourceData_Scope3_Feed[[#Headers],[Category]], -1, 2)</f>
        <v>0.25600000000000001</v>
      </c>
      <c r="I91" s="19" t="str" cm="1">
        <f t="array" ref="I91">Common_InputFunctions.Utility_DisplayArrayInTable(Scope3_SourceData.Scope3_Feed_Data(), Table_SourceData_Scope3_Feed[[#Headers],[Category]], -1, 2)</f>
        <v>at market</v>
      </c>
      <c r="J91" s="19" t="s">
        <v>1169</v>
      </c>
      <c r="O91" s="19" t="str">
        <f>Table_SourceData_Scope3_Feed[[#This Row],[Product]]</f>
        <v>Barley grain</v>
      </c>
      <c r="P91" s="19" t="str">
        <f>Table_SourceData_Scope3_Feed[[#This Row],[Region of origin]]</f>
        <v>NSW</v>
      </c>
    </row>
    <row r="92" spans="4:17" ht="20.100000000000001" customHeight="1" x14ac:dyDescent="0.2">
      <c r="D92" s="19" t="str" cm="1">
        <f t="array" ref="D92">Common_InputFunctions.Utility_DisplayArrayInTable(Scope3_SourceData.Scope3_Feed_Data(), Table_SourceData_Scope3_Feed[[#Headers],[Category]], -1, 2)</f>
        <v>Grain</v>
      </c>
      <c r="E92" s="19" t="str" cm="1">
        <f t="array" ref="E92">Common_InputFunctions.Utility_DisplayArrayInTable(Scope3_SourceData.Scope3_Feed_Data(), Table_SourceData_Scope3_Feed[[#Headers],[Category]], -1, 2)</f>
        <v>Barley grain</v>
      </c>
      <c r="F92" s="19" t="str" cm="1">
        <f t="array" ref="F92">Common_InputFunctions.Utility_DisplayArrayInTable(Scope3_SourceData.Scope3_Feed_Data(), Table_SourceData_Scope3_Feed[[#Headers],[Category]], -1, 2)</f>
        <v>NT</v>
      </c>
      <c r="G92" s="19" t="str" cm="1">
        <f t="array" ref="G92">Common_InputFunctions.Utility_DisplayArrayInTable(Scope3_SourceData.Scope3_Feed_Data(), Table_SourceData_Scope3_Feed[[#Headers],[Category]], -1, 2)</f>
        <v>kg</v>
      </c>
      <c r="H92" s="19" cm="1">
        <f t="array" ref="H92">Common_InputFunctions.Utility_DisplayArrayInTable(Scope3_SourceData.Scope3_Feed_Data(), Table_SourceData_Scope3_Feed[[#Headers],[Category]], -1, 2)</f>
        <v>0.33200000000000002</v>
      </c>
      <c r="I92" s="19" t="str" cm="1">
        <f t="array" ref="I92">Common_InputFunctions.Utility_DisplayArrayInTable(Scope3_SourceData.Scope3_Feed_Data(), Table_SourceData_Scope3_Feed[[#Headers],[Category]], -1, 2)</f>
        <v>at market</v>
      </c>
      <c r="J92" s="19" t="s">
        <v>1169</v>
      </c>
      <c r="O92" s="19" t="str">
        <f>Table_SourceData_Scope3_Feed[[#This Row],[Product]]</f>
        <v>Barley grain</v>
      </c>
      <c r="P92" s="19" t="str">
        <f>Table_SourceData_Scope3_Feed[[#This Row],[Region of origin]]</f>
        <v>NT</v>
      </c>
    </row>
    <row r="93" spans="4:17" ht="20.100000000000001" customHeight="1" x14ac:dyDescent="0.2">
      <c r="D93" s="19" t="str" cm="1">
        <f t="array" ref="D93">Common_InputFunctions.Utility_DisplayArrayInTable(Scope3_SourceData.Scope3_Feed_Data(), Table_SourceData_Scope3_Feed[[#Headers],[Category]], -1, 2)</f>
        <v>Grain</v>
      </c>
      <c r="E93" s="19" t="str" cm="1">
        <f t="array" ref="E93">Common_InputFunctions.Utility_DisplayArrayInTable(Scope3_SourceData.Scope3_Feed_Data(), Table_SourceData_Scope3_Feed[[#Headers],[Category]], -1, 2)</f>
        <v>Barley grain</v>
      </c>
      <c r="F93" s="19" t="str" cm="1">
        <f t="array" ref="F93">Common_InputFunctions.Utility_DisplayArrayInTable(Scope3_SourceData.Scope3_Feed_Data(), Table_SourceData_Scope3_Feed[[#Headers],[Category]], -1, 2)</f>
        <v>QLD</v>
      </c>
      <c r="G93" s="19" t="str" cm="1">
        <f t="array" ref="G93">Common_InputFunctions.Utility_DisplayArrayInTable(Scope3_SourceData.Scope3_Feed_Data(), Table_SourceData_Scope3_Feed[[#Headers],[Category]], -1, 2)</f>
        <v>kg</v>
      </c>
      <c r="H93" s="19" cm="1">
        <f t="array" ref="H93">Common_InputFunctions.Utility_DisplayArrayInTable(Scope3_SourceData.Scope3_Feed_Data(), Table_SourceData_Scope3_Feed[[#Headers],[Category]], -1, 2)</f>
        <v>0.26900000000000002</v>
      </c>
      <c r="I93" s="19" t="str" cm="1">
        <f t="array" ref="I93">Common_InputFunctions.Utility_DisplayArrayInTable(Scope3_SourceData.Scope3_Feed_Data(), Table_SourceData_Scope3_Feed[[#Headers],[Category]], -1, 2)</f>
        <v>at market</v>
      </c>
      <c r="J93" s="19" t="s">
        <v>1169</v>
      </c>
      <c r="O93" s="19" t="str">
        <f>Table_SourceData_Scope3_Feed[[#This Row],[Product]]</f>
        <v>Barley grain</v>
      </c>
      <c r="P93" s="19" t="str">
        <f>Table_SourceData_Scope3_Feed[[#This Row],[Region of origin]]</f>
        <v>QLD</v>
      </c>
    </row>
    <row r="94" spans="4:17" ht="20.100000000000001" customHeight="1" x14ac:dyDescent="0.2">
      <c r="D94" s="19" t="str" cm="1">
        <f t="array" ref="D94">Common_InputFunctions.Utility_DisplayArrayInTable(Scope3_SourceData.Scope3_Feed_Data(), Table_SourceData_Scope3_Feed[[#Headers],[Category]], -1, 2)</f>
        <v>Grain</v>
      </c>
      <c r="E94" s="19" t="str" cm="1">
        <f t="array" ref="E94">Common_InputFunctions.Utility_DisplayArrayInTable(Scope3_SourceData.Scope3_Feed_Data(), Table_SourceData_Scope3_Feed[[#Headers],[Category]], -1, 2)</f>
        <v>Barley grain</v>
      </c>
      <c r="F94" s="19" t="str" cm="1">
        <f t="array" ref="F94">Common_InputFunctions.Utility_DisplayArrayInTable(Scope3_SourceData.Scope3_Feed_Data(), Table_SourceData_Scope3_Feed[[#Headers],[Category]], -1, 2)</f>
        <v>SA</v>
      </c>
      <c r="G94" s="19" t="str" cm="1">
        <f t="array" ref="G94">Common_InputFunctions.Utility_DisplayArrayInTable(Scope3_SourceData.Scope3_Feed_Data(), Table_SourceData_Scope3_Feed[[#Headers],[Category]], -1, 2)</f>
        <v>kg</v>
      </c>
      <c r="H94" s="19" cm="1">
        <f t="array" ref="H94">Common_InputFunctions.Utility_DisplayArrayInTable(Scope3_SourceData.Scope3_Feed_Data(), Table_SourceData_Scope3_Feed[[#Headers],[Category]], -1, 2)</f>
        <v>0.223</v>
      </c>
      <c r="I94" s="19" t="str" cm="1">
        <f t="array" ref="I94">Common_InputFunctions.Utility_DisplayArrayInTable(Scope3_SourceData.Scope3_Feed_Data(), Table_SourceData_Scope3_Feed[[#Headers],[Category]], -1, 2)</f>
        <v>at market</v>
      </c>
      <c r="J94" s="19" t="s">
        <v>1169</v>
      </c>
      <c r="O94" s="19" t="str">
        <f>Table_SourceData_Scope3_Feed[[#This Row],[Product]]</f>
        <v>Barley grain</v>
      </c>
      <c r="P94" s="19" t="str">
        <f>Table_SourceData_Scope3_Feed[[#This Row],[Region of origin]]</f>
        <v>SA</v>
      </c>
    </row>
    <row r="95" spans="4:17" ht="20.100000000000001" customHeight="1" x14ac:dyDescent="0.2">
      <c r="D95" s="19" t="str" cm="1">
        <f t="array" ref="D95">Common_InputFunctions.Utility_DisplayArrayInTable(Scope3_SourceData.Scope3_Feed_Data(), Table_SourceData_Scope3_Feed[[#Headers],[Category]], -1, 2)</f>
        <v>Grain</v>
      </c>
      <c r="E95" s="19" t="str" cm="1">
        <f t="array" ref="E95">Common_InputFunctions.Utility_DisplayArrayInTable(Scope3_SourceData.Scope3_Feed_Data(), Table_SourceData_Scope3_Feed[[#Headers],[Category]], -1, 2)</f>
        <v>Barley grain</v>
      </c>
      <c r="F95" s="19" t="str" cm="1">
        <f t="array" ref="F95">Common_InputFunctions.Utility_DisplayArrayInTable(Scope3_SourceData.Scope3_Feed_Data(), Table_SourceData_Scope3_Feed[[#Headers],[Category]], -1, 2)</f>
        <v>TAS</v>
      </c>
      <c r="G95" s="19" t="str" cm="1">
        <f t="array" ref="G95">Common_InputFunctions.Utility_DisplayArrayInTable(Scope3_SourceData.Scope3_Feed_Data(), Table_SourceData_Scope3_Feed[[#Headers],[Category]], -1, 2)</f>
        <v>kg</v>
      </c>
      <c r="H95" s="19" cm="1">
        <f t="array" ref="H95">Common_InputFunctions.Utility_DisplayArrayInTable(Scope3_SourceData.Scope3_Feed_Data(), Table_SourceData_Scope3_Feed[[#Headers],[Category]], -1, 2)</f>
        <v>0.307</v>
      </c>
      <c r="I95" s="19" t="str" cm="1">
        <f t="array" ref="I95">Common_InputFunctions.Utility_DisplayArrayInTable(Scope3_SourceData.Scope3_Feed_Data(), Table_SourceData_Scope3_Feed[[#Headers],[Category]], -1, 2)</f>
        <v>at market</v>
      </c>
      <c r="J95" s="19" t="s">
        <v>1169</v>
      </c>
      <c r="O95" s="19" t="str">
        <f>Table_SourceData_Scope3_Feed[[#This Row],[Product]]</f>
        <v>Barley grain</v>
      </c>
      <c r="P95" s="19" t="str">
        <f>Table_SourceData_Scope3_Feed[[#This Row],[Region of origin]]</f>
        <v>TAS</v>
      </c>
    </row>
    <row r="96" spans="4:17" ht="20.100000000000001" customHeight="1" x14ac:dyDescent="0.2">
      <c r="D96" s="19" t="str" cm="1">
        <f t="array" ref="D96">Common_InputFunctions.Utility_DisplayArrayInTable(Scope3_SourceData.Scope3_Feed_Data(), Table_SourceData_Scope3_Feed[[#Headers],[Category]], -1, 2)</f>
        <v>Grain</v>
      </c>
      <c r="E96" s="19" t="str" cm="1">
        <f t="array" ref="E96">Common_InputFunctions.Utility_DisplayArrayInTable(Scope3_SourceData.Scope3_Feed_Data(), Table_SourceData_Scope3_Feed[[#Headers],[Category]], -1, 2)</f>
        <v>Barley grain</v>
      </c>
      <c r="F96" s="19" t="str" cm="1">
        <f t="array" ref="F96">Common_InputFunctions.Utility_DisplayArrayInTable(Scope3_SourceData.Scope3_Feed_Data(), Table_SourceData_Scope3_Feed[[#Headers],[Category]], -1, 2)</f>
        <v>VIC</v>
      </c>
      <c r="G96" s="19" t="str" cm="1">
        <f t="array" ref="G96">Common_InputFunctions.Utility_DisplayArrayInTable(Scope3_SourceData.Scope3_Feed_Data(), Table_SourceData_Scope3_Feed[[#Headers],[Category]], -1, 2)</f>
        <v>kg</v>
      </c>
      <c r="H96" s="19" cm="1">
        <f t="array" ref="H96">Common_InputFunctions.Utility_DisplayArrayInTable(Scope3_SourceData.Scope3_Feed_Data(), Table_SourceData_Scope3_Feed[[#Headers],[Category]], -1, 2)</f>
        <v>0.24099999999999999</v>
      </c>
      <c r="I96" s="19" t="str" cm="1">
        <f t="array" ref="I96">Common_InputFunctions.Utility_DisplayArrayInTable(Scope3_SourceData.Scope3_Feed_Data(), Table_SourceData_Scope3_Feed[[#Headers],[Category]], -1, 2)</f>
        <v>at market</v>
      </c>
      <c r="J96" s="19" t="s">
        <v>1169</v>
      </c>
      <c r="O96" s="19" t="str">
        <f>Table_SourceData_Scope3_Feed[[#This Row],[Product]]</f>
        <v>Barley grain</v>
      </c>
      <c r="P96" s="19" t="str">
        <f>Table_SourceData_Scope3_Feed[[#This Row],[Region of origin]]</f>
        <v>VIC</v>
      </c>
    </row>
    <row r="97" spans="1:17" ht="20.100000000000001" customHeight="1" x14ac:dyDescent="0.2">
      <c r="D97" s="19" t="str" cm="1">
        <f t="array" ref="D97">Common_InputFunctions.Utility_DisplayArrayInTable(Scope3_SourceData.Scope3_Feed_Data(), Table_SourceData_Scope3_Feed[[#Headers],[Category]], -1, 2)</f>
        <v>Grain</v>
      </c>
      <c r="E97" s="19" t="str" cm="1">
        <f t="array" ref="E97">Common_InputFunctions.Utility_DisplayArrayInTable(Scope3_SourceData.Scope3_Feed_Data(), Table_SourceData_Scope3_Feed[[#Headers],[Category]], -1, 2)</f>
        <v>Barley grain</v>
      </c>
      <c r="F97" s="19" t="str" cm="1">
        <f t="array" ref="F97">Common_InputFunctions.Utility_DisplayArrayInTable(Scope3_SourceData.Scope3_Feed_Data(), Table_SourceData_Scope3_Feed[[#Headers],[Category]], -1, 2)</f>
        <v>WA</v>
      </c>
      <c r="G97" s="19" t="str" cm="1">
        <f t="array" ref="G97">Common_InputFunctions.Utility_DisplayArrayInTable(Scope3_SourceData.Scope3_Feed_Data(), Table_SourceData_Scope3_Feed[[#Headers],[Category]], -1, 2)</f>
        <v>kg</v>
      </c>
      <c r="H97" s="19" cm="1">
        <f t="array" ref="H97">Common_InputFunctions.Utility_DisplayArrayInTable(Scope3_SourceData.Scope3_Feed_Data(), Table_SourceData_Scope3_Feed[[#Headers],[Category]], -1, 2)</f>
        <v>0.23599999999999999</v>
      </c>
      <c r="I97" s="19" t="str" cm="1">
        <f t="array" ref="I97">Common_InputFunctions.Utility_DisplayArrayInTable(Scope3_SourceData.Scope3_Feed_Data(), Table_SourceData_Scope3_Feed[[#Headers],[Category]], -1, 2)</f>
        <v>at market</v>
      </c>
      <c r="J97" s="19" t="s">
        <v>1169</v>
      </c>
      <c r="L97" s="19" t="s">
        <v>132</v>
      </c>
      <c r="M97" s="19" t="s">
        <v>1167</v>
      </c>
      <c r="N97" s="1" t="str">
        <f>"Table_ProductRegions_" &amp; SUBSTITUTE(SUBSTITUTE(SUBSTITUTE(SUBSTITUTE(L98, " ", ""), ",", ""), "(", ""), ")", "")</f>
        <v>Table_ProductRegions_Maizegrain</v>
      </c>
      <c r="O97" s="19" t="str">
        <f>Table_SourceData_Scope3_Feed[[#This Row],[Product]]</f>
        <v>Barley grain</v>
      </c>
      <c r="P97" s="19" t="str">
        <f>Table_SourceData_Scope3_Feed[[#This Row],[Region of origin]]</f>
        <v>WA</v>
      </c>
    </row>
    <row r="98" spans="1:17" ht="20.100000000000001" customHeight="1" x14ac:dyDescent="0.2">
      <c r="A98" s="79" t="str">
        <f>HYPERLINK("#A1", "▲ Back to top")</f>
        <v>▲ Back to top</v>
      </c>
      <c r="D98" s="19" t="str" cm="1">
        <f t="array" ref="D98">Common_InputFunctions.Utility_DisplayArrayInTable(Scope3_SourceData.Scope3_Feed_Data(), Table_SourceData_Scope3_Feed[[#Headers],[Category]], -1, 2)</f>
        <v>Grain</v>
      </c>
      <c r="E98" s="19" t="str" cm="1">
        <f t="array" ref="E98">Common_InputFunctions.Utility_DisplayArrayInTable(Scope3_SourceData.Scope3_Feed_Data(), Table_SourceData_Scope3_Feed[[#Headers],[Category]], -1, 2)</f>
        <v>Maize grain</v>
      </c>
      <c r="F98" s="19" t="str" cm="1">
        <f t="array" ref="F98">Common_InputFunctions.Utility_DisplayArrayInTable(Scope3_SourceData.Scope3_Feed_Data(), Table_SourceData_Scope3_Feed[[#Headers],[Category]], -1, 2)</f>
        <v>Australia</v>
      </c>
      <c r="G98" s="19" t="str" cm="1">
        <f t="array" ref="G98">Common_InputFunctions.Utility_DisplayArrayInTable(Scope3_SourceData.Scope3_Feed_Data(), Table_SourceData_Scope3_Feed[[#Headers],[Category]], -1, 2)</f>
        <v>kg</v>
      </c>
      <c r="H98" s="19" cm="1">
        <f t="array" ref="H98">Common_InputFunctions.Utility_DisplayArrayInTable(Scope3_SourceData.Scope3_Feed_Data(), Table_SourceData_Scope3_Feed[[#Headers],[Category]], -1, 2)</f>
        <v>0.18099999999999999</v>
      </c>
      <c r="I98" s="19" t="str" cm="1">
        <f t="array" ref="I98">Common_InputFunctions.Utility_DisplayArrayInTable(Scope3_SourceData.Scope3_Feed_Data(), Table_SourceData_Scope3_Feed[[#Headers],[Category]], -1, 2)</f>
        <v>at market</v>
      </c>
      <c r="J98" s="19" t="s">
        <v>1169</v>
      </c>
      <c r="L98" s="19" t="str">
        <f>Table_SourceData_Scope3_Feed[[#This Row],[Product]]</f>
        <v>Maize grain</v>
      </c>
      <c r="M98" s="19" t="str">
        <f>Table_SourceData_Scope3_Feed[[#This Row],[Region of origin]]</f>
        <v>Australia</v>
      </c>
    </row>
    <row r="99" spans="1:17" ht="20.100000000000001" customHeight="1" x14ac:dyDescent="0.2">
      <c r="D99" s="19" t="str" cm="1">
        <f t="array" ref="D99">Common_InputFunctions.Utility_DisplayArrayInTable(Scope3_SourceData.Scope3_Feed_Data(), Table_SourceData_Scope3_Feed[[#Headers],[Category]], -1, 2)</f>
        <v>Grain</v>
      </c>
      <c r="E99" s="19" t="str" cm="1">
        <f t="array" ref="E99">Common_InputFunctions.Utility_DisplayArrayInTable(Scope3_SourceData.Scope3_Feed_Data(), Table_SourceData_Scope3_Feed[[#Headers],[Category]], -1, 2)</f>
        <v>Maize grain</v>
      </c>
      <c r="F99" s="19" t="str" cm="1">
        <f t="array" ref="F99">Common_InputFunctions.Utility_DisplayArrayInTable(Scope3_SourceData.Scope3_Feed_Data(), Table_SourceData_Scope3_Feed[[#Headers],[Category]], -1, 2)</f>
        <v>NSW</v>
      </c>
      <c r="G99" s="19" t="str" cm="1">
        <f t="array" ref="G99">Common_InputFunctions.Utility_DisplayArrayInTable(Scope3_SourceData.Scope3_Feed_Data(), Table_SourceData_Scope3_Feed[[#Headers],[Category]], -1, 2)</f>
        <v>kg</v>
      </c>
      <c r="H99" s="19" cm="1">
        <f t="array" ref="H99">Common_InputFunctions.Utility_DisplayArrayInTable(Scope3_SourceData.Scope3_Feed_Data(), Table_SourceData_Scope3_Feed[[#Headers],[Category]], -1, 2)</f>
        <v>0.16900000000000001</v>
      </c>
      <c r="I99" s="19" t="str" cm="1">
        <f t="array" ref="I99">Common_InputFunctions.Utility_DisplayArrayInTable(Scope3_SourceData.Scope3_Feed_Data(), Table_SourceData_Scope3_Feed[[#Headers],[Category]], -1, 2)</f>
        <v>at market</v>
      </c>
      <c r="J99" s="19" t="s">
        <v>1169</v>
      </c>
      <c r="L99" s="19" t="str">
        <f>Table_SourceData_Scope3_Feed[[#This Row],[Product]]</f>
        <v>Maize grain</v>
      </c>
      <c r="M99" s="19" t="str">
        <f>Table_SourceData_Scope3_Feed[[#This Row],[Region of origin]]</f>
        <v>NSW</v>
      </c>
    </row>
    <row r="100" spans="1:17" ht="20.100000000000001" customHeight="1" x14ac:dyDescent="0.2">
      <c r="D100" s="19" t="str" cm="1">
        <f t="array" ref="D100">Common_InputFunctions.Utility_DisplayArrayInTable(Scope3_SourceData.Scope3_Feed_Data(), Table_SourceData_Scope3_Feed[[#Headers],[Category]], -1, 2)</f>
        <v>Grain</v>
      </c>
      <c r="E100" s="19" t="str" cm="1">
        <f t="array" ref="E100">Common_InputFunctions.Utility_DisplayArrayInTable(Scope3_SourceData.Scope3_Feed_Data(), Table_SourceData_Scope3_Feed[[#Headers],[Category]], -1, 2)</f>
        <v>Maize grain</v>
      </c>
      <c r="F100" s="19" t="str" cm="1">
        <f t="array" ref="F100">Common_InputFunctions.Utility_DisplayArrayInTable(Scope3_SourceData.Scope3_Feed_Data(), Table_SourceData_Scope3_Feed[[#Headers],[Category]], -1, 2)</f>
        <v>NT</v>
      </c>
      <c r="G100" s="19" t="str" cm="1">
        <f t="array" ref="G100">Common_InputFunctions.Utility_DisplayArrayInTable(Scope3_SourceData.Scope3_Feed_Data(), Table_SourceData_Scope3_Feed[[#Headers],[Category]], -1, 2)</f>
        <v>kg</v>
      </c>
      <c r="H100" s="19" cm="1">
        <f t="array" ref="H100">Common_InputFunctions.Utility_DisplayArrayInTable(Scope3_SourceData.Scope3_Feed_Data(), Table_SourceData_Scope3_Feed[[#Headers],[Category]], -1, 2)</f>
        <v>0.25600000000000001</v>
      </c>
      <c r="I100" s="19" t="str" cm="1">
        <f t="array" ref="I100">Common_InputFunctions.Utility_DisplayArrayInTable(Scope3_SourceData.Scope3_Feed_Data(), Table_SourceData_Scope3_Feed[[#Headers],[Category]], -1, 2)</f>
        <v>at market</v>
      </c>
      <c r="J100" s="19" t="s">
        <v>1169</v>
      </c>
      <c r="L100" s="19" t="str">
        <f>Table_SourceData_Scope3_Feed[[#This Row],[Product]]</f>
        <v>Maize grain</v>
      </c>
      <c r="M100" s="19" t="str">
        <f>Table_SourceData_Scope3_Feed[[#This Row],[Region of origin]]</f>
        <v>NT</v>
      </c>
    </row>
    <row r="101" spans="1:17" ht="20.100000000000001" customHeight="1" x14ac:dyDescent="0.2">
      <c r="D101" s="19" t="str" cm="1">
        <f t="array" ref="D101">Common_InputFunctions.Utility_DisplayArrayInTable(Scope3_SourceData.Scope3_Feed_Data(), Table_SourceData_Scope3_Feed[[#Headers],[Category]], -1, 2)</f>
        <v>Grain</v>
      </c>
      <c r="E101" s="19" t="str" cm="1">
        <f t="array" ref="E101">Common_InputFunctions.Utility_DisplayArrayInTable(Scope3_SourceData.Scope3_Feed_Data(), Table_SourceData_Scope3_Feed[[#Headers],[Category]], -1, 2)</f>
        <v>Maize grain</v>
      </c>
      <c r="F101" s="19" t="str" cm="1">
        <f t="array" ref="F101">Common_InputFunctions.Utility_DisplayArrayInTable(Scope3_SourceData.Scope3_Feed_Data(), Table_SourceData_Scope3_Feed[[#Headers],[Category]], -1, 2)</f>
        <v>QLD</v>
      </c>
      <c r="G101" s="19" t="str" cm="1">
        <f t="array" ref="G101">Common_InputFunctions.Utility_DisplayArrayInTable(Scope3_SourceData.Scope3_Feed_Data(), Table_SourceData_Scope3_Feed[[#Headers],[Category]], -1, 2)</f>
        <v>kg</v>
      </c>
      <c r="H101" s="19" cm="1">
        <f t="array" ref="H101">Common_InputFunctions.Utility_DisplayArrayInTable(Scope3_SourceData.Scope3_Feed_Data(), Table_SourceData_Scope3_Feed[[#Headers],[Category]], -1, 2)</f>
        <v>0.186</v>
      </c>
      <c r="I101" s="19" t="str" cm="1">
        <f t="array" ref="I101">Common_InputFunctions.Utility_DisplayArrayInTable(Scope3_SourceData.Scope3_Feed_Data(), Table_SourceData_Scope3_Feed[[#Headers],[Category]], -1, 2)</f>
        <v>at market</v>
      </c>
      <c r="J101" s="19" t="s">
        <v>1169</v>
      </c>
      <c r="L101" s="19" t="str">
        <f>Table_SourceData_Scope3_Feed[[#This Row],[Product]]</f>
        <v>Maize grain</v>
      </c>
      <c r="M101" s="19" t="str">
        <f>Table_SourceData_Scope3_Feed[[#This Row],[Region of origin]]</f>
        <v>QLD</v>
      </c>
    </row>
    <row r="102" spans="1:17" ht="20.100000000000001" customHeight="1" x14ac:dyDescent="0.2">
      <c r="D102" s="19" t="str" cm="1">
        <f t="array" ref="D102">Common_InputFunctions.Utility_DisplayArrayInTable(Scope3_SourceData.Scope3_Feed_Data(), Table_SourceData_Scope3_Feed[[#Headers],[Category]], -1, 2)</f>
        <v>Grain</v>
      </c>
      <c r="E102" s="19" t="str" cm="1">
        <f t="array" ref="E102">Common_InputFunctions.Utility_DisplayArrayInTable(Scope3_SourceData.Scope3_Feed_Data(), Table_SourceData_Scope3_Feed[[#Headers],[Category]], -1, 2)</f>
        <v>Maize grain</v>
      </c>
      <c r="F102" s="19" t="str" cm="1">
        <f t="array" ref="F102">Common_InputFunctions.Utility_DisplayArrayInTable(Scope3_SourceData.Scope3_Feed_Data(), Table_SourceData_Scope3_Feed[[#Headers],[Category]], -1, 2)</f>
        <v>SA</v>
      </c>
      <c r="G102" s="19" t="str" cm="1">
        <f t="array" ref="G102">Common_InputFunctions.Utility_DisplayArrayInTable(Scope3_SourceData.Scope3_Feed_Data(), Table_SourceData_Scope3_Feed[[#Headers],[Category]], -1, 2)</f>
        <v>kg</v>
      </c>
      <c r="H102" s="19" cm="1">
        <f t="array" ref="H102">Common_InputFunctions.Utility_DisplayArrayInTable(Scope3_SourceData.Scope3_Feed_Data(), Table_SourceData_Scope3_Feed[[#Headers],[Category]], -1, 2)</f>
        <v>0.17599999999999999</v>
      </c>
      <c r="I102" s="19" t="str" cm="1">
        <f t="array" ref="I102">Common_InputFunctions.Utility_DisplayArrayInTable(Scope3_SourceData.Scope3_Feed_Data(), Table_SourceData_Scope3_Feed[[#Headers],[Category]], -1, 2)</f>
        <v>at market</v>
      </c>
      <c r="J102" s="19" t="s">
        <v>1169</v>
      </c>
      <c r="L102" s="19" t="str">
        <f>Table_SourceData_Scope3_Feed[[#This Row],[Product]]</f>
        <v>Maize grain</v>
      </c>
      <c r="M102" s="19" t="str">
        <f>Table_SourceData_Scope3_Feed[[#This Row],[Region of origin]]</f>
        <v>SA</v>
      </c>
    </row>
    <row r="103" spans="1:17" ht="20.100000000000001" customHeight="1" x14ac:dyDescent="0.2">
      <c r="D103" s="19" t="str" cm="1">
        <f t="array" ref="D103">Common_InputFunctions.Utility_DisplayArrayInTable(Scope3_SourceData.Scope3_Feed_Data(), Table_SourceData_Scope3_Feed[[#Headers],[Category]], -1, 2)</f>
        <v>Grain</v>
      </c>
      <c r="E103" s="19" t="str" cm="1">
        <f t="array" ref="E103">Common_InputFunctions.Utility_DisplayArrayInTable(Scope3_SourceData.Scope3_Feed_Data(), Table_SourceData_Scope3_Feed[[#Headers],[Category]], -1, 2)</f>
        <v>Maize grain</v>
      </c>
      <c r="F103" s="19" t="str" cm="1">
        <f t="array" ref="F103">Common_InputFunctions.Utility_DisplayArrayInTable(Scope3_SourceData.Scope3_Feed_Data(), Table_SourceData_Scope3_Feed[[#Headers],[Category]], -1, 2)</f>
        <v>VIC</v>
      </c>
      <c r="G103" s="19" t="str" cm="1">
        <f t="array" ref="G103">Common_InputFunctions.Utility_DisplayArrayInTable(Scope3_SourceData.Scope3_Feed_Data(), Table_SourceData_Scope3_Feed[[#Headers],[Category]], -1, 2)</f>
        <v>kg</v>
      </c>
      <c r="H103" s="19" cm="1">
        <f t="array" ref="H103">Common_InputFunctions.Utility_DisplayArrayInTable(Scope3_SourceData.Scope3_Feed_Data(), Table_SourceData_Scope3_Feed[[#Headers],[Category]], -1, 2)</f>
        <v>0.159</v>
      </c>
      <c r="I103" s="19" t="str" cm="1">
        <f t="array" ref="I103">Common_InputFunctions.Utility_DisplayArrayInTable(Scope3_SourceData.Scope3_Feed_Data(), Table_SourceData_Scope3_Feed[[#Headers],[Category]], -1, 2)</f>
        <v>at market</v>
      </c>
      <c r="J103" s="19" t="s">
        <v>1169</v>
      </c>
      <c r="L103" s="19" t="str">
        <f>Table_SourceData_Scope3_Feed[[#This Row],[Product]]</f>
        <v>Maize grain</v>
      </c>
      <c r="M103" s="19" t="str">
        <f>Table_SourceData_Scope3_Feed[[#This Row],[Region of origin]]</f>
        <v>VIC</v>
      </c>
    </row>
    <row r="104" spans="1:17" ht="20.100000000000001" customHeight="1" x14ac:dyDescent="0.2">
      <c r="D104" s="19" t="str" cm="1">
        <f t="array" ref="D104">Common_InputFunctions.Utility_DisplayArrayInTable(Scope3_SourceData.Scope3_Feed_Data(), Table_SourceData_Scope3_Feed[[#Headers],[Category]], -1, 2)</f>
        <v>Grain</v>
      </c>
      <c r="E104" s="19" t="str" cm="1">
        <f t="array" ref="E104">Common_InputFunctions.Utility_DisplayArrayInTable(Scope3_SourceData.Scope3_Feed_Data(), Table_SourceData_Scope3_Feed[[#Headers],[Category]], -1, 2)</f>
        <v>Maize grain</v>
      </c>
      <c r="F104" s="19" t="str" cm="1">
        <f t="array" ref="F104">Common_InputFunctions.Utility_DisplayArrayInTable(Scope3_SourceData.Scope3_Feed_Data(), Table_SourceData_Scope3_Feed[[#Headers],[Category]], -1, 2)</f>
        <v>WA</v>
      </c>
      <c r="G104" s="19" t="str" cm="1">
        <f t="array" ref="G104">Common_InputFunctions.Utility_DisplayArrayInTable(Scope3_SourceData.Scope3_Feed_Data(), Table_SourceData_Scope3_Feed[[#Headers],[Category]], -1, 2)</f>
        <v>kg</v>
      </c>
      <c r="H104" s="19" cm="1">
        <f t="array" ref="H104">Common_InputFunctions.Utility_DisplayArrayInTable(Scope3_SourceData.Scope3_Feed_Data(), Table_SourceData_Scope3_Feed[[#Headers],[Category]], -1, 2)</f>
        <v>0.28499999999999998</v>
      </c>
      <c r="I104" s="19" t="str" cm="1">
        <f t="array" ref="I104">Common_InputFunctions.Utility_DisplayArrayInTable(Scope3_SourceData.Scope3_Feed_Data(), Table_SourceData_Scope3_Feed[[#Headers],[Category]], -1, 2)</f>
        <v>at market</v>
      </c>
      <c r="J104" s="19" t="s">
        <v>1169</v>
      </c>
      <c r="L104" s="19" t="str">
        <f>Table_SourceData_Scope3_Feed[[#This Row],[Product]]</f>
        <v>Maize grain</v>
      </c>
      <c r="M104" s="19" t="str">
        <f>Table_SourceData_Scope3_Feed[[#This Row],[Region of origin]]</f>
        <v>WA</v>
      </c>
      <c r="O104" s="19" t="s">
        <v>132</v>
      </c>
      <c r="P104" s="19" t="s">
        <v>1167</v>
      </c>
      <c r="Q104" s="1" t="str">
        <f>"Table_ProductRegions_" &amp; SUBSTITUTE(SUBSTITUTE(SUBSTITUTE(SUBSTITUTE(O105, " ", ""), ",", ""), "(", ""), ")", "")</f>
        <v>Table_ProductRegions_Sorghumgrain</v>
      </c>
    </row>
    <row r="105" spans="1:17" ht="20.100000000000001" customHeight="1" x14ac:dyDescent="0.2">
      <c r="D105" s="19" t="str" cm="1">
        <f t="array" ref="D105">Common_InputFunctions.Utility_DisplayArrayInTable(Scope3_SourceData.Scope3_Feed_Data(), Table_SourceData_Scope3_Feed[[#Headers],[Category]], -1, 2)</f>
        <v>Grain</v>
      </c>
      <c r="E105" s="19" t="str" cm="1">
        <f t="array" ref="E105">Common_InputFunctions.Utility_DisplayArrayInTable(Scope3_SourceData.Scope3_Feed_Data(), Table_SourceData_Scope3_Feed[[#Headers],[Category]], -1, 2)</f>
        <v>Sorghum grain</v>
      </c>
      <c r="F105" s="19" t="str" cm="1">
        <f t="array" ref="F105">Common_InputFunctions.Utility_DisplayArrayInTable(Scope3_SourceData.Scope3_Feed_Data(), Table_SourceData_Scope3_Feed[[#Headers],[Category]], -1, 2)</f>
        <v>Australia</v>
      </c>
      <c r="G105" s="19" t="str" cm="1">
        <f t="array" ref="G105">Common_InputFunctions.Utility_DisplayArrayInTable(Scope3_SourceData.Scope3_Feed_Data(), Table_SourceData_Scope3_Feed[[#Headers],[Category]], -1, 2)</f>
        <v>kg</v>
      </c>
      <c r="H105" s="19" cm="1">
        <f t="array" ref="H105">Common_InputFunctions.Utility_DisplayArrayInTable(Scope3_SourceData.Scope3_Feed_Data(), Table_SourceData_Scope3_Feed[[#Headers],[Category]], -1, 2)</f>
        <v>0.23200000000000001</v>
      </c>
      <c r="I105" s="19" t="str" cm="1">
        <f t="array" ref="I105">Common_InputFunctions.Utility_DisplayArrayInTable(Scope3_SourceData.Scope3_Feed_Data(), Table_SourceData_Scope3_Feed[[#Headers],[Category]], -1, 2)</f>
        <v>at market</v>
      </c>
      <c r="J105" s="19" t="s">
        <v>1169</v>
      </c>
      <c r="O105" s="19" t="str">
        <f>Table_SourceData_Scope3_Feed[[#This Row],[Product]]</f>
        <v>Sorghum grain</v>
      </c>
      <c r="P105" s="19" t="str">
        <f>Table_SourceData_Scope3_Feed[[#This Row],[Region of origin]]</f>
        <v>Australia</v>
      </c>
    </row>
    <row r="106" spans="1:17" ht="20.100000000000001" customHeight="1" x14ac:dyDescent="0.2">
      <c r="D106" s="19" t="str" cm="1">
        <f t="array" ref="D106">Common_InputFunctions.Utility_DisplayArrayInTable(Scope3_SourceData.Scope3_Feed_Data(), Table_SourceData_Scope3_Feed[[#Headers],[Category]], -1, 2)</f>
        <v>Grain</v>
      </c>
      <c r="E106" s="19" t="str" cm="1">
        <f t="array" ref="E106">Common_InputFunctions.Utility_DisplayArrayInTable(Scope3_SourceData.Scope3_Feed_Data(), Table_SourceData_Scope3_Feed[[#Headers],[Category]], -1, 2)</f>
        <v>Sorghum grain</v>
      </c>
      <c r="F106" s="19" t="str" cm="1">
        <f t="array" ref="F106">Common_InputFunctions.Utility_DisplayArrayInTable(Scope3_SourceData.Scope3_Feed_Data(), Table_SourceData_Scope3_Feed[[#Headers],[Category]], -1, 2)</f>
        <v>NSW</v>
      </c>
      <c r="G106" s="19" t="str" cm="1">
        <f t="array" ref="G106">Common_InputFunctions.Utility_DisplayArrayInTable(Scope3_SourceData.Scope3_Feed_Data(), Table_SourceData_Scope3_Feed[[#Headers],[Category]], -1, 2)</f>
        <v>kg</v>
      </c>
      <c r="H106" s="19" cm="1">
        <f t="array" ref="H106">Common_InputFunctions.Utility_DisplayArrayInTable(Scope3_SourceData.Scope3_Feed_Data(), Table_SourceData_Scope3_Feed[[#Headers],[Category]], -1, 2)</f>
        <v>0.23200000000000001</v>
      </c>
      <c r="I106" s="19" t="str" cm="1">
        <f t="array" ref="I106">Common_InputFunctions.Utility_DisplayArrayInTable(Scope3_SourceData.Scope3_Feed_Data(), Table_SourceData_Scope3_Feed[[#Headers],[Category]], -1, 2)</f>
        <v>at market</v>
      </c>
      <c r="J106" s="19" t="s">
        <v>1169</v>
      </c>
      <c r="O106" s="19" t="str">
        <f>Table_SourceData_Scope3_Feed[[#This Row],[Product]]</f>
        <v>Sorghum grain</v>
      </c>
      <c r="P106" s="19" t="str">
        <f>Table_SourceData_Scope3_Feed[[#This Row],[Region of origin]]</f>
        <v>NSW</v>
      </c>
    </row>
    <row r="107" spans="1:17" ht="20.100000000000001" customHeight="1" x14ac:dyDescent="0.2">
      <c r="D107" s="19" t="str" cm="1">
        <f t="array" ref="D107">Common_InputFunctions.Utility_DisplayArrayInTable(Scope3_SourceData.Scope3_Feed_Data(), Table_SourceData_Scope3_Feed[[#Headers],[Category]], -1, 2)</f>
        <v>Grain</v>
      </c>
      <c r="E107" s="19" t="str" cm="1">
        <f t="array" ref="E107">Common_InputFunctions.Utility_DisplayArrayInTable(Scope3_SourceData.Scope3_Feed_Data(), Table_SourceData_Scope3_Feed[[#Headers],[Category]], -1, 2)</f>
        <v>Sorghum grain</v>
      </c>
      <c r="F107" s="19" t="str" cm="1">
        <f t="array" ref="F107">Common_InputFunctions.Utility_DisplayArrayInTable(Scope3_SourceData.Scope3_Feed_Data(), Table_SourceData_Scope3_Feed[[#Headers],[Category]], -1, 2)</f>
        <v>QLD</v>
      </c>
      <c r="G107" s="19" t="str" cm="1">
        <f t="array" ref="G107">Common_InputFunctions.Utility_DisplayArrayInTable(Scope3_SourceData.Scope3_Feed_Data(), Table_SourceData_Scope3_Feed[[#Headers],[Category]], -1, 2)</f>
        <v>kg</v>
      </c>
      <c r="H107" s="19" cm="1">
        <f t="array" ref="H107">Common_InputFunctions.Utility_DisplayArrayInTable(Scope3_SourceData.Scope3_Feed_Data(), Table_SourceData_Scope3_Feed[[#Headers],[Category]], -1, 2)</f>
        <v>0.23100000000000001</v>
      </c>
      <c r="I107" s="19" t="str" cm="1">
        <f t="array" ref="I107">Common_InputFunctions.Utility_DisplayArrayInTable(Scope3_SourceData.Scope3_Feed_Data(), Table_SourceData_Scope3_Feed[[#Headers],[Category]], -1, 2)</f>
        <v>at market</v>
      </c>
      <c r="J107" s="19" t="s">
        <v>1169</v>
      </c>
      <c r="O107" s="19" t="str">
        <f>Table_SourceData_Scope3_Feed[[#This Row],[Product]]</f>
        <v>Sorghum grain</v>
      </c>
      <c r="P107" s="19" t="str">
        <f>Table_SourceData_Scope3_Feed[[#This Row],[Region of origin]]</f>
        <v>QLD</v>
      </c>
    </row>
    <row r="108" spans="1:17" ht="20.100000000000001" customHeight="1" x14ac:dyDescent="0.2">
      <c r="D108" s="19" t="str" cm="1">
        <f t="array" ref="D108">Common_InputFunctions.Utility_DisplayArrayInTable(Scope3_SourceData.Scope3_Feed_Data(), Table_SourceData_Scope3_Feed[[#Headers],[Category]], -1, 2)</f>
        <v>Grain</v>
      </c>
      <c r="E108" s="19" t="str" cm="1">
        <f t="array" ref="E108">Common_InputFunctions.Utility_DisplayArrayInTable(Scope3_SourceData.Scope3_Feed_Data(), Table_SourceData_Scope3_Feed[[#Headers],[Category]], -1, 2)</f>
        <v>Sorghum grain</v>
      </c>
      <c r="F108" s="19" t="str" cm="1">
        <f t="array" ref="F108">Common_InputFunctions.Utility_DisplayArrayInTable(Scope3_SourceData.Scope3_Feed_Data(), Table_SourceData_Scope3_Feed[[#Headers],[Category]], -1, 2)</f>
        <v>SA</v>
      </c>
      <c r="G108" s="19" t="str" cm="1">
        <f t="array" ref="G108">Common_InputFunctions.Utility_DisplayArrayInTable(Scope3_SourceData.Scope3_Feed_Data(), Table_SourceData_Scope3_Feed[[#Headers],[Category]], -1, 2)</f>
        <v>kg</v>
      </c>
      <c r="H108" s="19" cm="1">
        <f t="array" ref="H108">Common_InputFunctions.Utility_DisplayArrayInTable(Scope3_SourceData.Scope3_Feed_Data(), Table_SourceData_Scope3_Feed[[#Headers],[Category]], -1, 2)</f>
        <v>0.218</v>
      </c>
      <c r="I108" s="19" t="str" cm="1">
        <f t="array" ref="I108">Common_InputFunctions.Utility_DisplayArrayInTable(Scope3_SourceData.Scope3_Feed_Data(), Table_SourceData_Scope3_Feed[[#Headers],[Category]], -1, 2)</f>
        <v>at market</v>
      </c>
      <c r="J108" s="19" t="s">
        <v>1169</v>
      </c>
      <c r="O108" s="19" t="str">
        <f>Table_SourceData_Scope3_Feed[[#This Row],[Product]]</f>
        <v>Sorghum grain</v>
      </c>
      <c r="P108" s="19" t="str">
        <f>Table_SourceData_Scope3_Feed[[#This Row],[Region of origin]]</f>
        <v>SA</v>
      </c>
    </row>
    <row r="109" spans="1:17" ht="20.100000000000001" customHeight="1" x14ac:dyDescent="0.2">
      <c r="D109" s="19" t="str" cm="1">
        <f t="array" ref="D109">Common_InputFunctions.Utility_DisplayArrayInTable(Scope3_SourceData.Scope3_Feed_Data(), Table_SourceData_Scope3_Feed[[#Headers],[Category]], -1, 2)</f>
        <v>Grain</v>
      </c>
      <c r="E109" s="19" t="str" cm="1">
        <f t="array" ref="E109">Common_InputFunctions.Utility_DisplayArrayInTable(Scope3_SourceData.Scope3_Feed_Data(), Table_SourceData_Scope3_Feed[[#Headers],[Category]], -1, 2)</f>
        <v>Sorghum grain</v>
      </c>
      <c r="F109" s="19" t="str" cm="1">
        <f t="array" ref="F109">Common_InputFunctions.Utility_DisplayArrayInTable(Scope3_SourceData.Scope3_Feed_Data(), Table_SourceData_Scope3_Feed[[#Headers],[Category]], -1, 2)</f>
        <v>VIC</v>
      </c>
      <c r="G109" s="19" t="str" cm="1">
        <f t="array" ref="G109">Common_InputFunctions.Utility_DisplayArrayInTable(Scope3_SourceData.Scope3_Feed_Data(), Table_SourceData_Scope3_Feed[[#Headers],[Category]], -1, 2)</f>
        <v>kg</v>
      </c>
      <c r="H109" s="19" cm="1">
        <f t="array" ref="H109">Common_InputFunctions.Utility_DisplayArrayInTable(Scope3_SourceData.Scope3_Feed_Data(), Table_SourceData_Scope3_Feed[[#Headers],[Category]], -1, 2)</f>
        <v>0.246</v>
      </c>
      <c r="I109" s="19" t="str" cm="1">
        <f t="array" ref="I109">Common_InputFunctions.Utility_DisplayArrayInTable(Scope3_SourceData.Scope3_Feed_Data(), Table_SourceData_Scope3_Feed[[#Headers],[Category]], -1, 2)</f>
        <v>at market</v>
      </c>
      <c r="J109" s="19" t="s">
        <v>1169</v>
      </c>
      <c r="L109" s="19" t="s">
        <v>132</v>
      </c>
      <c r="M109" s="19" t="s">
        <v>1167</v>
      </c>
      <c r="N109" s="1" t="str">
        <f>"Table_ProductRegions_" &amp; SUBSTITUTE(SUBSTITUTE(SUBSTITUTE(SUBSTITUTE(L110, " ", ""), ",", ""), "(", ""), ")", "")</f>
        <v>Table_ProductRegions_Wheatgrain</v>
      </c>
      <c r="O109" s="19" t="str">
        <f>Table_SourceData_Scope3_Feed[[#This Row],[Product]]</f>
        <v>Sorghum grain</v>
      </c>
      <c r="P109" s="19" t="str">
        <f>Table_SourceData_Scope3_Feed[[#This Row],[Region of origin]]</f>
        <v>VIC</v>
      </c>
    </row>
    <row r="110" spans="1:17" ht="20.100000000000001" customHeight="1" x14ac:dyDescent="0.2">
      <c r="D110" s="19" t="str" cm="1">
        <f t="array" ref="D110">Common_InputFunctions.Utility_DisplayArrayInTable(Scope3_SourceData.Scope3_Feed_Data(), Table_SourceData_Scope3_Feed[[#Headers],[Category]], -1, 2)</f>
        <v>Grain</v>
      </c>
      <c r="E110" s="19" t="str" cm="1">
        <f t="array" ref="E110">Common_InputFunctions.Utility_DisplayArrayInTable(Scope3_SourceData.Scope3_Feed_Data(), Table_SourceData_Scope3_Feed[[#Headers],[Category]], -1, 2)</f>
        <v>Wheat grain</v>
      </c>
      <c r="F110" s="19" t="str" cm="1">
        <f t="array" ref="F110">Common_InputFunctions.Utility_DisplayArrayInTable(Scope3_SourceData.Scope3_Feed_Data(), Table_SourceData_Scope3_Feed[[#Headers],[Category]], -1, 2)</f>
        <v>Australia</v>
      </c>
      <c r="G110" s="19" t="str" cm="1">
        <f t="array" ref="G110">Common_InputFunctions.Utility_DisplayArrayInTable(Scope3_SourceData.Scope3_Feed_Data(), Table_SourceData_Scope3_Feed[[#Headers],[Category]], -1, 2)</f>
        <v>kg</v>
      </c>
      <c r="H110" s="19" cm="1">
        <f t="array" ref="H110">Common_InputFunctions.Utility_DisplayArrayInTable(Scope3_SourceData.Scope3_Feed_Data(), Table_SourceData_Scope3_Feed[[#Headers],[Category]], -1, 2)</f>
        <v>0.26800000000000002</v>
      </c>
      <c r="I110" s="19" t="str" cm="1">
        <f t="array" ref="I110">Common_InputFunctions.Utility_DisplayArrayInTable(Scope3_SourceData.Scope3_Feed_Data(), Table_SourceData_Scope3_Feed[[#Headers],[Category]], -1, 2)</f>
        <v>at market</v>
      </c>
      <c r="J110" s="19" t="s">
        <v>1169</v>
      </c>
      <c r="L110" s="19" t="str">
        <f>Table_SourceData_Scope3_Feed[[#This Row],[Product]]</f>
        <v>Wheat grain</v>
      </c>
      <c r="M110" s="19" t="str">
        <f>Table_SourceData_Scope3_Feed[[#This Row],[Region of origin]]</f>
        <v>Australia</v>
      </c>
    </row>
    <row r="111" spans="1:17" ht="20.100000000000001" customHeight="1" x14ac:dyDescent="0.2">
      <c r="D111" s="19" t="str" cm="1">
        <f t="array" ref="D111">Common_InputFunctions.Utility_DisplayArrayInTable(Scope3_SourceData.Scope3_Feed_Data(), Table_SourceData_Scope3_Feed[[#Headers],[Category]], -1, 2)</f>
        <v>Grain</v>
      </c>
      <c r="E111" s="19" t="str" cm="1">
        <f t="array" ref="E111">Common_InputFunctions.Utility_DisplayArrayInTable(Scope3_SourceData.Scope3_Feed_Data(), Table_SourceData_Scope3_Feed[[#Headers],[Category]], -1, 2)</f>
        <v>Wheat grain</v>
      </c>
      <c r="F111" s="19" t="str" cm="1">
        <f t="array" ref="F111">Common_InputFunctions.Utility_DisplayArrayInTable(Scope3_SourceData.Scope3_Feed_Data(), Table_SourceData_Scope3_Feed[[#Headers],[Category]], -1, 2)</f>
        <v>NSW</v>
      </c>
      <c r="G111" s="19" t="str" cm="1">
        <f t="array" ref="G111">Common_InputFunctions.Utility_DisplayArrayInTable(Scope3_SourceData.Scope3_Feed_Data(), Table_SourceData_Scope3_Feed[[#Headers],[Category]], -1, 2)</f>
        <v>kg</v>
      </c>
      <c r="H111" s="19" cm="1">
        <f t="array" ref="H111">Common_InputFunctions.Utility_DisplayArrayInTable(Scope3_SourceData.Scope3_Feed_Data(), Table_SourceData_Scope3_Feed[[#Headers],[Category]], -1, 2)</f>
        <v>0.28199999999999997</v>
      </c>
      <c r="I111" s="19" t="str" cm="1">
        <f t="array" ref="I111">Common_InputFunctions.Utility_DisplayArrayInTable(Scope3_SourceData.Scope3_Feed_Data(), Table_SourceData_Scope3_Feed[[#Headers],[Category]], -1, 2)</f>
        <v>at market</v>
      </c>
      <c r="J111" s="19" t="s">
        <v>1169</v>
      </c>
      <c r="L111" s="19" t="str">
        <f>Table_SourceData_Scope3_Feed[[#This Row],[Product]]</f>
        <v>Wheat grain</v>
      </c>
      <c r="M111" s="19" t="str">
        <f>Table_SourceData_Scope3_Feed[[#This Row],[Region of origin]]</f>
        <v>NSW</v>
      </c>
    </row>
    <row r="112" spans="1:17" ht="20.100000000000001" customHeight="1" x14ac:dyDescent="0.2">
      <c r="D112" s="19" t="str" cm="1">
        <f t="array" ref="D112">Common_InputFunctions.Utility_DisplayArrayInTable(Scope3_SourceData.Scope3_Feed_Data(), Table_SourceData_Scope3_Feed[[#Headers],[Category]], -1, 2)</f>
        <v>Grain</v>
      </c>
      <c r="E112" s="19" t="str" cm="1">
        <f t="array" ref="E112">Common_InputFunctions.Utility_DisplayArrayInTable(Scope3_SourceData.Scope3_Feed_Data(), Table_SourceData_Scope3_Feed[[#Headers],[Category]], -1, 2)</f>
        <v>Wheat grain</v>
      </c>
      <c r="F112" s="19" t="str" cm="1">
        <f t="array" ref="F112">Common_InputFunctions.Utility_DisplayArrayInTable(Scope3_SourceData.Scope3_Feed_Data(), Table_SourceData_Scope3_Feed[[#Headers],[Category]], -1, 2)</f>
        <v>NT</v>
      </c>
      <c r="G112" s="19" t="str" cm="1">
        <f t="array" ref="G112">Common_InputFunctions.Utility_DisplayArrayInTable(Scope3_SourceData.Scope3_Feed_Data(), Table_SourceData_Scope3_Feed[[#Headers],[Category]], -1, 2)</f>
        <v>kg</v>
      </c>
      <c r="H112" s="19" cm="1">
        <f t="array" ref="H112">Common_InputFunctions.Utility_DisplayArrayInTable(Scope3_SourceData.Scope3_Feed_Data(), Table_SourceData_Scope3_Feed[[#Headers],[Category]], -1, 2)</f>
        <v>0.38500000000000001</v>
      </c>
      <c r="I112" s="19" t="str" cm="1">
        <f t="array" ref="I112">Common_InputFunctions.Utility_DisplayArrayInTable(Scope3_SourceData.Scope3_Feed_Data(), Table_SourceData_Scope3_Feed[[#Headers],[Category]], -1, 2)</f>
        <v>at market</v>
      </c>
      <c r="J112" s="19" t="s">
        <v>1169</v>
      </c>
      <c r="L112" s="19" t="str">
        <f>Table_SourceData_Scope3_Feed[[#This Row],[Product]]</f>
        <v>Wheat grain</v>
      </c>
      <c r="M112" s="19" t="str">
        <f>Table_SourceData_Scope3_Feed[[#This Row],[Region of origin]]</f>
        <v>NT</v>
      </c>
    </row>
    <row r="113" spans="1:17" ht="20.100000000000001" customHeight="1" x14ac:dyDescent="0.2">
      <c r="D113" s="19" t="str" cm="1">
        <f t="array" ref="D113">Common_InputFunctions.Utility_DisplayArrayInTable(Scope3_SourceData.Scope3_Feed_Data(), Table_SourceData_Scope3_Feed[[#Headers],[Category]], -1, 2)</f>
        <v>Grain</v>
      </c>
      <c r="E113" s="19" t="str" cm="1">
        <f t="array" ref="E113">Common_InputFunctions.Utility_DisplayArrayInTable(Scope3_SourceData.Scope3_Feed_Data(), Table_SourceData_Scope3_Feed[[#Headers],[Category]], -1, 2)</f>
        <v>Wheat grain</v>
      </c>
      <c r="F113" s="19" t="str" cm="1">
        <f t="array" ref="F113">Common_InputFunctions.Utility_DisplayArrayInTable(Scope3_SourceData.Scope3_Feed_Data(), Table_SourceData_Scope3_Feed[[#Headers],[Category]], -1, 2)</f>
        <v>QLD</v>
      </c>
      <c r="G113" s="19" t="str" cm="1">
        <f t="array" ref="G113">Common_InputFunctions.Utility_DisplayArrayInTable(Scope3_SourceData.Scope3_Feed_Data(), Table_SourceData_Scope3_Feed[[#Headers],[Category]], -1, 2)</f>
        <v>kg</v>
      </c>
      <c r="H113" s="19" cm="1">
        <f t="array" ref="H113">Common_InputFunctions.Utility_DisplayArrayInTable(Scope3_SourceData.Scope3_Feed_Data(), Table_SourceData_Scope3_Feed[[#Headers],[Category]], -1, 2)</f>
        <v>0.29599999999999999</v>
      </c>
      <c r="I113" s="19" t="str" cm="1">
        <f t="array" ref="I113">Common_InputFunctions.Utility_DisplayArrayInTable(Scope3_SourceData.Scope3_Feed_Data(), Table_SourceData_Scope3_Feed[[#Headers],[Category]], -1, 2)</f>
        <v>at market</v>
      </c>
      <c r="J113" s="19" t="s">
        <v>1169</v>
      </c>
      <c r="L113" s="19" t="str">
        <f>Table_SourceData_Scope3_Feed[[#This Row],[Product]]</f>
        <v>Wheat grain</v>
      </c>
      <c r="M113" s="19" t="str">
        <f>Table_SourceData_Scope3_Feed[[#This Row],[Region of origin]]</f>
        <v>QLD</v>
      </c>
    </row>
    <row r="114" spans="1:17" ht="20.100000000000001" customHeight="1" x14ac:dyDescent="0.2">
      <c r="D114" s="19" t="str" cm="1">
        <f t="array" ref="D114">Common_InputFunctions.Utility_DisplayArrayInTable(Scope3_SourceData.Scope3_Feed_Data(), Table_SourceData_Scope3_Feed[[#Headers],[Category]], -1, 2)</f>
        <v>Grain</v>
      </c>
      <c r="E114" s="19" t="str" cm="1">
        <f t="array" ref="E114">Common_InputFunctions.Utility_DisplayArrayInTable(Scope3_SourceData.Scope3_Feed_Data(), Table_SourceData_Scope3_Feed[[#Headers],[Category]], -1, 2)</f>
        <v>Wheat grain</v>
      </c>
      <c r="F114" s="19" t="str" cm="1">
        <f t="array" ref="F114">Common_InputFunctions.Utility_DisplayArrayInTable(Scope3_SourceData.Scope3_Feed_Data(), Table_SourceData_Scope3_Feed[[#Headers],[Category]], -1, 2)</f>
        <v>SA</v>
      </c>
      <c r="G114" s="19" t="str" cm="1">
        <f t="array" ref="G114">Common_InputFunctions.Utility_DisplayArrayInTable(Scope3_SourceData.Scope3_Feed_Data(), Table_SourceData_Scope3_Feed[[#Headers],[Category]], -1, 2)</f>
        <v>kg</v>
      </c>
      <c r="H114" s="19" cm="1">
        <f t="array" ref="H114">Common_InputFunctions.Utility_DisplayArrayInTable(Scope3_SourceData.Scope3_Feed_Data(), Table_SourceData_Scope3_Feed[[#Headers],[Category]], -1, 2)</f>
        <v>0.24099999999999999</v>
      </c>
      <c r="I114" s="19" t="str" cm="1">
        <f t="array" ref="I114">Common_InputFunctions.Utility_DisplayArrayInTable(Scope3_SourceData.Scope3_Feed_Data(), Table_SourceData_Scope3_Feed[[#Headers],[Category]], -1, 2)</f>
        <v>at market</v>
      </c>
      <c r="J114" s="19" t="s">
        <v>1169</v>
      </c>
      <c r="L114" s="19" t="str">
        <f>Table_SourceData_Scope3_Feed[[#This Row],[Product]]</f>
        <v>Wheat grain</v>
      </c>
      <c r="M114" s="19" t="str">
        <f>Table_SourceData_Scope3_Feed[[#This Row],[Region of origin]]</f>
        <v>SA</v>
      </c>
    </row>
    <row r="115" spans="1:17" ht="20.100000000000001" customHeight="1" x14ac:dyDescent="0.2">
      <c r="D115" s="19" t="str" cm="1">
        <f t="array" ref="D115">Common_InputFunctions.Utility_DisplayArrayInTable(Scope3_SourceData.Scope3_Feed_Data(), Table_SourceData_Scope3_Feed[[#Headers],[Category]], -1, 2)</f>
        <v>Grain</v>
      </c>
      <c r="E115" s="19" t="str" cm="1">
        <f t="array" ref="E115">Common_InputFunctions.Utility_DisplayArrayInTable(Scope3_SourceData.Scope3_Feed_Data(), Table_SourceData_Scope3_Feed[[#Headers],[Category]], -1, 2)</f>
        <v>Wheat grain</v>
      </c>
      <c r="F115" s="19" t="str" cm="1">
        <f t="array" ref="F115">Common_InputFunctions.Utility_DisplayArrayInTable(Scope3_SourceData.Scope3_Feed_Data(), Table_SourceData_Scope3_Feed[[#Headers],[Category]], -1, 2)</f>
        <v>TAS</v>
      </c>
      <c r="G115" s="19" t="str" cm="1">
        <f t="array" ref="G115">Common_InputFunctions.Utility_DisplayArrayInTable(Scope3_SourceData.Scope3_Feed_Data(), Table_SourceData_Scope3_Feed[[#Headers],[Category]], -1, 2)</f>
        <v>kg</v>
      </c>
      <c r="H115" s="19" cm="1">
        <f t="array" ref="H115">Common_InputFunctions.Utility_DisplayArrayInTable(Scope3_SourceData.Scope3_Feed_Data(), Table_SourceData_Scope3_Feed[[#Headers],[Category]], -1, 2)</f>
        <v>0.33800000000000002</v>
      </c>
      <c r="I115" s="19" t="str" cm="1">
        <f t="array" ref="I115">Common_InputFunctions.Utility_DisplayArrayInTable(Scope3_SourceData.Scope3_Feed_Data(), Table_SourceData_Scope3_Feed[[#Headers],[Category]], -1, 2)</f>
        <v>at market</v>
      </c>
      <c r="J115" s="19" t="s">
        <v>1169</v>
      </c>
      <c r="L115" s="19" t="str">
        <f>Table_SourceData_Scope3_Feed[[#This Row],[Product]]</f>
        <v>Wheat grain</v>
      </c>
      <c r="M115" s="19" t="str">
        <f>Table_SourceData_Scope3_Feed[[#This Row],[Region of origin]]</f>
        <v>TAS</v>
      </c>
    </row>
    <row r="116" spans="1:17" ht="20.100000000000001" customHeight="1" x14ac:dyDescent="0.2">
      <c r="D116" s="19" t="str" cm="1">
        <f t="array" ref="D116">Common_InputFunctions.Utility_DisplayArrayInTable(Scope3_SourceData.Scope3_Feed_Data(), Table_SourceData_Scope3_Feed[[#Headers],[Category]], -1, 2)</f>
        <v>Grain</v>
      </c>
      <c r="E116" s="19" t="str" cm="1">
        <f t="array" ref="E116">Common_InputFunctions.Utility_DisplayArrayInTable(Scope3_SourceData.Scope3_Feed_Data(), Table_SourceData_Scope3_Feed[[#Headers],[Category]], -1, 2)</f>
        <v>Wheat grain</v>
      </c>
      <c r="F116" s="19" t="str" cm="1">
        <f t="array" ref="F116">Common_InputFunctions.Utility_DisplayArrayInTable(Scope3_SourceData.Scope3_Feed_Data(), Table_SourceData_Scope3_Feed[[#Headers],[Category]], -1, 2)</f>
        <v>VIC</v>
      </c>
      <c r="G116" s="19" t="str" cm="1">
        <f t="array" ref="G116">Common_InputFunctions.Utility_DisplayArrayInTable(Scope3_SourceData.Scope3_Feed_Data(), Table_SourceData_Scope3_Feed[[#Headers],[Category]], -1, 2)</f>
        <v>kg</v>
      </c>
      <c r="H116" s="19" cm="1">
        <f t="array" ref="H116">Common_InputFunctions.Utility_DisplayArrayInTable(Scope3_SourceData.Scope3_Feed_Data(), Table_SourceData_Scope3_Feed[[#Headers],[Category]], -1, 2)</f>
        <v>0.26600000000000001</v>
      </c>
      <c r="I116" s="19" t="str" cm="1">
        <f t="array" ref="I116">Common_InputFunctions.Utility_DisplayArrayInTable(Scope3_SourceData.Scope3_Feed_Data(), Table_SourceData_Scope3_Feed[[#Headers],[Category]], -1, 2)</f>
        <v>at market</v>
      </c>
      <c r="J116" s="19" t="s">
        <v>1169</v>
      </c>
      <c r="L116" s="19" t="str">
        <f>Table_SourceData_Scope3_Feed[[#This Row],[Product]]</f>
        <v>Wheat grain</v>
      </c>
      <c r="M116" s="19" t="str">
        <f>Table_SourceData_Scope3_Feed[[#This Row],[Region of origin]]</f>
        <v>VIC</v>
      </c>
    </row>
    <row r="117" spans="1:17" ht="20.100000000000001" customHeight="1" x14ac:dyDescent="0.2">
      <c r="D117" s="19" t="str" cm="1">
        <f t="array" ref="D117">Common_InputFunctions.Utility_DisplayArrayInTable(Scope3_SourceData.Scope3_Feed_Data(), Table_SourceData_Scope3_Feed[[#Headers],[Category]], -1, 2)</f>
        <v>Grain</v>
      </c>
      <c r="E117" s="19" t="str" cm="1">
        <f t="array" ref="E117">Common_InputFunctions.Utility_DisplayArrayInTable(Scope3_SourceData.Scope3_Feed_Data(), Table_SourceData_Scope3_Feed[[#Headers],[Category]], -1, 2)</f>
        <v>Wheat grain</v>
      </c>
      <c r="F117" s="19" t="str" cm="1">
        <f t="array" ref="F117">Common_InputFunctions.Utility_DisplayArrayInTable(Scope3_SourceData.Scope3_Feed_Data(), Table_SourceData_Scope3_Feed[[#Headers],[Category]], -1, 2)</f>
        <v>WA</v>
      </c>
      <c r="G117" s="19" t="str" cm="1">
        <f t="array" ref="G117">Common_InputFunctions.Utility_DisplayArrayInTable(Scope3_SourceData.Scope3_Feed_Data(), Table_SourceData_Scope3_Feed[[#Headers],[Category]], -1, 2)</f>
        <v>kg</v>
      </c>
      <c r="H117" s="19" cm="1">
        <f t="array" ref="H117">Common_InputFunctions.Utility_DisplayArrayInTable(Scope3_SourceData.Scope3_Feed_Data(), Table_SourceData_Scope3_Feed[[#Headers],[Category]], -1, 2)</f>
        <v>0.26100000000000001</v>
      </c>
      <c r="I117" s="19" t="str" cm="1">
        <f t="array" ref="I117">Common_InputFunctions.Utility_DisplayArrayInTable(Scope3_SourceData.Scope3_Feed_Data(), Table_SourceData_Scope3_Feed[[#Headers],[Category]], -1, 2)</f>
        <v>at market</v>
      </c>
      <c r="J117" s="19" t="s">
        <v>1169</v>
      </c>
      <c r="L117" s="19" t="str">
        <f>Table_SourceData_Scope3_Feed[[#This Row],[Product]]</f>
        <v>Wheat grain</v>
      </c>
      <c r="M117" s="19" t="str">
        <f>Table_SourceData_Scope3_Feed[[#This Row],[Region of origin]]</f>
        <v>WA</v>
      </c>
      <c r="O117" s="19" t="s">
        <v>132</v>
      </c>
      <c r="P117" s="19" t="s">
        <v>1167</v>
      </c>
      <c r="Q117" s="1" t="str">
        <f>"Table_ProductRegions_" &amp; SUBSTITUTE(SUBSTITUTE(SUBSTITUTE(SUBSTITUTE(O118, " ", ""), ",", ""), "(", ""), ")", "")</f>
        <v>Table_ProductRegions_Cerealhay</v>
      </c>
    </row>
    <row r="118" spans="1:17" ht="20.100000000000001" customHeight="1" x14ac:dyDescent="0.2">
      <c r="D118" s="19" t="str" cm="1">
        <f t="array" ref="D118">Common_InputFunctions.Utility_DisplayArrayInTable(Scope3_SourceData.Scope3_Feed_Data(), Table_SourceData_Scope3_Feed[[#Headers],[Category]], -1, 2)</f>
        <v>Hay</v>
      </c>
      <c r="E118" s="19" t="str" cm="1">
        <f t="array" ref="E118">Common_InputFunctions.Utility_DisplayArrayInTable(Scope3_SourceData.Scope3_Feed_Data(), Table_SourceData_Scope3_Feed[[#Headers],[Category]], -1, 2)</f>
        <v>Cereal hay</v>
      </c>
      <c r="F118" s="19" t="str" cm="1">
        <f t="array" ref="F118">Common_InputFunctions.Utility_DisplayArrayInTable(Scope3_SourceData.Scope3_Feed_Data(), Table_SourceData_Scope3_Feed[[#Headers],[Category]], -1, 2)</f>
        <v>Australia</v>
      </c>
      <c r="G118" s="19" t="str" cm="1">
        <f t="array" ref="G118">Common_InputFunctions.Utility_DisplayArrayInTable(Scope3_SourceData.Scope3_Feed_Data(), Table_SourceData_Scope3_Feed[[#Headers],[Category]], -1, 2)</f>
        <v>kg</v>
      </c>
      <c r="H118" s="19" cm="1">
        <f t="array" ref="H118">Common_InputFunctions.Utility_DisplayArrayInTable(Scope3_SourceData.Scope3_Feed_Data(), Table_SourceData_Scope3_Feed[[#Headers],[Category]], -1, 2)</f>
        <v>0.11700000000000001</v>
      </c>
      <c r="I118" s="19" t="str" cm="1">
        <f t="array" ref="I118">Common_InputFunctions.Utility_DisplayArrayInTable(Scope3_SourceData.Scope3_Feed_Data(), Table_SourceData_Scope3_Feed[[#Headers],[Category]], -1, 2)</f>
        <v>at market</v>
      </c>
      <c r="J118" s="19" t="s">
        <v>1169</v>
      </c>
      <c r="O118" s="19" t="str">
        <f>Table_SourceData_Scope3_Feed[[#This Row],[Product]]</f>
        <v>Cereal hay</v>
      </c>
      <c r="P118" s="19" t="str">
        <f>Table_SourceData_Scope3_Feed[[#This Row],[Region of origin]]</f>
        <v>Australia</v>
      </c>
    </row>
    <row r="119" spans="1:17" ht="20.100000000000001" customHeight="1" x14ac:dyDescent="0.2">
      <c r="D119" s="19" t="str" cm="1">
        <f t="array" ref="D119">Common_InputFunctions.Utility_DisplayArrayInTable(Scope3_SourceData.Scope3_Feed_Data(), Table_SourceData_Scope3_Feed[[#Headers],[Category]], -1, 2)</f>
        <v>Hay</v>
      </c>
      <c r="E119" s="19" t="str" cm="1">
        <f t="array" ref="E119">Common_InputFunctions.Utility_DisplayArrayInTable(Scope3_SourceData.Scope3_Feed_Data(), Table_SourceData_Scope3_Feed[[#Headers],[Category]], -1, 2)</f>
        <v>Cereal hay</v>
      </c>
      <c r="F119" s="19" t="str" cm="1">
        <f t="array" ref="F119">Common_InputFunctions.Utility_DisplayArrayInTable(Scope3_SourceData.Scope3_Feed_Data(), Table_SourceData_Scope3_Feed[[#Headers],[Category]], -1, 2)</f>
        <v>NSW</v>
      </c>
      <c r="G119" s="19" t="str" cm="1">
        <f t="array" ref="G119">Common_InputFunctions.Utility_DisplayArrayInTable(Scope3_SourceData.Scope3_Feed_Data(), Table_SourceData_Scope3_Feed[[#Headers],[Category]], -1, 2)</f>
        <v>kg</v>
      </c>
      <c r="H119" s="19" cm="1">
        <f t="array" ref="H119">Common_InputFunctions.Utility_DisplayArrayInTable(Scope3_SourceData.Scope3_Feed_Data(), Table_SourceData_Scope3_Feed[[#Headers],[Category]], -1, 2)</f>
        <v>0.11600000000000001</v>
      </c>
      <c r="I119" s="19" t="str" cm="1">
        <f t="array" ref="I119">Common_InputFunctions.Utility_DisplayArrayInTable(Scope3_SourceData.Scope3_Feed_Data(), Table_SourceData_Scope3_Feed[[#Headers],[Category]], -1, 2)</f>
        <v>at market</v>
      </c>
      <c r="J119" s="19" t="s">
        <v>1169</v>
      </c>
      <c r="O119" s="19" t="str">
        <f>Table_SourceData_Scope3_Feed[[#This Row],[Product]]</f>
        <v>Cereal hay</v>
      </c>
      <c r="P119" s="19" t="str">
        <f>Table_SourceData_Scope3_Feed[[#This Row],[Region of origin]]</f>
        <v>NSW</v>
      </c>
    </row>
    <row r="120" spans="1:17" ht="20.100000000000001" customHeight="1" x14ac:dyDescent="0.2">
      <c r="D120" s="19" t="str" cm="1">
        <f t="array" ref="D120">Common_InputFunctions.Utility_DisplayArrayInTable(Scope3_SourceData.Scope3_Feed_Data(), Table_SourceData_Scope3_Feed[[#Headers],[Category]], -1, 2)</f>
        <v>Hay</v>
      </c>
      <c r="E120" s="19" t="str" cm="1">
        <f t="array" ref="E120">Common_InputFunctions.Utility_DisplayArrayInTable(Scope3_SourceData.Scope3_Feed_Data(), Table_SourceData_Scope3_Feed[[#Headers],[Category]], -1, 2)</f>
        <v>Cereal hay</v>
      </c>
      <c r="F120" s="19" t="str" cm="1">
        <f t="array" ref="F120">Common_InputFunctions.Utility_DisplayArrayInTable(Scope3_SourceData.Scope3_Feed_Data(), Table_SourceData_Scope3_Feed[[#Headers],[Category]], -1, 2)</f>
        <v>QLD</v>
      </c>
      <c r="G120" s="19" t="str" cm="1">
        <f t="array" ref="G120">Common_InputFunctions.Utility_DisplayArrayInTable(Scope3_SourceData.Scope3_Feed_Data(), Table_SourceData_Scope3_Feed[[#Headers],[Category]], -1, 2)</f>
        <v>kg</v>
      </c>
      <c r="H120" s="19" cm="1">
        <f t="array" ref="H120">Common_InputFunctions.Utility_DisplayArrayInTable(Scope3_SourceData.Scope3_Feed_Data(), Table_SourceData_Scope3_Feed[[#Headers],[Category]], -1, 2)</f>
        <v>0.11799999999999999</v>
      </c>
      <c r="I120" s="19" t="str" cm="1">
        <f t="array" ref="I120">Common_InputFunctions.Utility_DisplayArrayInTable(Scope3_SourceData.Scope3_Feed_Data(), Table_SourceData_Scope3_Feed[[#Headers],[Category]], -1, 2)</f>
        <v>at market</v>
      </c>
      <c r="J120" s="19" t="s">
        <v>1169</v>
      </c>
      <c r="O120" s="19" t="str">
        <f>Table_SourceData_Scope3_Feed[[#This Row],[Product]]</f>
        <v>Cereal hay</v>
      </c>
      <c r="P120" s="19" t="str">
        <f>Table_SourceData_Scope3_Feed[[#This Row],[Region of origin]]</f>
        <v>QLD</v>
      </c>
    </row>
    <row r="121" spans="1:17" ht="20.100000000000001" customHeight="1" x14ac:dyDescent="0.2">
      <c r="D121" s="19" t="str" cm="1">
        <f t="array" ref="D121">Common_InputFunctions.Utility_DisplayArrayInTable(Scope3_SourceData.Scope3_Feed_Data(), Table_SourceData_Scope3_Feed[[#Headers],[Category]], -1, 2)</f>
        <v>Hay</v>
      </c>
      <c r="E121" s="19" t="str" cm="1">
        <f t="array" ref="E121">Common_InputFunctions.Utility_DisplayArrayInTable(Scope3_SourceData.Scope3_Feed_Data(), Table_SourceData_Scope3_Feed[[#Headers],[Category]], -1, 2)</f>
        <v>Cereal hay</v>
      </c>
      <c r="F121" s="19" t="str" cm="1">
        <f t="array" ref="F121">Common_InputFunctions.Utility_DisplayArrayInTable(Scope3_SourceData.Scope3_Feed_Data(), Table_SourceData_Scope3_Feed[[#Headers],[Category]], -1, 2)</f>
        <v>SA</v>
      </c>
      <c r="G121" s="19" t="str" cm="1">
        <f t="array" ref="G121">Common_InputFunctions.Utility_DisplayArrayInTable(Scope3_SourceData.Scope3_Feed_Data(), Table_SourceData_Scope3_Feed[[#Headers],[Category]], -1, 2)</f>
        <v>kg</v>
      </c>
      <c r="H121" s="19" cm="1">
        <f t="array" ref="H121">Common_InputFunctions.Utility_DisplayArrayInTable(Scope3_SourceData.Scope3_Feed_Data(), Table_SourceData_Scope3_Feed[[#Headers],[Category]], -1, 2)</f>
        <v>0.111</v>
      </c>
      <c r="I121" s="19" t="str" cm="1">
        <f t="array" ref="I121">Common_InputFunctions.Utility_DisplayArrayInTable(Scope3_SourceData.Scope3_Feed_Data(), Table_SourceData_Scope3_Feed[[#Headers],[Category]], -1, 2)</f>
        <v>at market</v>
      </c>
      <c r="J121" s="19" t="s">
        <v>1169</v>
      </c>
      <c r="O121" s="19" t="str">
        <f>Table_SourceData_Scope3_Feed[[#This Row],[Product]]</f>
        <v>Cereal hay</v>
      </c>
      <c r="P121" s="19" t="str">
        <f>Table_SourceData_Scope3_Feed[[#This Row],[Region of origin]]</f>
        <v>SA</v>
      </c>
    </row>
    <row r="122" spans="1:17" ht="20.100000000000001" customHeight="1" x14ac:dyDescent="0.2">
      <c r="D122" s="19" t="str" cm="1">
        <f t="array" ref="D122">Common_InputFunctions.Utility_DisplayArrayInTable(Scope3_SourceData.Scope3_Feed_Data(), Table_SourceData_Scope3_Feed[[#Headers],[Category]], -1, 2)</f>
        <v>Hay</v>
      </c>
      <c r="E122" s="19" t="str" cm="1">
        <f t="array" ref="E122">Common_InputFunctions.Utility_DisplayArrayInTable(Scope3_SourceData.Scope3_Feed_Data(), Table_SourceData_Scope3_Feed[[#Headers],[Category]], -1, 2)</f>
        <v>Cereal hay</v>
      </c>
      <c r="F122" s="19" t="str" cm="1">
        <f t="array" ref="F122">Common_InputFunctions.Utility_DisplayArrayInTable(Scope3_SourceData.Scope3_Feed_Data(), Table_SourceData_Scope3_Feed[[#Headers],[Category]], -1, 2)</f>
        <v>TAS</v>
      </c>
      <c r="G122" s="19" t="str" cm="1">
        <f t="array" ref="G122">Common_InputFunctions.Utility_DisplayArrayInTable(Scope3_SourceData.Scope3_Feed_Data(), Table_SourceData_Scope3_Feed[[#Headers],[Category]], -1, 2)</f>
        <v>kg</v>
      </c>
      <c r="H122" s="19" cm="1">
        <f t="array" ref="H122">Common_InputFunctions.Utility_DisplayArrayInTable(Scope3_SourceData.Scope3_Feed_Data(), Table_SourceData_Scope3_Feed[[#Headers],[Category]], -1, 2)</f>
        <v>0.13900000000000001</v>
      </c>
      <c r="I122" s="19" t="str" cm="1">
        <f t="array" ref="I122">Common_InputFunctions.Utility_DisplayArrayInTable(Scope3_SourceData.Scope3_Feed_Data(), Table_SourceData_Scope3_Feed[[#Headers],[Category]], -1, 2)</f>
        <v>at market</v>
      </c>
      <c r="J122" s="19" t="s">
        <v>1169</v>
      </c>
      <c r="O122" s="19" t="str">
        <f>Table_SourceData_Scope3_Feed[[#This Row],[Product]]</f>
        <v>Cereal hay</v>
      </c>
      <c r="P122" s="19" t="str">
        <f>Table_SourceData_Scope3_Feed[[#This Row],[Region of origin]]</f>
        <v>TAS</v>
      </c>
    </row>
    <row r="123" spans="1:17" ht="20.100000000000001" customHeight="1" x14ac:dyDescent="0.2">
      <c r="D123" s="19" t="str" cm="1">
        <f t="array" ref="D123">Common_InputFunctions.Utility_DisplayArrayInTable(Scope3_SourceData.Scope3_Feed_Data(), Table_SourceData_Scope3_Feed[[#Headers],[Category]], -1, 2)</f>
        <v>Hay</v>
      </c>
      <c r="E123" s="19" t="str" cm="1">
        <f t="array" ref="E123">Common_InputFunctions.Utility_DisplayArrayInTable(Scope3_SourceData.Scope3_Feed_Data(), Table_SourceData_Scope3_Feed[[#Headers],[Category]], -1, 2)</f>
        <v>Cereal hay</v>
      </c>
      <c r="F123" s="19" t="str" cm="1">
        <f t="array" ref="F123">Common_InputFunctions.Utility_DisplayArrayInTable(Scope3_SourceData.Scope3_Feed_Data(), Table_SourceData_Scope3_Feed[[#Headers],[Category]], -1, 2)</f>
        <v>VIC</v>
      </c>
      <c r="G123" s="19" t="str" cm="1">
        <f t="array" ref="G123">Common_InputFunctions.Utility_DisplayArrayInTable(Scope3_SourceData.Scope3_Feed_Data(), Table_SourceData_Scope3_Feed[[#Headers],[Category]], -1, 2)</f>
        <v>kg</v>
      </c>
      <c r="H123" s="19" cm="1">
        <f t="array" ref="H123">Common_InputFunctions.Utility_DisplayArrayInTable(Scope3_SourceData.Scope3_Feed_Data(), Table_SourceData_Scope3_Feed[[#Headers],[Category]], -1, 2)</f>
        <v>0.11600000000000001</v>
      </c>
      <c r="I123" s="19" t="str" cm="1">
        <f t="array" ref="I123">Common_InputFunctions.Utility_DisplayArrayInTable(Scope3_SourceData.Scope3_Feed_Data(), Table_SourceData_Scope3_Feed[[#Headers],[Category]], -1, 2)</f>
        <v>at market</v>
      </c>
      <c r="J123" s="19" t="s">
        <v>1169</v>
      </c>
      <c r="O123" s="19" t="str">
        <f>Table_SourceData_Scope3_Feed[[#This Row],[Product]]</f>
        <v>Cereal hay</v>
      </c>
      <c r="P123" s="19" t="str">
        <f>Table_SourceData_Scope3_Feed[[#This Row],[Region of origin]]</f>
        <v>VIC</v>
      </c>
    </row>
    <row r="124" spans="1:17" ht="20.100000000000001" customHeight="1" x14ac:dyDescent="0.2">
      <c r="D124" s="19" t="str" cm="1">
        <f t="array" ref="D124">Common_InputFunctions.Utility_DisplayArrayInTable(Scope3_SourceData.Scope3_Feed_Data(), Table_SourceData_Scope3_Feed[[#Headers],[Category]], -1, 2)</f>
        <v>Hay</v>
      </c>
      <c r="E124" s="19" t="str" cm="1">
        <f t="array" ref="E124">Common_InputFunctions.Utility_DisplayArrayInTable(Scope3_SourceData.Scope3_Feed_Data(), Table_SourceData_Scope3_Feed[[#Headers],[Category]], -1, 2)</f>
        <v>Cereal hay</v>
      </c>
      <c r="F124" s="19" t="str" cm="1">
        <f t="array" ref="F124">Common_InputFunctions.Utility_DisplayArrayInTable(Scope3_SourceData.Scope3_Feed_Data(), Table_SourceData_Scope3_Feed[[#Headers],[Category]], -1, 2)</f>
        <v>WA</v>
      </c>
      <c r="G124" s="19" t="str" cm="1">
        <f t="array" ref="G124">Common_InputFunctions.Utility_DisplayArrayInTable(Scope3_SourceData.Scope3_Feed_Data(), Table_SourceData_Scope3_Feed[[#Headers],[Category]], -1, 2)</f>
        <v>kg</v>
      </c>
      <c r="H124" s="19" cm="1">
        <f t="array" ref="H124">Common_InputFunctions.Utility_DisplayArrayInTable(Scope3_SourceData.Scope3_Feed_Data(), Table_SourceData_Scope3_Feed[[#Headers],[Category]], -1, 2)</f>
        <v>0.122</v>
      </c>
      <c r="I124" s="19" t="str" cm="1">
        <f t="array" ref="I124">Common_InputFunctions.Utility_DisplayArrayInTable(Scope3_SourceData.Scope3_Feed_Data(), Table_SourceData_Scope3_Feed[[#Headers],[Category]], -1, 2)</f>
        <v>at market</v>
      </c>
      <c r="J124" s="19" t="s">
        <v>1169</v>
      </c>
      <c r="L124" s="19" t="s">
        <v>132</v>
      </c>
      <c r="M124" s="19" t="s">
        <v>1167</v>
      </c>
      <c r="N124" s="1" t="str">
        <f>"Table_ProductRegions_" &amp; SUBSTITUTE(SUBSTITUTE(SUBSTITUTE(SUBSTITUTE(L125, " ", ""), ",", ""), "(", ""), ")", "")</f>
        <v>Table_ProductRegions_Cerealsilage</v>
      </c>
      <c r="O124" s="19" t="str">
        <f>Table_SourceData_Scope3_Feed[[#This Row],[Product]]</f>
        <v>Cereal hay</v>
      </c>
      <c r="P124" s="19" t="str">
        <f>Table_SourceData_Scope3_Feed[[#This Row],[Region of origin]]</f>
        <v>WA</v>
      </c>
    </row>
    <row r="125" spans="1:17" ht="20.100000000000001" customHeight="1" x14ac:dyDescent="0.2">
      <c r="D125" s="19" t="str" cm="1">
        <f t="array" ref="D125">Common_InputFunctions.Utility_DisplayArrayInTable(Scope3_SourceData.Scope3_Feed_Data(), Table_SourceData_Scope3_Feed[[#Headers],[Category]], -1, 2)</f>
        <v>Hay</v>
      </c>
      <c r="E125" s="19" t="str" cm="1">
        <f t="array" ref="E125">Common_InputFunctions.Utility_DisplayArrayInTable(Scope3_SourceData.Scope3_Feed_Data(), Table_SourceData_Scope3_Feed[[#Headers],[Category]], -1, 2)</f>
        <v>Cereal silage</v>
      </c>
      <c r="F125" s="19" t="str" cm="1">
        <f t="array" ref="F125">Common_InputFunctions.Utility_DisplayArrayInTable(Scope3_SourceData.Scope3_Feed_Data(), Table_SourceData_Scope3_Feed[[#Headers],[Category]], -1, 2)</f>
        <v>Australia</v>
      </c>
      <c r="G125" s="19" t="str" cm="1">
        <f t="array" ref="G125">Common_InputFunctions.Utility_DisplayArrayInTable(Scope3_SourceData.Scope3_Feed_Data(), Table_SourceData_Scope3_Feed[[#Headers],[Category]], -1, 2)</f>
        <v>kg</v>
      </c>
      <c r="H125" s="19" cm="1">
        <f t="array" ref="H125">Common_InputFunctions.Utility_DisplayArrayInTable(Scope3_SourceData.Scope3_Feed_Data(), Table_SourceData_Scope3_Feed[[#Headers],[Category]], -1, 2)</f>
        <v>7.4399999999999994E-2</v>
      </c>
      <c r="I125" s="19" t="str" cm="1">
        <f t="array" ref="I125">Common_InputFunctions.Utility_DisplayArrayInTable(Scope3_SourceData.Scope3_Feed_Data(), Table_SourceData_Scope3_Feed[[#Headers],[Category]], -1, 2)</f>
        <v>at market</v>
      </c>
      <c r="J125" s="19" t="s">
        <v>1169</v>
      </c>
      <c r="L125" s="19" t="str">
        <f>Table_SourceData_Scope3_Feed[[#This Row],[Product]]</f>
        <v>Cereal silage</v>
      </c>
      <c r="M125" s="19" t="str">
        <f>Table_SourceData_Scope3_Feed[[#This Row],[Region of origin]]</f>
        <v>Australia</v>
      </c>
    </row>
    <row r="126" spans="1:17" ht="20.100000000000001" customHeight="1" x14ac:dyDescent="0.2">
      <c r="D126" s="19" t="str" cm="1">
        <f t="array" ref="D126">Common_InputFunctions.Utility_DisplayArrayInTable(Scope3_SourceData.Scope3_Feed_Data(), Table_SourceData_Scope3_Feed[[#Headers],[Category]], -1, 2)</f>
        <v>Hay</v>
      </c>
      <c r="E126" s="19" t="str" cm="1">
        <f t="array" ref="E126">Common_InputFunctions.Utility_DisplayArrayInTable(Scope3_SourceData.Scope3_Feed_Data(), Table_SourceData_Scope3_Feed[[#Headers],[Category]], -1, 2)</f>
        <v>Cereal silage</v>
      </c>
      <c r="F126" s="19" t="str" cm="1">
        <f t="array" ref="F126">Common_InputFunctions.Utility_DisplayArrayInTable(Scope3_SourceData.Scope3_Feed_Data(), Table_SourceData_Scope3_Feed[[#Headers],[Category]], -1, 2)</f>
        <v>NSW</v>
      </c>
      <c r="G126" s="19" t="str" cm="1">
        <f t="array" ref="G126">Common_InputFunctions.Utility_DisplayArrayInTable(Scope3_SourceData.Scope3_Feed_Data(), Table_SourceData_Scope3_Feed[[#Headers],[Category]], -1, 2)</f>
        <v>kg</v>
      </c>
      <c r="H126" s="19" cm="1">
        <f t="array" ref="H126">Common_InputFunctions.Utility_DisplayArrayInTable(Scope3_SourceData.Scope3_Feed_Data(), Table_SourceData_Scope3_Feed[[#Headers],[Category]], -1, 2)</f>
        <v>7.3899999999999993E-2</v>
      </c>
      <c r="I126" s="19" t="str" cm="1">
        <f t="array" ref="I126">Common_InputFunctions.Utility_DisplayArrayInTable(Scope3_SourceData.Scope3_Feed_Data(), Table_SourceData_Scope3_Feed[[#Headers],[Category]], -1, 2)</f>
        <v>at market</v>
      </c>
      <c r="J126" s="19" t="s">
        <v>1169</v>
      </c>
      <c r="L126" s="19" t="str">
        <f>Table_SourceData_Scope3_Feed[[#This Row],[Product]]</f>
        <v>Cereal silage</v>
      </c>
      <c r="M126" s="19" t="str">
        <f>Table_SourceData_Scope3_Feed[[#This Row],[Region of origin]]</f>
        <v>NSW</v>
      </c>
    </row>
    <row r="127" spans="1:17" ht="20.100000000000001" customHeight="1" x14ac:dyDescent="0.2">
      <c r="D127" s="19" t="str" cm="1">
        <f t="array" ref="D127">Common_InputFunctions.Utility_DisplayArrayInTable(Scope3_SourceData.Scope3_Feed_Data(), Table_SourceData_Scope3_Feed[[#Headers],[Category]], -1, 2)</f>
        <v>Hay</v>
      </c>
      <c r="E127" s="19" t="str" cm="1">
        <f t="array" ref="E127">Common_InputFunctions.Utility_DisplayArrayInTable(Scope3_SourceData.Scope3_Feed_Data(), Table_SourceData_Scope3_Feed[[#Headers],[Category]], -1, 2)</f>
        <v>Cereal silage</v>
      </c>
      <c r="F127" s="19" t="str" cm="1">
        <f t="array" ref="F127">Common_InputFunctions.Utility_DisplayArrayInTable(Scope3_SourceData.Scope3_Feed_Data(), Table_SourceData_Scope3_Feed[[#Headers],[Category]], -1, 2)</f>
        <v>QLD</v>
      </c>
      <c r="G127" s="19" t="str" cm="1">
        <f t="array" ref="G127">Common_InputFunctions.Utility_DisplayArrayInTable(Scope3_SourceData.Scope3_Feed_Data(), Table_SourceData_Scope3_Feed[[#Headers],[Category]], -1, 2)</f>
        <v>kg</v>
      </c>
      <c r="H127" s="19" cm="1">
        <f t="array" ref="H127">Common_InputFunctions.Utility_DisplayArrayInTable(Scope3_SourceData.Scope3_Feed_Data(), Table_SourceData_Scope3_Feed[[#Headers],[Category]], -1, 2)</f>
        <v>7.9000000000000001E-2</v>
      </c>
      <c r="I127" s="19" t="str" cm="1">
        <f t="array" ref="I127">Common_InputFunctions.Utility_DisplayArrayInTable(Scope3_SourceData.Scope3_Feed_Data(), Table_SourceData_Scope3_Feed[[#Headers],[Category]], -1, 2)</f>
        <v>at market</v>
      </c>
      <c r="J127" s="19" t="s">
        <v>1169</v>
      </c>
      <c r="L127" s="19" t="str">
        <f>Table_SourceData_Scope3_Feed[[#This Row],[Product]]</f>
        <v>Cereal silage</v>
      </c>
      <c r="M127" s="19" t="str">
        <f>Table_SourceData_Scope3_Feed[[#This Row],[Region of origin]]</f>
        <v>QLD</v>
      </c>
    </row>
    <row r="128" spans="1:17" ht="20.100000000000001" customHeight="1" x14ac:dyDescent="0.2">
      <c r="A128" s="79" t="str">
        <f>HYPERLINK("#A1", "▲ Back to top")</f>
        <v>▲ Back to top</v>
      </c>
      <c r="D128" s="19" t="str" cm="1">
        <f t="array" ref="D128">Common_InputFunctions.Utility_DisplayArrayInTable(Scope3_SourceData.Scope3_Feed_Data(), Table_SourceData_Scope3_Feed[[#Headers],[Category]], -1, 2)</f>
        <v>Hay</v>
      </c>
      <c r="E128" s="19" t="str" cm="1">
        <f t="array" ref="E128">Common_InputFunctions.Utility_DisplayArrayInTable(Scope3_SourceData.Scope3_Feed_Data(), Table_SourceData_Scope3_Feed[[#Headers],[Category]], -1, 2)</f>
        <v>Cereal silage</v>
      </c>
      <c r="F128" s="19" t="str" cm="1">
        <f t="array" ref="F128">Common_InputFunctions.Utility_DisplayArrayInTable(Scope3_SourceData.Scope3_Feed_Data(), Table_SourceData_Scope3_Feed[[#Headers],[Category]], -1, 2)</f>
        <v>SA</v>
      </c>
      <c r="G128" s="19" t="str" cm="1">
        <f t="array" ref="G128">Common_InputFunctions.Utility_DisplayArrayInTable(Scope3_SourceData.Scope3_Feed_Data(), Table_SourceData_Scope3_Feed[[#Headers],[Category]], -1, 2)</f>
        <v>kg</v>
      </c>
      <c r="H128" s="19" cm="1">
        <f t="array" ref="H128">Common_InputFunctions.Utility_DisplayArrayInTable(Scope3_SourceData.Scope3_Feed_Data(), Table_SourceData_Scope3_Feed[[#Headers],[Category]], -1, 2)</f>
        <v>7.0599999999999996E-2</v>
      </c>
      <c r="I128" s="19" t="str" cm="1">
        <f t="array" ref="I128">Common_InputFunctions.Utility_DisplayArrayInTable(Scope3_SourceData.Scope3_Feed_Data(), Table_SourceData_Scope3_Feed[[#Headers],[Category]], -1, 2)</f>
        <v>at market</v>
      </c>
      <c r="J128" s="19" t="s">
        <v>1169</v>
      </c>
      <c r="L128" s="19" t="str">
        <f>Table_SourceData_Scope3_Feed[[#This Row],[Product]]</f>
        <v>Cereal silage</v>
      </c>
      <c r="M128" s="19" t="str">
        <f>Table_SourceData_Scope3_Feed[[#This Row],[Region of origin]]</f>
        <v>SA</v>
      </c>
    </row>
    <row r="129" spans="4:17" ht="20.100000000000001" customHeight="1" x14ac:dyDescent="0.2">
      <c r="D129" s="19" t="str" cm="1">
        <f t="array" ref="D129">Common_InputFunctions.Utility_DisplayArrayInTable(Scope3_SourceData.Scope3_Feed_Data(), Table_SourceData_Scope3_Feed[[#Headers],[Category]], -1, 2)</f>
        <v>Hay</v>
      </c>
      <c r="E129" s="19" t="str" cm="1">
        <f t="array" ref="E129">Common_InputFunctions.Utility_DisplayArrayInTable(Scope3_SourceData.Scope3_Feed_Data(), Table_SourceData_Scope3_Feed[[#Headers],[Category]], -1, 2)</f>
        <v>Cereal silage</v>
      </c>
      <c r="F129" s="19" t="str" cm="1">
        <f t="array" ref="F129">Common_InputFunctions.Utility_DisplayArrayInTable(Scope3_SourceData.Scope3_Feed_Data(), Table_SourceData_Scope3_Feed[[#Headers],[Category]], -1, 2)</f>
        <v>TAS</v>
      </c>
      <c r="G129" s="19" t="str" cm="1">
        <f t="array" ref="G129">Common_InputFunctions.Utility_DisplayArrayInTable(Scope3_SourceData.Scope3_Feed_Data(), Table_SourceData_Scope3_Feed[[#Headers],[Category]], -1, 2)</f>
        <v>kg</v>
      </c>
      <c r="H129" s="19" cm="1">
        <f t="array" ref="H129">Common_InputFunctions.Utility_DisplayArrayInTable(Scope3_SourceData.Scope3_Feed_Data(), Table_SourceData_Scope3_Feed[[#Headers],[Category]], -1, 2)</f>
        <v>8.0799999999999997E-2</v>
      </c>
      <c r="I129" s="19" t="str" cm="1">
        <f t="array" ref="I129">Common_InputFunctions.Utility_DisplayArrayInTable(Scope3_SourceData.Scope3_Feed_Data(), Table_SourceData_Scope3_Feed[[#Headers],[Category]], -1, 2)</f>
        <v>at market</v>
      </c>
      <c r="J129" s="19" t="s">
        <v>1169</v>
      </c>
      <c r="L129" s="19" t="str">
        <f>Table_SourceData_Scope3_Feed[[#This Row],[Product]]</f>
        <v>Cereal silage</v>
      </c>
      <c r="M129" s="19" t="str">
        <f>Table_SourceData_Scope3_Feed[[#This Row],[Region of origin]]</f>
        <v>TAS</v>
      </c>
    </row>
    <row r="130" spans="4:17" ht="20.100000000000001" customHeight="1" x14ac:dyDescent="0.2">
      <c r="D130" s="19" t="str" cm="1">
        <f t="array" ref="D130">Common_InputFunctions.Utility_DisplayArrayInTable(Scope3_SourceData.Scope3_Feed_Data(), Table_SourceData_Scope3_Feed[[#Headers],[Category]], -1, 2)</f>
        <v>Hay</v>
      </c>
      <c r="E130" s="19" t="str" cm="1">
        <f t="array" ref="E130">Common_InputFunctions.Utility_DisplayArrayInTable(Scope3_SourceData.Scope3_Feed_Data(), Table_SourceData_Scope3_Feed[[#Headers],[Category]], -1, 2)</f>
        <v>Cereal silage</v>
      </c>
      <c r="F130" s="19" t="str" cm="1">
        <f t="array" ref="F130">Common_InputFunctions.Utility_DisplayArrayInTable(Scope3_SourceData.Scope3_Feed_Data(), Table_SourceData_Scope3_Feed[[#Headers],[Category]], -1, 2)</f>
        <v>VIC</v>
      </c>
      <c r="G130" s="19" t="str" cm="1">
        <f t="array" ref="G130">Common_InputFunctions.Utility_DisplayArrayInTable(Scope3_SourceData.Scope3_Feed_Data(), Table_SourceData_Scope3_Feed[[#Headers],[Category]], -1, 2)</f>
        <v>kg</v>
      </c>
      <c r="H130" s="19" cm="1">
        <f t="array" ref="H130">Common_InputFunctions.Utility_DisplayArrayInTable(Scope3_SourceData.Scope3_Feed_Data(), Table_SourceData_Scope3_Feed[[#Headers],[Category]], -1, 2)</f>
        <v>7.3599999999999999E-2</v>
      </c>
      <c r="I130" s="19" t="str" cm="1">
        <f t="array" ref="I130">Common_InputFunctions.Utility_DisplayArrayInTable(Scope3_SourceData.Scope3_Feed_Data(), Table_SourceData_Scope3_Feed[[#Headers],[Category]], -1, 2)</f>
        <v>at market</v>
      </c>
      <c r="J130" s="19" t="s">
        <v>1169</v>
      </c>
      <c r="L130" s="19" t="str">
        <f>Table_SourceData_Scope3_Feed[[#This Row],[Product]]</f>
        <v>Cereal silage</v>
      </c>
      <c r="M130" s="19" t="str">
        <f>Table_SourceData_Scope3_Feed[[#This Row],[Region of origin]]</f>
        <v>VIC</v>
      </c>
      <c r="O130" s="19" t="s">
        <v>132</v>
      </c>
      <c r="P130" s="19" t="s">
        <v>1167</v>
      </c>
      <c r="Q130" s="1" t="str">
        <f>"Table_ProductRegions_" &amp; SUBSTITUTE(SUBSTITUTE(SUBSTITUTE(SUBSTITUTE(O131, " ", ""), ",", ""), "(", ""), ")", "")</f>
        <v>Table_ProductRegions_Lucernehay</v>
      </c>
    </row>
    <row r="131" spans="4:17" ht="20.100000000000001" customHeight="1" x14ac:dyDescent="0.2">
      <c r="D131" s="19" t="str" cm="1">
        <f t="array" ref="D131">Common_InputFunctions.Utility_DisplayArrayInTable(Scope3_SourceData.Scope3_Feed_Data(), Table_SourceData_Scope3_Feed[[#Headers],[Category]], -1, 2)</f>
        <v>Hay</v>
      </c>
      <c r="E131" s="19" t="str" cm="1">
        <f t="array" ref="E131">Common_InputFunctions.Utility_DisplayArrayInTable(Scope3_SourceData.Scope3_Feed_Data(), Table_SourceData_Scope3_Feed[[#Headers],[Category]], -1, 2)</f>
        <v>Lucerne hay</v>
      </c>
      <c r="F131" s="19" t="str" cm="1">
        <f t="array" ref="F131">Common_InputFunctions.Utility_DisplayArrayInTable(Scope3_SourceData.Scope3_Feed_Data(), Table_SourceData_Scope3_Feed[[#Headers],[Category]], -1, 2)</f>
        <v>Australia</v>
      </c>
      <c r="G131" s="19" t="str" cm="1">
        <f t="array" ref="G131">Common_InputFunctions.Utility_DisplayArrayInTable(Scope3_SourceData.Scope3_Feed_Data(), Table_SourceData_Scope3_Feed[[#Headers],[Category]], -1, 2)</f>
        <v>kg</v>
      </c>
      <c r="H131" s="19" cm="1">
        <f t="array" ref="H131">Common_InputFunctions.Utility_DisplayArrayInTable(Scope3_SourceData.Scope3_Feed_Data(), Table_SourceData_Scope3_Feed[[#Headers],[Category]], -1, 2)</f>
        <v>0.11700000000000001</v>
      </c>
      <c r="I131" s="19" t="str" cm="1">
        <f t="array" ref="I131">Common_InputFunctions.Utility_DisplayArrayInTable(Scope3_SourceData.Scope3_Feed_Data(), Table_SourceData_Scope3_Feed[[#Headers],[Category]], -1, 2)</f>
        <v>at market</v>
      </c>
      <c r="J131" s="19" t="s">
        <v>1169</v>
      </c>
      <c r="O131" s="19" t="str">
        <f>Table_SourceData_Scope3_Feed[[#This Row],[Product]]</f>
        <v>Lucerne hay</v>
      </c>
      <c r="P131" s="19" t="str">
        <f>Table_SourceData_Scope3_Feed[[#This Row],[Region of origin]]</f>
        <v>Australia</v>
      </c>
    </row>
    <row r="132" spans="4:17" ht="20.100000000000001" customHeight="1" x14ac:dyDescent="0.2">
      <c r="D132" s="19" t="str" cm="1">
        <f t="array" ref="D132">Common_InputFunctions.Utility_DisplayArrayInTable(Scope3_SourceData.Scope3_Feed_Data(), Table_SourceData_Scope3_Feed[[#Headers],[Category]], -1, 2)</f>
        <v>Hay</v>
      </c>
      <c r="E132" s="19" t="str" cm="1">
        <f t="array" ref="E132">Common_InputFunctions.Utility_DisplayArrayInTable(Scope3_SourceData.Scope3_Feed_Data(), Table_SourceData_Scope3_Feed[[#Headers],[Category]], -1, 2)</f>
        <v>Lucerne hay</v>
      </c>
      <c r="F132" s="19" t="str" cm="1">
        <f t="array" ref="F132">Common_InputFunctions.Utility_DisplayArrayInTable(Scope3_SourceData.Scope3_Feed_Data(), Table_SourceData_Scope3_Feed[[#Headers],[Category]], -1, 2)</f>
        <v>NSW</v>
      </c>
      <c r="G132" s="19" t="str" cm="1">
        <f t="array" ref="G132">Common_InputFunctions.Utility_DisplayArrayInTable(Scope3_SourceData.Scope3_Feed_Data(), Table_SourceData_Scope3_Feed[[#Headers],[Category]], -1, 2)</f>
        <v>kg</v>
      </c>
      <c r="H132" s="19" cm="1">
        <f t="array" ref="H132">Common_InputFunctions.Utility_DisplayArrayInTable(Scope3_SourceData.Scope3_Feed_Data(), Table_SourceData_Scope3_Feed[[#Headers],[Category]], -1, 2)</f>
        <v>0.113</v>
      </c>
      <c r="I132" s="19" t="str" cm="1">
        <f t="array" ref="I132">Common_InputFunctions.Utility_DisplayArrayInTable(Scope3_SourceData.Scope3_Feed_Data(), Table_SourceData_Scope3_Feed[[#Headers],[Category]], -1, 2)</f>
        <v>at market</v>
      </c>
      <c r="J132" s="19" t="s">
        <v>1169</v>
      </c>
      <c r="O132" s="19" t="str">
        <f>Table_SourceData_Scope3_Feed[[#This Row],[Product]]</f>
        <v>Lucerne hay</v>
      </c>
      <c r="P132" s="19" t="str">
        <f>Table_SourceData_Scope3_Feed[[#This Row],[Region of origin]]</f>
        <v>NSW</v>
      </c>
    </row>
    <row r="133" spans="4:17" ht="20.100000000000001" customHeight="1" x14ac:dyDescent="0.2">
      <c r="D133" s="19" t="str" cm="1">
        <f t="array" ref="D133">Common_InputFunctions.Utility_DisplayArrayInTable(Scope3_SourceData.Scope3_Feed_Data(), Table_SourceData_Scope3_Feed[[#Headers],[Category]], -1, 2)</f>
        <v>Hay</v>
      </c>
      <c r="E133" s="19" t="str" cm="1">
        <f t="array" ref="E133">Common_InputFunctions.Utility_DisplayArrayInTable(Scope3_SourceData.Scope3_Feed_Data(), Table_SourceData_Scope3_Feed[[#Headers],[Category]], -1, 2)</f>
        <v>Lucerne hay</v>
      </c>
      <c r="F133" s="19" t="str" cm="1">
        <f t="array" ref="F133">Common_InputFunctions.Utility_DisplayArrayInTable(Scope3_SourceData.Scope3_Feed_Data(), Table_SourceData_Scope3_Feed[[#Headers],[Category]], -1, 2)</f>
        <v>QLD</v>
      </c>
      <c r="G133" s="19" t="str" cm="1">
        <f t="array" ref="G133">Common_InputFunctions.Utility_DisplayArrayInTable(Scope3_SourceData.Scope3_Feed_Data(), Table_SourceData_Scope3_Feed[[#Headers],[Category]], -1, 2)</f>
        <v>kg</v>
      </c>
      <c r="H133" s="19" cm="1">
        <f t="array" ref="H133">Common_InputFunctions.Utility_DisplayArrayInTable(Scope3_SourceData.Scope3_Feed_Data(), Table_SourceData_Scope3_Feed[[#Headers],[Category]], -1, 2)</f>
        <v>0.14299999999999999</v>
      </c>
      <c r="I133" s="19" t="str" cm="1">
        <f t="array" ref="I133">Common_InputFunctions.Utility_DisplayArrayInTable(Scope3_SourceData.Scope3_Feed_Data(), Table_SourceData_Scope3_Feed[[#Headers],[Category]], -1, 2)</f>
        <v>at market</v>
      </c>
      <c r="J133" s="19" t="s">
        <v>1169</v>
      </c>
      <c r="O133" s="19" t="str">
        <f>Table_SourceData_Scope3_Feed[[#This Row],[Product]]</f>
        <v>Lucerne hay</v>
      </c>
      <c r="P133" s="19" t="str">
        <f>Table_SourceData_Scope3_Feed[[#This Row],[Region of origin]]</f>
        <v>QLD</v>
      </c>
    </row>
    <row r="134" spans="4:17" ht="20.100000000000001" customHeight="1" x14ac:dyDescent="0.2">
      <c r="D134" s="19" t="str" cm="1">
        <f t="array" ref="D134">Common_InputFunctions.Utility_DisplayArrayInTable(Scope3_SourceData.Scope3_Feed_Data(), Table_SourceData_Scope3_Feed[[#Headers],[Category]], -1, 2)</f>
        <v>Hay</v>
      </c>
      <c r="E134" s="19" t="str" cm="1">
        <f t="array" ref="E134">Common_InputFunctions.Utility_DisplayArrayInTable(Scope3_SourceData.Scope3_Feed_Data(), Table_SourceData_Scope3_Feed[[#Headers],[Category]], -1, 2)</f>
        <v>Lucerne hay</v>
      </c>
      <c r="F134" s="19" t="str" cm="1">
        <f t="array" ref="F134">Common_InputFunctions.Utility_DisplayArrayInTable(Scope3_SourceData.Scope3_Feed_Data(), Table_SourceData_Scope3_Feed[[#Headers],[Category]], -1, 2)</f>
        <v>SA</v>
      </c>
      <c r="G134" s="19" t="str" cm="1">
        <f t="array" ref="G134">Common_InputFunctions.Utility_DisplayArrayInTable(Scope3_SourceData.Scope3_Feed_Data(), Table_SourceData_Scope3_Feed[[#Headers],[Category]], -1, 2)</f>
        <v>kg</v>
      </c>
      <c r="H134" s="19" cm="1">
        <f t="array" ref="H134">Common_InputFunctions.Utility_DisplayArrayInTable(Scope3_SourceData.Scope3_Feed_Data(), Table_SourceData_Scope3_Feed[[#Headers],[Category]], -1, 2)</f>
        <v>0.106</v>
      </c>
      <c r="I134" s="19" t="str" cm="1">
        <f t="array" ref="I134">Common_InputFunctions.Utility_DisplayArrayInTable(Scope3_SourceData.Scope3_Feed_Data(), Table_SourceData_Scope3_Feed[[#Headers],[Category]], -1, 2)</f>
        <v>at market</v>
      </c>
      <c r="J134" s="19" t="s">
        <v>1169</v>
      </c>
      <c r="O134" s="19" t="str">
        <f>Table_SourceData_Scope3_Feed[[#This Row],[Product]]</f>
        <v>Lucerne hay</v>
      </c>
      <c r="P134" s="19" t="str">
        <f>Table_SourceData_Scope3_Feed[[#This Row],[Region of origin]]</f>
        <v>SA</v>
      </c>
    </row>
    <row r="135" spans="4:17" ht="20.100000000000001" customHeight="1" x14ac:dyDescent="0.2">
      <c r="D135" s="19" t="str" cm="1">
        <f t="array" ref="D135">Common_InputFunctions.Utility_DisplayArrayInTable(Scope3_SourceData.Scope3_Feed_Data(), Table_SourceData_Scope3_Feed[[#Headers],[Category]], -1, 2)</f>
        <v>Hay</v>
      </c>
      <c r="E135" s="19" t="str" cm="1">
        <f t="array" ref="E135">Common_InputFunctions.Utility_DisplayArrayInTable(Scope3_SourceData.Scope3_Feed_Data(), Table_SourceData_Scope3_Feed[[#Headers],[Category]], -1, 2)</f>
        <v>Lucerne hay</v>
      </c>
      <c r="F135" s="19" t="str" cm="1">
        <f t="array" ref="F135">Common_InputFunctions.Utility_DisplayArrayInTable(Scope3_SourceData.Scope3_Feed_Data(), Table_SourceData_Scope3_Feed[[#Headers],[Category]], -1, 2)</f>
        <v>TAS</v>
      </c>
      <c r="G135" s="19" t="str" cm="1">
        <f t="array" ref="G135">Common_InputFunctions.Utility_DisplayArrayInTable(Scope3_SourceData.Scope3_Feed_Data(), Table_SourceData_Scope3_Feed[[#Headers],[Category]], -1, 2)</f>
        <v>kg</v>
      </c>
      <c r="H135" s="19" cm="1">
        <f t="array" ref="H135">Common_InputFunctions.Utility_DisplayArrayInTable(Scope3_SourceData.Scope3_Feed_Data(), Table_SourceData_Scope3_Feed[[#Headers],[Category]], -1, 2)</f>
        <v>0.113</v>
      </c>
      <c r="I135" s="19" t="str" cm="1">
        <f t="array" ref="I135">Common_InputFunctions.Utility_DisplayArrayInTable(Scope3_SourceData.Scope3_Feed_Data(), Table_SourceData_Scope3_Feed[[#Headers],[Category]], -1, 2)</f>
        <v>at market</v>
      </c>
      <c r="J135" s="19" t="s">
        <v>1169</v>
      </c>
      <c r="O135" s="19" t="str">
        <f>Table_SourceData_Scope3_Feed[[#This Row],[Product]]</f>
        <v>Lucerne hay</v>
      </c>
      <c r="P135" s="19" t="str">
        <f>Table_SourceData_Scope3_Feed[[#This Row],[Region of origin]]</f>
        <v>TAS</v>
      </c>
    </row>
    <row r="136" spans="4:17" ht="20.100000000000001" customHeight="1" x14ac:dyDescent="0.2">
      <c r="D136" s="19" t="str" cm="1">
        <f t="array" ref="D136">Common_InputFunctions.Utility_DisplayArrayInTable(Scope3_SourceData.Scope3_Feed_Data(), Table_SourceData_Scope3_Feed[[#Headers],[Category]], -1, 2)</f>
        <v>Hay</v>
      </c>
      <c r="E136" s="19" t="str" cm="1">
        <f t="array" ref="E136">Common_InputFunctions.Utility_DisplayArrayInTable(Scope3_SourceData.Scope3_Feed_Data(), Table_SourceData_Scope3_Feed[[#Headers],[Category]], -1, 2)</f>
        <v>Lucerne hay</v>
      </c>
      <c r="F136" s="19" t="str" cm="1">
        <f t="array" ref="F136">Common_InputFunctions.Utility_DisplayArrayInTable(Scope3_SourceData.Scope3_Feed_Data(), Table_SourceData_Scope3_Feed[[#Headers],[Category]], -1, 2)</f>
        <v>VIC</v>
      </c>
      <c r="G136" s="19" t="str" cm="1">
        <f t="array" ref="G136">Common_InputFunctions.Utility_DisplayArrayInTable(Scope3_SourceData.Scope3_Feed_Data(), Table_SourceData_Scope3_Feed[[#Headers],[Category]], -1, 2)</f>
        <v>kg</v>
      </c>
      <c r="H136" s="19" cm="1">
        <f t="array" ref="H136">Common_InputFunctions.Utility_DisplayArrayInTable(Scope3_SourceData.Scope3_Feed_Data(), Table_SourceData_Scope3_Feed[[#Headers],[Category]], -1, 2)</f>
        <v>0.106</v>
      </c>
      <c r="I136" s="19" t="str" cm="1">
        <f t="array" ref="I136">Common_InputFunctions.Utility_DisplayArrayInTable(Scope3_SourceData.Scope3_Feed_Data(), Table_SourceData_Scope3_Feed[[#Headers],[Category]], -1, 2)</f>
        <v>at market</v>
      </c>
      <c r="J136" s="19" t="s">
        <v>1169</v>
      </c>
      <c r="O136" s="19" t="str">
        <f>Table_SourceData_Scope3_Feed[[#This Row],[Product]]</f>
        <v>Lucerne hay</v>
      </c>
      <c r="P136" s="19" t="str">
        <f>Table_SourceData_Scope3_Feed[[#This Row],[Region of origin]]</f>
        <v>VIC</v>
      </c>
    </row>
    <row r="137" spans="4:17" ht="20.100000000000001" customHeight="1" x14ac:dyDescent="0.2">
      <c r="D137" s="19" t="str" cm="1">
        <f t="array" ref="D137">Common_InputFunctions.Utility_DisplayArrayInTable(Scope3_SourceData.Scope3_Feed_Data(), Table_SourceData_Scope3_Feed[[#Headers],[Category]], -1, 2)</f>
        <v>Hay</v>
      </c>
      <c r="E137" s="19" t="str" cm="1">
        <f t="array" ref="E137">Common_InputFunctions.Utility_DisplayArrayInTable(Scope3_SourceData.Scope3_Feed_Data(), Table_SourceData_Scope3_Feed[[#Headers],[Category]], -1, 2)</f>
        <v>Maize silage</v>
      </c>
      <c r="F137" s="19" t="str" cm="1">
        <f t="array" ref="F137">Common_InputFunctions.Utility_DisplayArrayInTable(Scope3_SourceData.Scope3_Feed_Data(), Table_SourceData_Scope3_Feed[[#Headers],[Category]], -1, 2)</f>
        <v>VIC</v>
      </c>
      <c r="G137" s="19" t="str" cm="1">
        <f t="array" ref="G137">Common_InputFunctions.Utility_DisplayArrayInTable(Scope3_SourceData.Scope3_Feed_Data(), Table_SourceData_Scope3_Feed[[#Headers],[Category]], -1, 2)</f>
        <v>kg</v>
      </c>
      <c r="H137" s="19" cm="1">
        <f t="array" ref="H137">Common_InputFunctions.Utility_DisplayArrayInTable(Scope3_SourceData.Scope3_Feed_Data(), Table_SourceData_Scope3_Feed[[#Headers],[Category]], -1, 2)</f>
        <v>0.16300000000000001</v>
      </c>
      <c r="I137" s="19" t="str" cm="1">
        <f t="array" ref="I137">Common_InputFunctions.Utility_DisplayArrayInTable(Scope3_SourceData.Scope3_Feed_Data(), Table_SourceData_Scope3_Feed[[#Headers],[Category]], -1, 2)</f>
        <v>at market</v>
      </c>
      <c r="J137" s="19" t="s">
        <v>1169</v>
      </c>
      <c r="L137" s="19" t="s">
        <v>132</v>
      </c>
      <c r="M137" s="19" t="s">
        <v>1167</v>
      </c>
      <c r="N137" s="1" t="str">
        <f>"Table_ProductRegions_" &amp; SUBSTITUTE(SUBSTITUTE(SUBSTITUTE(SUBSTITUTE(L138, " ", ""), ",", ""), "(", ""), ")", "")</f>
        <v>Table_ProductRegions_Oatenhay</v>
      </c>
      <c r="O137" s="19" t="str">
        <f>Table_SourceData_Scope3_Feed[[#This Row],[Product]]</f>
        <v>Maize silage</v>
      </c>
      <c r="P137" s="19" t="str">
        <f>Table_SourceData_Scope3_Feed[[#This Row],[Region of origin]]</f>
        <v>VIC</v>
      </c>
    </row>
    <row r="138" spans="4:17" ht="20.100000000000001" customHeight="1" x14ac:dyDescent="0.2">
      <c r="D138" s="19" t="str" cm="1">
        <f t="array" ref="D138">Common_InputFunctions.Utility_DisplayArrayInTable(Scope3_SourceData.Scope3_Feed_Data(), Table_SourceData_Scope3_Feed[[#Headers],[Category]], -1, 2)</f>
        <v>Hay</v>
      </c>
      <c r="E138" s="19" t="str" cm="1">
        <f t="array" ref="E138">Common_InputFunctions.Utility_DisplayArrayInTable(Scope3_SourceData.Scope3_Feed_Data(), Table_SourceData_Scope3_Feed[[#Headers],[Category]], -1, 2)</f>
        <v>Oaten hay</v>
      </c>
      <c r="F138" s="19" t="str" cm="1">
        <f t="array" ref="F138">Common_InputFunctions.Utility_DisplayArrayInTable(Scope3_SourceData.Scope3_Feed_Data(), Table_SourceData_Scope3_Feed[[#Headers],[Category]], -1, 2)</f>
        <v>Australia</v>
      </c>
      <c r="G138" s="19" t="str" cm="1">
        <f t="array" ref="G138">Common_InputFunctions.Utility_DisplayArrayInTable(Scope3_SourceData.Scope3_Feed_Data(), Table_SourceData_Scope3_Feed[[#Headers],[Category]], -1, 2)</f>
        <v>kg</v>
      </c>
      <c r="H138" s="19" cm="1">
        <f t="array" ref="H138">Common_InputFunctions.Utility_DisplayArrayInTable(Scope3_SourceData.Scope3_Feed_Data(), Table_SourceData_Scope3_Feed[[#Headers],[Category]], -1, 2)</f>
        <v>0.12</v>
      </c>
      <c r="I138" s="19" t="str" cm="1">
        <f t="array" ref="I138">Common_InputFunctions.Utility_DisplayArrayInTable(Scope3_SourceData.Scope3_Feed_Data(), Table_SourceData_Scope3_Feed[[#Headers],[Category]], -1, 2)</f>
        <v>at market</v>
      </c>
      <c r="J138" s="19" t="s">
        <v>1169</v>
      </c>
      <c r="L138" s="19" t="str">
        <f>Table_SourceData_Scope3_Feed[[#This Row],[Product]]</f>
        <v>Oaten hay</v>
      </c>
      <c r="M138" s="19" t="str">
        <f>Table_SourceData_Scope3_Feed[[#This Row],[Region of origin]]</f>
        <v>Australia</v>
      </c>
    </row>
    <row r="139" spans="4:17" ht="20.100000000000001" customHeight="1" x14ac:dyDescent="0.2">
      <c r="D139" s="19" t="str" cm="1">
        <f t="array" ref="D139">Common_InputFunctions.Utility_DisplayArrayInTable(Scope3_SourceData.Scope3_Feed_Data(), Table_SourceData_Scope3_Feed[[#Headers],[Category]], -1, 2)</f>
        <v>Hay</v>
      </c>
      <c r="E139" s="19" t="str" cm="1">
        <f t="array" ref="E139">Common_InputFunctions.Utility_DisplayArrayInTable(Scope3_SourceData.Scope3_Feed_Data(), Table_SourceData_Scope3_Feed[[#Headers],[Category]], -1, 2)</f>
        <v>Oaten hay</v>
      </c>
      <c r="F139" s="19" t="str" cm="1">
        <f t="array" ref="F139">Common_InputFunctions.Utility_DisplayArrayInTable(Scope3_SourceData.Scope3_Feed_Data(), Table_SourceData_Scope3_Feed[[#Headers],[Category]], -1, 2)</f>
        <v>NSW</v>
      </c>
      <c r="G139" s="19" t="str" cm="1">
        <f t="array" ref="G139">Common_InputFunctions.Utility_DisplayArrayInTable(Scope3_SourceData.Scope3_Feed_Data(), Table_SourceData_Scope3_Feed[[#Headers],[Category]], -1, 2)</f>
        <v>kg</v>
      </c>
      <c r="H139" s="19" cm="1">
        <f t="array" ref="H139">Common_InputFunctions.Utility_DisplayArrayInTable(Scope3_SourceData.Scope3_Feed_Data(), Table_SourceData_Scope3_Feed[[#Headers],[Category]], -1, 2)</f>
        <v>0.11899999999999999</v>
      </c>
      <c r="I139" s="19" t="str" cm="1">
        <f t="array" ref="I139">Common_InputFunctions.Utility_DisplayArrayInTable(Scope3_SourceData.Scope3_Feed_Data(), Table_SourceData_Scope3_Feed[[#Headers],[Category]], -1, 2)</f>
        <v>at market</v>
      </c>
      <c r="J139" s="19" t="s">
        <v>1169</v>
      </c>
      <c r="L139" s="19" t="str">
        <f>Table_SourceData_Scope3_Feed[[#This Row],[Product]]</f>
        <v>Oaten hay</v>
      </c>
      <c r="M139" s="19" t="str">
        <f>Table_SourceData_Scope3_Feed[[#This Row],[Region of origin]]</f>
        <v>NSW</v>
      </c>
    </row>
    <row r="140" spans="4:17" ht="20.100000000000001" customHeight="1" x14ac:dyDescent="0.2">
      <c r="D140" s="19" t="str" cm="1">
        <f t="array" ref="D140">Common_InputFunctions.Utility_DisplayArrayInTable(Scope3_SourceData.Scope3_Feed_Data(), Table_SourceData_Scope3_Feed[[#Headers],[Category]], -1, 2)</f>
        <v>Hay</v>
      </c>
      <c r="E140" s="19" t="str" cm="1">
        <f t="array" ref="E140">Common_InputFunctions.Utility_DisplayArrayInTable(Scope3_SourceData.Scope3_Feed_Data(), Table_SourceData_Scope3_Feed[[#Headers],[Category]], -1, 2)</f>
        <v>Oaten hay</v>
      </c>
      <c r="F140" s="19" t="str" cm="1">
        <f t="array" ref="F140">Common_InputFunctions.Utility_DisplayArrayInTable(Scope3_SourceData.Scope3_Feed_Data(), Table_SourceData_Scope3_Feed[[#Headers],[Category]], -1, 2)</f>
        <v>QLD</v>
      </c>
      <c r="G140" s="19" t="str" cm="1">
        <f t="array" ref="G140">Common_InputFunctions.Utility_DisplayArrayInTable(Scope3_SourceData.Scope3_Feed_Data(), Table_SourceData_Scope3_Feed[[#Headers],[Category]], -1, 2)</f>
        <v>kg</v>
      </c>
      <c r="H140" s="19" cm="1">
        <f t="array" ref="H140">Common_InputFunctions.Utility_DisplayArrayInTable(Scope3_SourceData.Scope3_Feed_Data(), Table_SourceData_Scope3_Feed[[#Headers],[Category]], -1, 2)</f>
        <v>0.11700000000000001</v>
      </c>
      <c r="I140" s="19" t="str" cm="1">
        <f t="array" ref="I140">Common_InputFunctions.Utility_DisplayArrayInTable(Scope3_SourceData.Scope3_Feed_Data(), Table_SourceData_Scope3_Feed[[#Headers],[Category]], -1, 2)</f>
        <v>at market</v>
      </c>
      <c r="J140" s="19" t="s">
        <v>1169</v>
      </c>
      <c r="L140" s="19" t="str">
        <f>Table_SourceData_Scope3_Feed[[#This Row],[Product]]</f>
        <v>Oaten hay</v>
      </c>
      <c r="M140" s="19" t="str">
        <f>Table_SourceData_Scope3_Feed[[#This Row],[Region of origin]]</f>
        <v>QLD</v>
      </c>
    </row>
    <row r="141" spans="4:17" ht="20.100000000000001" customHeight="1" x14ac:dyDescent="0.2">
      <c r="D141" s="19" t="str" cm="1">
        <f t="array" ref="D141">Common_InputFunctions.Utility_DisplayArrayInTable(Scope3_SourceData.Scope3_Feed_Data(), Table_SourceData_Scope3_Feed[[#Headers],[Category]], -1, 2)</f>
        <v>Hay</v>
      </c>
      <c r="E141" s="19" t="str" cm="1">
        <f t="array" ref="E141">Common_InputFunctions.Utility_DisplayArrayInTable(Scope3_SourceData.Scope3_Feed_Data(), Table_SourceData_Scope3_Feed[[#Headers],[Category]], -1, 2)</f>
        <v>Oaten hay</v>
      </c>
      <c r="F141" s="19" t="str" cm="1">
        <f t="array" ref="F141">Common_InputFunctions.Utility_DisplayArrayInTable(Scope3_SourceData.Scope3_Feed_Data(), Table_SourceData_Scope3_Feed[[#Headers],[Category]], -1, 2)</f>
        <v>SA</v>
      </c>
      <c r="G141" s="19" t="str" cm="1">
        <f t="array" ref="G141">Common_InputFunctions.Utility_DisplayArrayInTable(Scope3_SourceData.Scope3_Feed_Data(), Table_SourceData_Scope3_Feed[[#Headers],[Category]], -1, 2)</f>
        <v>kg</v>
      </c>
      <c r="H141" s="19" cm="1">
        <f t="array" ref="H141">Common_InputFunctions.Utility_DisplayArrayInTable(Scope3_SourceData.Scope3_Feed_Data(), Table_SourceData_Scope3_Feed[[#Headers],[Category]], -1, 2)</f>
        <v>0.114</v>
      </c>
      <c r="I141" s="19" t="str" cm="1">
        <f t="array" ref="I141">Common_InputFunctions.Utility_DisplayArrayInTable(Scope3_SourceData.Scope3_Feed_Data(), Table_SourceData_Scope3_Feed[[#Headers],[Category]], -1, 2)</f>
        <v>at market</v>
      </c>
      <c r="J141" s="19" t="s">
        <v>1169</v>
      </c>
      <c r="L141" s="19" t="str">
        <f>Table_SourceData_Scope3_Feed[[#This Row],[Product]]</f>
        <v>Oaten hay</v>
      </c>
      <c r="M141" s="19" t="str">
        <f>Table_SourceData_Scope3_Feed[[#This Row],[Region of origin]]</f>
        <v>SA</v>
      </c>
    </row>
    <row r="142" spans="4:17" ht="20.100000000000001" customHeight="1" x14ac:dyDescent="0.2">
      <c r="D142" s="19" t="str" cm="1">
        <f t="array" ref="D142">Common_InputFunctions.Utility_DisplayArrayInTable(Scope3_SourceData.Scope3_Feed_Data(), Table_SourceData_Scope3_Feed[[#Headers],[Category]], -1, 2)</f>
        <v>Hay</v>
      </c>
      <c r="E142" s="19" t="str" cm="1">
        <f t="array" ref="E142">Common_InputFunctions.Utility_DisplayArrayInTable(Scope3_SourceData.Scope3_Feed_Data(), Table_SourceData_Scope3_Feed[[#Headers],[Category]], -1, 2)</f>
        <v>Oaten hay</v>
      </c>
      <c r="F142" s="19" t="str" cm="1">
        <f t="array" ref="F142">Common_InputFunctions.Utility_DisplayArrayInTable(Scope3_SourceData.Scope3_Feed_Data(), Table_SourceData_Scope3_Feed[[#Headers],[Category]], -1, 2)</f>
        <v>VIC</v>
      </c>
      <c r="G142" s="19" t="str" cm="1">
        <f t="array" ref="G142">Common_InputFunctions.Utility_DisplayArrayInTable(Scope3_SourceData.Scope3_Feed_Data(), Table_SourceData_Scope3_Feed[[#Headers],[Category]], -1, 2)</f>
        <v>kg</v>
      </c>
      <c r="H142" s="19" cm="1">
        <f t="array" ref="H142">Common_InputFunctions.Utility_DisplayArrayInTable(Scope3_SourceData.Scope3_Feed_Data(), Table_SourceData_Scope3_Feed[[#Headers],[Category]], -1, 2)</f>
        <v>0.11799999999999999</v>
      </c>
      <c r="I142" s="19" t="str" cm="1">
        <f t="array" ref="I142">Common_InputFunctions.Utility_DisplayArrayInTable(Scope3_SourceData.Scope3_Feed_Data(), Table_SourceData_Scope3_Feed[[#Headers],[Category]], -1, 2)</f>
        <v>at market</v>
      </c>
      <c r="J142" s="19" t="s">
        <v>1169</v>
      </c>
      <c r="L142" s="19" t="str">
        <f>Table_SourceData_Scope3_Feed[[#This Row],[Product]]</f>
        <v>Oaten hay</v>
      </c>
      <c r="M142" s="19" t="str">
        <f>Table_SourceData_Scope3_Feed[[#This Row],[Region of origin]]</f>
        <v>VIC</v>
      </c>
    </row>
    <row r="143" spans="4:17" ht="20.100000000000001" customHeight="1" x14ac:dyDescent="0.2">
      <c r="D143" s="19" t="str" cm="1">
        <f t="array" ref="D143">Common_InputFunctions.Utility_DisplayArrayInTable(Scope3_SourceData.Scope3_Feed_Data(), Table_SourceData_Scope3_Feed[[#Headers],[Category]], -1, 2)</f>
        <v>Hay</v>
      </c>
      <c r="E143" s="19" t="str" cm="1">
        <f t="array" ref="E143">Common_InputFunctions.Utility_DisplayArrayInTable(Scope3_SourceData.Scope3_Feed_Data(), Table_SourceData_Scope3_Feed[[#Headers],[Category]], -1, 2)</f>
        <v>Oaten hay</v>
      </c>
      <c r="F143" s="19" t="str" cm="1">
        <f t="array" ref="F143">Common_InputFunctions.Utility_DisplayArrayInTable(Scope3_SourceData.Scope3_Feed_Data(), Table_SourceData_Scope3_Feed[[#Headers],[Category]], -1, 2)</f>
        <v>WA</v>
      </c>
      <c r="G143" s="19" t="str" cm="1">
        <f t="array" ref="G143">Common_InputFunctions.Utility_DisplayArrayInTable(Scope3_SourceData.Scope3_Feed_Data(), Table_SourceData_Scope3_Feed[[#Headers],[Category]], -1, 2)</f>
        <v>kg</v>
      </c>
      <c r="H143" s="19" cm="1">
        <f t="array" ref="H143">Common_InputFunctions.Utility_DisplayArrayInTable(Scope3_SourceData.Scope3_Feed_Data(), Table_SourceData_Scope3_Feed[[#Headers],[Category]], -1, 2)</f>
        <v>0.124</v>
      </c>
      <c r="I143" s="19" t="str" cm="1">
        <f t="array" ref="I143">Common_InputFunctions.Utility_DisplayArrayInTable(Scope3_SourceData.Scope3_Feed_Data(), Table_SourceData_Scope3_Feed[[#Headers],[Category]], -1, 2)</f>
        <v>at market</v>
      </c>
      <c r="J143" s="19" t="s">
        <v>1169</v>
      </c>
      <c r="L143" s="19" t="str">
        <f>Table_SourceData_Scope3_Feed[[#This Row],[Product]]</f>
        <v>Oaten hay</v>
      </c>
      <c r="M143" s="19" t="str">
        <f>Table_SourceData_Scope3_Feed[[#This Row],[Region of origin]]</f>
        <v>WA</v>
      </c>
      <c r="O143" s="19" t="s">
        <v>132</v>
      </c>
      <c r="P143" s="19" t="s">
        <v>1167</v>
      </c>
      <c r="Q143" s="1" t="str">
        <f>"Table_ProductRegions_" &amp; SUBSTITUTE(SUBSTITUTE(SUBSTITUTE(SUBSTITUTE(O144, " ", ""), ",", ""), "(", ""), ")", "")</f>
        <v>Table_ProductRegions_Pasturehay</v>
      </c>
    </row>
    <row r="144" spans="4:17" ht="20.100000000000001" customHeight="1" x14ac:dyDescent="0.2">
      <c r="D144" s="19" t="str" cm="1">
        <f t="array" ref="D144">Common_InputFunctions.Utility_DisplayArrayInTable(Scope3_SourceData.Scope3_Feed_Data(), Table_SourceData_Scope3_Feed[[#Headers],[Category]], -1, 2)</f>
        <v>Hay</v>
      </c>
      <c r="E144" s="19" t="str" cm="1">
        <f t="array" ref="E144">Common_InputFunctions.Utility_DisplayArrayInTable(Scope3_SourceData.Scope3_Feed_Data(), Table_SourceData_Scope3_Feed[[#Headers],[Category]], -1, 2)</f>
        <v>Pasture hay</v>
      </c>
      <c r="F144" s="19" t="str" cm="1">
        <f t="array" ref="F144">Common_InputFunctions.Utility_DisplayArrayInTable(Scope3_SourceData.Scope3_Feed_Data(), Table_SourceData_Scope3_Feed[[#Headers],[Category]], -1, 2)</f>
        <v>Australia</v>
      </c>
      <c r="G144" s="19" t="str" cm="1">
        <f t="array" ref="G144">Common_InputFunctions.Utility_DisplayArrayInTable(Scope3_SourceData.Scope3_Feed_Data(), Table_SourceData_Scope3_Feed[[#Headers],[Category]], -1, 2)</f>
        <v>kg</v>
      </c>
      <c r="H144" s="19" cm="1">
        <f t="array" ref="H144">Common_InputFunctions.Utility_DisplayArrayInTable(Scope3_SourceData.Scope3_Feed_Data(), Table_SourceData_Scope3_Feed[[#Headers],[Category]], -1, 2)</f>
        <v>0.33900000000000002</v>
      </c>
      <c r="I144" s="19" t="str" cm="1">
        <f t="array" ref="I144">Common_InputFunctions.Utility_DisplayArrayInTable(Scope3_SourceData.Scope3_Feed_Data(), Table_SourceData_Scope3_Feed[[#Headers],[Category]], -1, 2)</f>
        <v>at market</v>
      </c>
      <c r="J144" s="19" t="s">
        <v>1169</v>
      </c>
      <c r="O144" s="19" t="str">
        <f>Table_SourceData_Scope3_Feed[[#This Row],[Product]]</f>
        <v>Pasture hay</v>
      </c>
      <c r="P144" s="19" t="str">
        <f>Table_SourceData_Scope3_Feed[[#This Row],[Region of origin]]</f>
        <v>Australia</v>
      </c>
    </row>
    <row r="145" spans="1:17" ht="20.100000000000001" customHeight="1" x14ac:dyDescent="0.2">
      <c r="D145" s="19" t="str" cm="1">
        <f t="array" ref="D145">Common_InputFunctions.Utility_DisplayArrayInTable(Scope3_SourceData.Scope3_Feed_Data(), Table_SourceData_Scope3_Feed[[#Headers],[Category]], -1, 2)</f>
        <v>Hay</v>
      </c>
      <c r="E145" s="19" t="str" cm="1">
        <f t="array" ref="E145">Common_InputFunctions.Utility_DisplayArrayInTable(Scope3_SourceData.Scope3_Feed_Data(), Table_SourceData_Scope3_Feed[[#Headers],[Category]], -1, 2)</f>
        <v>Pasture hay</v>
      </c>
      <c r="F145" s="19" t="str" cm="1">
        <f t="array" ref="F145">Common_InputFunctions.Utility_DisplayArrayInTable(Scope3_SourceData.Scope3_Feed_Data(), Table_SourceData_Scope3_Feed[[#Headers],[Category]], -1, 2)</f>
        <v>NSW</v>
      </c>
      <c r="G145" s="19" t="str" cm="1">
        <f t="array" ref="G145">Common_InputFunctions.Utility_DisplayArrayInTable(Scope3_SourceData.Scope3_Feed_Data(), Table_SourceData_Scope3_Feed[[#Headers],[Category]], -1, 2)</f>
        <v>kg</v>
      </c>
      <c r="H145" s="19" cm="1">
        <f t="array" ref="H145">Common_InputFunctions.Utility_DisplayArrayInTable(Scope3_SourceData.Scope3_Feed_Data(), Table_SourceData_Scope3_Feed[[#Headers],[Category]], -1, 2)</f>
        <v>0.311</v>
      </c>
      <c r="I145" s="19" t="str" cm="1">
        <f t="array" ref="I145">Common_InputFunctions.Utility_DisplayArrayInTable(Scope3_SourceData.Scope3_Feed_Data(), Table_SourceData_Scope3_Feed[[#Headers],[Category]], -1, 2)</f>
        <v>at market</v>
      </c>
      <c r="J145" s="19" t="s">
        <v>1169</v>
      </c>
      <c r="O145" s="19" t="str">
        <f>Table_SourceData_Scope3_Feed[[#This Row],[Product]]</f>
        <v>Pasture hay</v>
      </c>
      <c r="P145" s="19" t="str">
        <f>Table_SourceData_Scope3_Feed[[#This Row],[Region of origin]]</f>
        <v>NSW</v>
      </c>
    </row>
    <row r="146" spans="1:17" ht="20.100000000000001" customHeight="1" x14ac:dyDescent="0.2">
      <c r="D146" s="19" t="str" cm="1">
        <f t="array" ref="D146">Common_InputFunctions.Utility_DisplayArrayInTable(Scope3_SourceData.Scope3_Feed_Data(), Table_SourceData_Scope3_Feed[[#Headers],[Category]], -1, 2)</f>
        <v>Hay</v>
      </c>
      <c r="E146" s="19" t="str" cm="1">
        <f t="array" ref="E146">Common_InputFunctions.Utility_DisplayArrayInTable(Scope3_SourceData.Scope3_Feed_Data(), Table_SourceData_Scope3_Feed[[#Headers],[Category]], -1, 2)</f>
        <v>Pasture hay</v>
      </c>
      <c r="F146" s="19" t="str" cm="1">
        <f t="array" ref="F146">Common_InputFunctions.Utility_DisplayArrayInTable(Scope3_SourceData.Scope3_Feed_Data(), Table_SourceData_Scope3_Feed[[#Headers],[Category]], -1, 2)</f>
        <v>QLD</v>
      </c>
      <c r="G146" s="19" t="str" cm="1">
        <f t="array" ref="G146">Common_InputFunctions.Utility_DisplayArrayInTable(Scope3_SourceData.Scope3_Feed_Data(), Table_SourceData_Scope3_Feed[[#Headers],[Category]], -1, 2)</f>
        <v>kg</v>
      </c>
      <c r="H146" s="19" cm="1">
        <f t="array" ref="H146">Common_InputFunctions.Utility_DisplayArrayInTable(Scope3_SourceData.Scope3_Feed_Data(), Table_SourceData_Scope3_Feed[[#Headers],[Category]], -1, 2)</f>
        <v>0.254</v>
      </c>
      <c r="I146" s="19" t="str" cm="1">
        <f t="array" ref="I146">Common_InputFunctions.Utility_DisplayArrayInTable(Scope3_SourceData.Scope3_Feed_Data(), Table_SourceData_Scope3_Feed[[#Headers],[Category]], -1, 2)</f>
        <v>at market</v>
      </c>
      <c r="J146" s="19" t="s">
        <v>1169</v>
      </c>
      <c r="O146" s="19" t="str">
        <f>Table_SourceData_Scope3_Feed[[#This Row],[Product]]</f>
        <v>Pasture hay</v>
      </c>
      <c r="P146" s="19" t="str">
        <f>Table_SourceData_Scope3_Feed[[#This Row],[Region of origin]]</f>
        <v>QLD</v>
      </c>
    </row>
    <row r="147" spans="1:17" ht="20.100000000000001" customHeight="1" x14ac:dyDescent="0.2">
      <c r="D147" s="19" t="str" cm="1">
        <f t="array" ref="D147">Common_InputFunctions.Utility_DisplayArrayInTable(Scope3_SourceData.Scope3_Feed_Data(), Table_SourceData_Scope3_Feed[[#Headers],[Category]], -1, 2)</f>
        <v>Hay</v>
      </c>
      <c r="E147" s="19" t="str" cm="1">
        <f t="array" ref="E147">Common_InputFunctions.Utility_DisplayArrayInTable(Scope3_SourceData.Scope3_Feed_Data(), Table_SourceData_Scope3_Feed[[#Headers],[Category]], -1, 2)</f>
        <v>Pasture hay</v>
      </c>
      <c r="F147" s="19" t="str" cm="1">
        <f t="array" ref="F147">Common_InputFunctions.Utility_DisplayArrayInTable(Scope3_SourceData.Scope3_Feed_Data(), Table_SourceData_Scope3_Feed[[#Headers],[Category]], -1, 2)</f>
        <v>SA</v>
      </c>
      <c r="G147" s="19" t="str" cm="1">
        <f t="array" ref="G147">Common_InputFunctions.Utility_DisplayArrayInTable(Scope3_SourceData.Scope3_Feed_Data(), Table_SourceData_Scope3_Feed[[#Headers],[Category]], -1, 2)</f>
        <v>kg</v>
      </c>
      <c r="H147" s="19" cm="1">
        <f t="array" ref="H147">Common_InputFunctions.Utility_DisplayArrayInTable(Scope3_SourceData.Scope3_Feed_Data(), Table_SourceData_Scope3_Feed[[#Headers],[Category]], -1, 2)</f>
        <v>0.313</v>
      </c>
      <c r="I147" s="19" t="str" cm="1">
        <f t="array" ref="I147">Common_InputFunctions.Utility_DisplayArrayInTable(Scope3_SourceData.Scope3_Feed_Data(), Table_SourceData_Scope3_Feed[[#Headers],[Category]], -1, 2)</f>
        <v>at market</v>
      </c>
      <c r="J147" s="19" t="s">
        <v>1169</v>
      </c>
      <c r="O147" s="19" t="str">
        <f>Table_SourceData_Scope3_Feed[[#This Row],[Product]]</f>
        <v>Pasture hay</v>
      </c>
      <c r="P147" s="19" t="str">
        <f>Table_SourceData_Scope3_Feed[[#This Row],[Region of origin]]</f>
        <v>SA</v>
      </c>
    </row>
    <row r="148" spans="1:17" ht="20.100000000000001" customHeight="1" x14ac:dyDescent="0.2">
      <c r="D148" s="19" t="str" cm="1">
        <f t="array" ref="D148">Common_InputFunctions.Utility_DisplayArrayInTable(Scope3_SourceData.Scope3_Feed_Data(), Table_SourceData_Scope3_Feed[[#Headers],[Category]], -1, 2)</f>
        <v>Hay</v>
      </c>
      <c r="E148" s="19" t="str" cm="1">
        <f t="array" ref="E148">Common_InputFunctions.Utility_DisplayArrayInTable(Scope3_SourceData.Scope3_Feed_Data(), Table_SourceData_Scope3_Feed[[#Headers],[Category]], -1, 2)</f>
        <v>Pasture hay</v>
      </c>
      <c r="F148" s="19" t="str" cm="1">
        <f t="array" ref="F148">Common_InputFunctions.Utility_DisplayArrayInTable(Scope3_SourceData.Scope3_Feed_Data(), Table_SourceData_Scope3_Feed[[#Headers],[Category]], -1, 2)</f>
        <v>TAS</v>
      </c>
      <c r="G148" s="19" t="str" cm="1">
        <f t="array" ref="G148">Common_InputFunctions.Utility_DisplayArrayInTable(Scope3_SourceData.Scope3_Feed_Data(), Table_SourceData_Scope3_Feed[[#Headers],[Category]], -1, 2)</f>
        <v>kg</v>
      </c>
      <c r="H148" s="19" cm="1">
        <f t="array" ref="H148">Common_InputFunctions.Utility_DisplayArrayInTable(Scope3_SourceData.Scope3_Feed_Data(), Table_SourceData_Scope3_Feed[[#Headers],[Category]], -1, 2)</f>
        <v>0.39800000000000002</v>
      </c>
      <c r="I148" s="19" t="str" cm="1">
        <f t="array" ref="I148">Common_InputFunctions.Utility_DisplayArrayInTable(Scope3_SourceData.Scope3_Feed_Data(), Table_SourceData_Scope3_Feed[[#Headers],[Category]], -1, 2)</f>
        <v>at market</v>
      </c>
      <c r="J148" s="19" t="s">
        <v>1169</v>
      </c>
      <c r="O148" s="19" t="str">
        <f>Table_SourceData_Scope3_Feed[[#This Row],[Product]]</f>
        <v>Pasture hay</v>
      </c>
      <c r="P148" s="19" t="str">
        <f>Table_SourceData_Scope3_Feed[[#This Row],[Region of origin]]</f>
        <v>TAS</v>
      </c>
    </row>
    <row r="149" spans="1:17" ht="20.100000000000001" customHeight="1" x14ac:dyDescent="0.2">
      <c r="D149" s="19" t="str" cm="1">
        <f t="array" ref="D149">Common_InputFunctions.Utility_DisplayArrayInTable(Scope3_SourceData.Scope3_Feed_Data(), Table_SourceData_Scope3_Feed[[#Headers],[Category]], -1, 2)</f>
        <v>Hay</v>
      </c>
      <c r="E149" s="19" t="str" cm="1">
        <f t="array" ref="E149">Common_InputFunctions.Utility_DisplayArrayInTable(Scope3_SourceData.Scope3_Feed_Data(), Table_SourceData_Scope3_Feed[[#Headers],[Category]], -1, 2)</f>
        <v>Pasture hay</v>
      </c>
      <c r="F149" s="19" t="str" cm="1">
        <f t="array" ref="F149">Common_InputFunctions.Utility_DisplayArrayInTable(Scope3_SourceData.Scope3_Feed_Data(), Table_SourceData_Scope3_Feed[[#Headers],[Category]], -1, 2)</f>
        <v>VIC</v>
      </c>
      <c r="G149" s="19" t="str" cm="1">
        <f t="array" ref="G149">Common_InputFunctions.Utility_DisplayArrayInTable(Scope3_SourceData.Scope3_Feed_Data(), Table_SourceData_Scope3_Feed[[#Headers],[Category]], -1, 2)</f>
        <v>kg</v>
      </c>
      <c r="H149" s="19" cm="1">
        <f t="array" ref="H149">Common_InputFunctions.Utility_DisplayArrayInTable(Scope3_SourceData.Scope3_Feed_Data(), Table_SourceData_Scope3_Feed[[#Headers],[Category]], -1, 2)</f>
        <v>0.34499999999999997</v>
      </c>
      <c r="I149" s="19" t="str" cm="1">
        <f t="array" ref="I149">Common_InputFunctions.Utility_DisplayArrayInTable(Scope3_SourceData.Scope3_Feed_Data(), Table_SourceData_Scope3_Feed[[#Headers],[Category]], -1, 2)</f>
        <v>at market</v>
      </c>
      <c r="J149" s="19" t="s">
        <v>1169</v>
      </c>
      <c r="O149" s="19" t="str">
        <f>Table_SourceData_Scope3_Feed[[#This Row],[Product]]</f>
        <v>Pasture hay</v>
      </c>
      <c r="P149" s="19" t="str">
        <f>Table_SourceData_Scope3_Feed[[#This Row],[Region of origin]]</f>
        <v>VIC</v>
      </c>
    </row>
    <row r="150" spans="1:17" ht="20.100000000000001" customHeight="1" x14ac:dyDescent="0.2">
      <c r="D150" s="19" t="str" cm="1">
        <f t="array" ref="D150">Common_InputFunctions.Utility_DisplayArrayInTable(Scope3_SourceData.Scope3_Feed_Data(), Table_SourceData_Scope3_Feed[[#Headers],[Category]], -1, 2)</f>
        <v>Hay</v>
      </c>
      <c r="E150" s="19" t="str" cm="1">
        <f t="array" ref="E150">Common_InputFunctions.Utility_DisplayArrayInTable(Scope3_SourceData.Scope3_Feed_Data(), Table_SourceData_Scope3_Feed[[#Headers],[Category]], -1, 2)</f>
        <v>Pasture hay</v>
      </c>
      <c r="F150" s="19" t="str" cm="1">
        <f t="array" ref="F150">Common_InputFunctions.Utility_DisplayArrayInTable(Scope3_SourceData.Scope3_Feed_Data(), Table_SourceData_Scope3_Feed[[#Headers],[Category]], -1, 2)</f>
        <v>WA</v>
      </c>
      <c r="G150" s="19" t="str" cm="1">
        <f t="array" ref="G150">Common_InputFunctions.Utility_DisplayArrayInTable(Scope3_SourceData.Scope3_Feed_Data(), Table_SourceData_Scope3_Feed[[#Headers],[Category]], -1, 2)</f>
        <v>kg</v>
      </c>
      <c r="H150" s="19" cm="1">
        <f t="array" ref="H150">Common_InputFunctions.Utility_DisplayArrayInTable(Scope3_SourceData.Scope3_Feed_Data(), Table_SourceData_Scope3_Feed[[#Headers],[Category]], -1, 2)</f>
        <v>0.36799999999999999</v>
      </c>
      <c r="I150" s="19" t="str" cm="1">
        <f t="array" ref="I150">Common_InputFunctions.Utility_DisplayArrayInTable(Scope3_SourceData.Scope3_Feed_Data(), Table_SourceData_Scope3_Feed[[#Headers],[Category]], -1, 2)</f>
        <v>at market</v>
      </c>
      <c r="J150" s="19" t="s">
        <v>1169</v>
      </c>
      <c r="L150" s="237" t="s">
        <v>132</v>
      </c>
      <c r="M150" s="237" t="s">
        <v>1167</v>
      </c>
      <c r="N150" s="1" t="str">
        <f>"Table_ProductRegions_" &amp; SUBSTITUTE(SUBSTITUTE(SUBSTITUTE(SUBSTITUTE(L151, " ", ""), ",", ""), "(", ""), ")", "")</f>
        <v>Table_ProductRegions_Canolameal</v>
      </c>
      <c r="O150" s="19" t="str">
        <f>Table_SourceData_Scope3_Feed[[#This Row],[Product]]</f>
        <v>Pasture hay</v>
      </c>
      <c r="P150" s="19" t="str">
        <f>Table_SourceData_Scope3_Feed[[#This Row],[Region of origin]]</f>
        <v>WA</v>
      </c>
    </row>
    <row r="151" spans="1:17" ht="20.100000000000001" customHeight="1" x14ac:dyDescent="0.2">
      <c r="D151" s="19" t="str" cm="1">
        <f t="array" ref="D151">Common_InputFunctions.Utility_DisplayArrayInTable(Scope3_SourceData.Scope3_Feed_Data(), Table_SourceData_Scope3_Feed[[#Headers],[Category]], -1, 2)</f>
        <v>Meal</v>
      </c>
      <c r="E151" s="19" t="str" cm="1">
        <f t="array" ref="E151">Common_InputFunctions.Utility_DisplayArrayInTable(Scope3_SourceData.Scope3_Feed_Data(), Table_SourceData_Scope3_Feed[[#Headers],[Category]], -1, 2)</f>
        <v>Canola meal</v>
      </c>
      <c r="F151" s="19" t="str" cm="1">
        <f t="array" ref="F151">Common_InputFunctions.Utility_DisplayArrayInTable(Scope3_SourceData.Scope3_Feed_Data(), Table_SourceData_Scope3_Feed[[#Headers],[Category]], -1, 2)</f>
        <v>Australia</v>
      </c>
      <c r="G151" s="19" t="str" cm="1">
        <f t="array" ref="G151">Common_InputFunctions.Utility_DisplayArrayInTable(Scope3_SourceData.Scope3_Feed_Data(), Table_SourceData_Scope3_Feed[[#Headers],[Category]], -1, 2)</f>
        <v>kg</v>
      </c>
      <c r="H151" s="19" cm="1">
        <f t="array" ref="H151">Common_InputFunctions.Utility_DisplayArrayInTable(Scope3_SourceData.Scope3_Feed_Data(), Table_SourceData_Scope3_Feed[[#Headers],[Category]], -1, 2)</f>
        <v>0.24399999999999999</v>
      </c>
      <c r="I151" s="19" t="str" cm="1">
        <f t="array" ref="I151">Common_InputFunctions.Utility_DisplayArrayInTable(Scope3_SourceData.Scope3_Feed_Data(), Table_SourceData_Scope3_Feed[[#Headers],[Category]], -1, 2)</f>
        <v>at market</v>
      </c>
      <c r="J151" s="19" t="s">
        <v>1169</v>
      </c>
      <c r="L151" s="1" t="str">
        <f>Table_SourceData_Scope3_Feed[[#This Row],[Product]]</f>
        <v>Canola meal</v>
      </c>
      <c r="M151" s="1" t="str">
        <f>Table_SourceData_Scope3_Feed[[#This Row],[Region of origin]]</f>
        <v>Australia</v>
      </c>
      <c r="O151" s="19" t="s">
        <v>132</v>
      </c>
      <c r="P151" s="19" t="s">
        <v>1167</v>
      </c>
      <c r="Q151" s="1" t="str">
        <f>"Table_ProductRegions_" &amp; SUBSTITUTE(SUBSTITUTE(SUBSTITUTE(SUBSTITUTE(O152, " ", ""), ",", ""), "(", ""), ")", "")</f>
        <v>Table_ProductRegions_Meatmeal</v>
      </c>
    </row>
    <row r="152" spans="1:17" ht="20.100000000000001" customHeight="1" x14ac:dyDescent="0.2">
      <c r="D152" s="19" t="str" cm="1">
        <f t="array" ref="D152">Common_InputFunctions.Utility_DisplayArrayInTable(Scope3_SourceData.Scope3_Feed_Data(), Table_SourceData_Scope3_Feed[[#Headers],[Category]], -1, 2)</f>
        <v>Meal</v>
      </c>
      <c r="E152" s="19" t="str" cm="1">
        <f t="array" ref="E152">Common_InputFunctions.Utility_DisplayArrayInTable(Scope3_SourceData.Scope3_Feed_Data(), Table_SourceData_Scope3_Feed[[#Headers],[Category]], -1, 2)</f>
        <v>Meat meal</v>
      </c>
      <c r="F152" s="19" t="str" cm="1">
        <f t="array" ref="F152">Common_InputFunctions.Utility_DisplayArrayInTable(Scope3_SourceData.Scope3_Feed_Data(), Table_SourceData_Scope3_Feed[[#Headers],[Category]], -1, 2)</f>
        <v>Australia</v>
      </c>
      <c r="G152" s="19" t="str" cm="1">
        <f t="array" ref="G152">Common_InputFunctions.Utility_DisplayArrayInTable(Scope3_SourceData.Scope3_Feed_Data(), Table_SourceData_Scope3_Feed[[#Headers],[Category]], -1, 2)</f>
        <v>kg</v>
      </c>
      <c r="H152" s="19" cm="1">
        <f t="array" ref="H152">Common_InputFunctions.Utility_DisplayArrayInTable(Scope3_SourceData.Scope3_Feed_Data(), Table_SourceData_Scope3_Feed[[#Headers],[Category]], -1, 2)</f>
        <v>0.40799999999999997</v>
      </c>
      <c r="I152" s="19" t="str" cm="1">
        <f t="array" ref="I152">Common_InputFunctions.Utility_DisplayArrayInTable(Scope3_SourceData.Scope3_Feed_Data(), Table_SourceData_Scope3_Feed[[#Headers],[Category]], -1, 2)</f>
        <v>at market</v>
      </c>
      <c r="J152" s="19" t="s">
        <v>1169</v>
      </c>
      <c r="L152" s="19" t="s">
        <v>132</v>
      </c>
      <c r="M152" s="19" t="s">
        <v>1167</v>
      </c>
      <c r="N152" s="1" t="str">
        <f>"Table_ProductRegions_" &amp; SUBSTITUTE(SUBSTITUTE(SUBSTITUTE(SUBSTITUTE(L153, " ", ""), ",", ""), "(", ""), ")", "")</f>
        <v>Table_ProductRegions_Soybeanmeal</v>
      </c>
      <c r="O152" s="19" t="str">
        <f>Table_SourceData_Scope3_Feed[[#This Row],[Product]]</f>
        <v>Meat meal</v>
      </c>
      <c r="P152" s="19" t="str">
        <f>Table_SourceData_Scope3_Feed[[#This Row],[Region of origin]]</f>
        <v>Australia</v>
      </c>
    </row>
    <row r="153" spans="1:17" ht="20.100000000000001" customHeight="1" x14ac:dyDescent="0.2">
      <c r="D153" s="19" t="str" cm="1">
        <f t="array" ref="D153">Common_InputFunctions.Utility_DisplayArrayInTable(Scope3_SourceData.Scope3_Feed_Data(), Table_SourceData_Scope3_Feed[[#Headers],[Category]], -1, 2)</f>
        <v>Meal</v>
      </c>
      <c r="E153" s="19" t="str" cm="1">
        <f t="array" ref="E153">Common_InputFunctions.Utility_DisplayArrayInTable(Scope3_SourceData.Scope3_Feed_Data(), Table_SourceData_Scope3_Feed[[#Headers],[Category]], -1, 2)</f>
        <v>Soybean meal</v>
      </c>
      <c r="F153" s="19" t="str" cm="1">
        <f t="array" ref="F153">Common_InputFunctions.Utility_DisplayArrayInTable(Scope3_SourceData.Scope3_Feed_Data(), Table_SourceData_Scope3_Feed[[#Headers],[Category]], -1, 2)</f>
        <v>Brazil</v>
      </c>
      <c r="G153" s="19" t="str" cm="1">
        <f t="array" ref="G153">Common_InputFunctions.Utility_DisplayArrayInTable(Scope3_SourceData.Scope3_Feed_Data(), Table_SourceData_Scope3_Feed[[#Headers],[Category]], -1, 2)</f>
        <v>kg</v>
      </c>
      <c r="H153" s="19" cm="1">
        <f t="array" ref="H153">Common_InputFunctions.Utility_DisplayArrayInTable(Scope3_SourceData.Scope3_Feed_Data(), Table_SourceData_Scope3_Feed[[#Headers],[Category]], -1, 2)</f>
        <v>0.42599999999999999</v>
      </c>
      <c r="I153" s="19" t="str" cm="1">
        <f t="array" ref="I153">Common_InputFunctions.Utility_DisplayArrayInTable(Scope3_SourceData.Scope3_Feed_Data(), Table_SourceData_Scope3_Feed[[#Headers],[Category]], -1, 2)</f>
        <v>at market</v>
      </c>
      <c r="J153" s="19" t="s">
        <v>1169</v>
      </c>
      <c r="L153" s="19" t="str">
        <f>Table_SourceData_Scope3_Feed[[#This Row],[Product]]</f>
        <v>Soybean meal</v>
      </c>
      <c r="M153" s="19" t="str">
        <f>Table_SourceData_Scope3_Feed[[#This Row],[Region of origin]]</f>
        <v>Brazil</v>
      </c>
      <c r="O153" s="19" t="s">
        <v>132</v>
      </c>
      <c r="P153" s="19" t="s">
        <v>1167</v>
      </c>
      <c r="Q153" s="1" t="str">
        <f>"Table_ProductRegions_" &amp; SUBSTITUTE(SUBSTITUTE(SUBSTITUTE(SUBSTITUTE(O154, " ", ""), ",", ""), "(", ""), ")", "")</f>
        <v>Table_ProductRegions_Wheatbran</v>
      </c>
    </row>
    <row r="154" spans="1:17" ht="20.100000000000001" customHeight="1" x14ac:dyDescent="0.2">
      <c r="D154" s="19" t="str" cm="1">
        <f t="array" ref="D154">Common_InputFunctions.Utility_DisplayArrayInTable(Scope3_SourceData.Scope3_Feed_Data(), Table_SourceData_Scope3_Feed[[#Headers],[Category]], -1, 2)</f>
        <v>Meal</v>
      </c>
      <c r="E154" s="19" t="str" cm="1">
        <f t="array" ref="E154">Common_InputFunctions.Utility_DisplayArrayInTable(Scope3_SourceData.Scope3_Feed_Data(), Table_SourceData_Scope3_Feed[[#Headers],[Category]], -1, 2)</f>
        <v>Wheat bran</v>
      </c>
      <c r="F154" s="19" t="str" cm="1">
        <f t="array" ref="F154">Common_InputFunctions.Utility_DisplayArrayInTable(Scope3_SourceData.Scope3_Feed_Data(), Table_SourceData_Scope3_Feed[[#Headers],[Category]], -1, 2)</f>
        <v>Australia</v>
      </c>
      <c r="G154" s="19" t="str" cm="1">
        <f t="array" ref="G154">Common_InputFunctions.Utility_DisplayArrayInTable(Scope3_SourceData.Scope3_Feed_Data(), Table_SourceData_Scope3_Feed[[#Headers],[Category]], -1, 2)</f>
        <v>kg</v>
      </c>
      <c r="H154" s="19" cm="1">
        <f t="array" ref="H154">Common_InputFunctions.Utility_DisplayArrayInTable(Scope3_SourceData.Scope3_Feed_Data(), Table_SourceData_Scope3_Feed[[#Headers],[Category]], -1, 2)</f>
        <v>0.19600000000000001</v>
      </c>
      <c r="I154" s="19" t="str" cm="1">
        <f t="array" ref="I154">Common_InputFunctions.Utility_DisplayArrayInTable(Scope3_SourceData.Scope3_Feed_Data(), Table_SourceData_Scope3_Feed[[#Headers],[Category]], -1, 2)</f>
        <v>at market</v>
      </c>
      <c r="J154" s="19" t="s">
        <v>1169</v>
      </c>
      <c r="L154" s="19" t="s">
        <v>132</v>
      </c>
      <c r="M154" s="19" t="s">
        <v>1167</v>
      </c>
      <c r="N154" s="1" t="str">
        <f>"Table_ProductRegions_" &amp; SUBSTITUTE(SUBSTITUTE(SUBSTITUTE(SUBSTITUTE(L155, " ", ""), ",", ""), "(", ""), ")", "")</f>
        <v>Table_ProductRegions_Bentonite</v>
      </c>
      <c r="O154" s="19" t="str">
        <f>Table_SourceData_Scope3_Feed[[#This Row],[Product]]</f>
        <v>Wheat bran</v>
      </c>
      <c r="P154" s="19" t="str">
        <f>Table_SourceData_Scope3_Feed[[#This Row],[Region of origin]]</f>
        <v>Australia</v>
      </c>
    </row>
    <row r="155" spans="1:17" ht="20.100000000000001" customHeight="1" x14ac:dyDescent="0.2">
      <c r="D155" s="1" t="str" cm="1">
        <f t="array" ref="D155">Common_InputFunctions.Utility_DisplayArrayInTable(Scope3_SourceData.Scope3_Feed_Data(), Table_SourceData_Scope3_Feed[[#Headers],[Category]], -5, 2)</f>
        <v>Other</v>
      </c>
      <c r="E155" s="1" t="str" cm="1">
        <f t="array" ref="E155">Common_InputFunctions.Utility_DisplayArrayInTable(Scope3_SourceData.Scope3_Feed_Data(), Table_SourceData_Scope3_Feed[[#Headers],[Category]], -5, 2)</f>
        <v>Bentonite</v>
      </c>
      <c r="F155" s="1" t="str" cm="1">
        <f t="array" ref="F155">Common_InputFunctions.Utility_DisplayArrayInTable(Scope3_SourceData.Scope3_Feed_Data(), Table_SourceData_Scope3_Feed[[#Headers],[Category]], -5, 2)</f>
        <v>Australia</v>
      </c>
      <c r="G155" s="1" t="str" cm="1">
        <f t="array" ref="G155">Common_InputFunctions.Utility_DisplayArrayInTable(Scope3_SourceData.Scope3_Feed_Data(), Table_SourceData_Scope3_Feed[[#Headers],[Category]], -5, 2)</f>
        <v>kg</v>
      </c>
      <c r="H155" s="1" cm="1">
        <f t="array" ref="H155">Common_InputFunctions.Utility_DisplayArrayInTable(Scope3_SourceData.Scope3_Feed_Data(), Table_SourceData_Scope3_Feed[[#Headers],[Category]], -5, 2)</f>
        <v>6.5199999999999994E-2</v>
      </c>
      <c r="I155" s="1" t="str" cm="1">
        <f t="array" ref="I155">Common_InputFunctions.Utility_DisplayArrayInTable(Scope3_SourceData.Scope3_Feed_Data(), Table_SourceData_Scope3_Feed[[#Headers],[Category]], -5, 2)</f>
        <v>at market</v>
      </c>
      <c r="J155" s="19" t="s">
        <v>1169</v>
      </c>
      <c r="L155" s="19" t="str">
        <f>Table_SourceData_Scope3_Feed[[#This Row],[Product]]</f>
        <v>Bentonite</v>
      </c>
      <c r="M155" s="19" t="str">
        <f>Table_SourceData_Scope3_Feed[[#This Row],[Region of origin]]</f>
        <v>Australia</v>
      </c>
      <c r="O155" s="19" t="s">
        <v>132</v>
      </c>
      <c r="P155" s="19" t="s">
        <v>1167</v>
      </c>
      <c r="Q155" s="1" t="str">
        <f>"Table_ProductRegions_" &amp; SUBSTITUTE(SUBSTITUTE(SUBSTITUTE(SUBSTITUTE(O156, " ", ""), ",", ""), "(", ""), ")", "")</f>
        <v>Table_ProductRegions_Canolaoil</v>
      </c>
    </row>
    <row r="156" spans="1:17" ht="20.100000000000001" customHeight="1" x14ac:dyDescent="0.2">
      <c r="D156" s="1" t="str" cm="1">
        <f t="array" ref="D156">Common_InputFunctions.Utility_DisplayArrayInTable(Scope3_SourceData.Scope3_Feed_Data(), Table_SourceData_Scope3_Feed[[#Headers],[Category]], -5, 2)</f>
        <v>Other</v>
      </c>
      <c r="E156" s="1" t="str" cm="1">
        <f t="array" ref="E156">Common_InputFunctions.Utility_DisplayArrayInTable(Scope3_SourceData.Scope3_Feed_Data(), Table_SourceData_Scope3_Feed[[#Headers],[Category]], -5, 2)</f>
        <v>Canola oil</v>
      </c>
      <c r="F156" s="1" t="str" cm="1">
        <f t="array" ref="F156">Common_InputFunctions.Utility_DisplayArrayInTable(Scope3_SourceData.Scope3_Feed_Data(), Table_SourceData_Scope3_Feed[[#Headers],[Category]], -5, 2)</f>
        <v>Australia</v>
      </c>
      <c r="G156" s="1" t="str" cm="1">
        <f t="array" ref="G156">Common_InputFunctions.Utility_DisplayArrayInTable(Scope3_SourceData.Scope3_Feed_Data(), Table_SourceData_Scope3_Feed[[#Headers],[Category]], -5, 2)</f>
        <v>kg</v>
      </c>
      <c r="H156" s="1" cm="1">
        <f t="array" ref="H156">Common_InputFunctions.Utility_DisplayArrayInTable(Scope3_SourceData.Scope3_Feed_Data(), Table_SourceData_Scope3_Feed[[#Headers],[Category]], -5, 2)</f>
        <v>0.87</v>
      </c>
      <c r="I156" s="1" t="str" cm="1">
        <f t="array" ref="I156">Common_InputFunctions.Utility_DisplayArrayInTable(Scope3_SourceData.Scope3_Feed_Data(), Table_SourceData_Scope3_Feed[[#Headers],[Category]], -5, 2)</f>
        <v>at market</v>
      </c>
      <c r="J156" s="19" t="s">
        <v>1169</v>
      </c>
      <c r="L156" s="19" t="s">
        <v>132</v>
      </c>
      <c r="M156" s="19" t="s">
        <v>1167</v>
      </c>
      <c r="N156" s="1" t="str">
        <f>"Table_ProductRegions_" &amp; SUBSTITUTE(SUBSTITUTE(SUBSTITUTE(SUBSTITUTE(L157, " ", ""), ",", ""), "(", ""), ")", "")</f>
        <v>Table_ProductRegions_Cottonseed</v>
      </c>
      <c r="O156" s="19" t="str">
        <f>Table_SourceData_Scope3_Feed[[#This Row],[Product]]</f>
        <v>Canola oil</v>
      </c>
      <c r="P156" s="19" t="str">
        <f>Table_SourceData_Scope3_Feed[[#This Row],[Region of origin]]</f>
        <v>Australia</v>
      </c>
    </row>
    <row r="157" spans="1:17" ht="20.100000000000001" customHeight="1" x14ac:dyDescent="0.2">
      <c r="D157" s="1" t="str" cm="1">
        <f t="array" ref="D157">Common_InputFunctions.Utility_DisplayArrayInTable(Scope3_SourceData.Scope3_Feed_Data(), Table_SourceData_Scope3_Feed[[#Headers],[Category]], -5, 2)</f>
        <v>Other</v>
      </c>
      <c r="E157" s="1" t="str" cm="1">
        <f t="array" ref="E157">Common_InputFunctions.Utility_DisplayArrayInTable(Scope3_SourceData.Scope3_Feed_Data(), Table_SourceData_Scope3_Feed[[#Headers],[Category]], -5, 2)</f>
        <v>Cotton seed</v>
      </c>
      <c r="F157" s="1" t="str" cm="1">
        <f t="array" ref="F157">Common_InputFunctions.Utility_DisplayArrayInTable(Scope3_SourceData.Scope3_Feed_Data(), Table_SourceData_Scope3_Feed[[#Headers],[Category]], -5, 2)</f>
        <v>Australia</v>
      </c>
      <c r="G157" s="1" t="str" cm="1">
        <f t="array" ref="G157">Common_InputFunctions.Utility_DisplayArrayInTable(Scope3_SourceData.Scope3_Feed_Data(), Table_SourceData_Scope3_Feed[[#Headers],[Category]], -5, 2)</f>
        <v>kg</v>
      </c>
      <c r="H157" s="1" cm="1">
        <f t="array" ref="H157">Common_InputFunctions.Utility_DisplayArrayInTable(Scope3_SourceData.Scope3_Feed_Data(), Table_SourceData_Scope3_Feed[[#Headers],[Category]], -5, 2)</f>
        <v>0.19700000000000001</v>
      </c>
      <c r="I157" s="1" t="str" cm="1">
        <f t="array" ref="I157">Common_InputFunctions.Utility_DisplayArrayInTable(Scope3_SourceData.Scope3_Feed_Data(), Table_SourceData_Scope3_Feed[[#Headers],[Category]], -5, 2)</f>
        <v>at market</v>
      </c>
      <c r="J157" s="19" t="s">
        <v>1169</v>
      </c>
      <c r="L157" s="19" t="str">
        <f>Table_SourceData_Scope3_Feed[[#This Row],[Product]]</f>
        <v>Cotton seed</v>
      </c>
      <c r="M157" s="19" t="str">
        <f>Table_SourceData_Scope3_Feed[[#This Row],[Region of origin]]</f>
        <v>Australia</v>
      </c>
      <c r="O157" s="19" t="s">
        <v>132</v>
      </c>
      <c r="P157" s="19" t="s">
        <v>1167</v>
      </c>
      <c r="Q157" s="1" t="str">
        <f>"Table_ProductRegions_" &amp; SUBSTITUTE(SUBSTITUTE(SUBSTITUTE(SUBSTITUTE(O158, " ", ""), ",", ""), "(", ""), ")", "")</f>
        <v>Table_ProductRegions_Molasses</v>
      </c>
    </row>
    <row r="158" spans="1:17" ht="20.100000000000001" customHeight="1" x14ac:dyDescent="0.2">
      <c r="A158" s="79" t="str">
        <f>HYPERLINK("#A1", "▲ Back to top")</f>
        <v>▲ Back to top</v>
      </c>
      <c r="D158" s="19" t="str" cm="1">
        <f t="array" ref="D158">Common_InputFunctions.Utility_DisplayArrayInTable(Scope3_SourceData.Scope3_Feed_Data(), Table_SourceData_Scope3_Feed[[#Headers],[Category]], -8, 2)</f>
        <v>Other</v>
      </c>
      <c r="E158" s="19" t="str" cm="1">
        <f t="array" ref="E158">Common_InputFunctions.Utility_DisplayArrayInTable(Scope3_SourceData.Scope3_Feed_Data(), Table_SourceData_Scope3_Feed[[#Headers],[Category]], -8, 2)</f>
        <v>Molasses</v>
      </c>
      <c r="F158" s="19" t="str" cm="1">
        <f t="array" ref="F158">Common_InputFunctions.Utility_DisplayArrayInTable(Scope3_SourceData.Scope3_Feed_Data(), Table_SourceData_Scope3_Feed[[#Headers],[Category]], -8, 2)</f>
        <v>QLD</v>
      </c>
      <c r="G158" s="19" t="str" cm="1">
        <f t="array" ref="G158">Common_InputFunctions.Utility_DisplayArrayInTable(Scope3_SourceData.Scope3_Feed_Data(), Table_SourceData_Scope3_Feed[[#Headers],[Category]], -8, 2)</f>
        <v>kg</v>
      </c>
      <c r="H158" s="19" cm="1">
        <f t="array" ref="H158">Common_InputFunctions.Utility_DisplayArrayInTable(Scope3_SourceData.Scope3_Feed_Data(), Table_SourceData_Scope3_Feed[[#Headers],[Category]], -8, 2)</f>
        <v>0.184</v>
      </c>
      <c r="I158" s="19" t="str" cm="1">
        <f t="array" ref="I158">Common_InputFunctions.Utility_DisplayArrayInTable(Scope3_SourceData.Scope3_Feed_Data(), Table_SourceData_Scope3_Feed[[#Headers],[Category]], -8, 2)</f>
        <v>at market</v>
      </c>
      <c r="J158" s="19"/>
      <c r="O158" s="19" t="str">
        <f>Table_SourceData_Scope3_Feed[[#This Row],[Product]]</f>
        <v>Molasses</v>
      </c>
      <c r="P158" s="19" t="str">
        <f>Table_SourceData_Scope3_Feed[[#This Row],[Region of origin]]</f>
        <v>QLD</v>
      </c>
    </row>
    <row r="161" spans="4:14" ht="20.100000000000001" customHeight="1" x14ac:dyDescent="0.2">
      <c r="D161" s="19" t="s">
        <v>1162</v>
      </c>
      <c r="E161" s="19" t="s">
        <v>132</v>
      </c>
      <c r="F161" s="19" t="s">
        <v>1163</v>
      </c>
      <c r="G161" s="19" t="s">
        <v>1164</v>
      </c>
      <c r="H161" s="19" t="s">
        <v>1165</v>
      </c>
      <c r="I161" s="19" t="s">
        <v>1166</v>
      </c>
      <c r="J161" s="19" t="s">
        <v>570</v>
      </c>
    </row>
    <row r="162" spans="4:14" ht="20.100000000000001" customHeight="1" x14ac:dyDescent="0.2">
      <c r="D162" s="19" t="str" cm="1">
        <f t="array" ref="D162">Common_InputFunctions.Utility_DisplayArrayInTable(Scope3_SourceData.Scope3_Feed_Data(), Table_SourceData_Scope3_MixedRations[[#Headers],[Category]], -66, 2)</f>
        <v>Mixed rations</v>
      </c>
      <c r="E162" s="19" t="str" cm="1">
        <f t="array" ref="E162">Common_InputFunctions.Utility_DisplayArrayInTable(Scope3_SourceData.Scope3_Feed_Data(), Table_SourceData_Scope3_MixedRations[[#Headers],[Category]], -66, 2)</f>
        <v>Feed for chickens</v>
      </c>
      <c r="F162" s="19" t="str" cm="1">
        <f t="array" ref="F162">Common_InputFunctions.Utility_DisplayArrayInTable(Scope3_SourceData.Scope3_Feed_Data(), Table_SourceData_Scope3_MixedRations[[#Headers],[Category]], -66, 2)</f>
        <v>Australia</v>
      </c>
      <c r="G162" s="19" t="str" cm="1">
        <f t="array" ref="G162">Common_InputFunctions.Utility_DisplayArrayInTable(Scope3_SourceData.Scope3_Feed_Data(), Table_SourceData_Scope3_MixedRations[[#Headers],[Category]], -66, 2)</f>
        <v>kg</v>
      </c>
      <c r="H162" s="19" cm="1">
        <f t="array" ref="H162">Common_InputFunctions.Utility_DisplayArrayInTable(Scope3_SourceData.Scope3_Feed_Data(), Table_SourceData_Scope3_MixedRations[[#Headers],[Category]], -66, 2)</f>
        <v>0.59399999999999997</v>
      </c>
      <c r="I162" s="19" t="str" cm="1">
        <f t="array" ref="I162">Common_InputFunctions.Utility_DisplayArrayInTable(Scope3_SourceData.Scope3_Feed_Data(), Table_SourceData_Scope3_MixedRations[[#Headers],[Category]], -66, 2)</f>
        <v>at market</v>
      </c>
      <c r="J162" s="19" t="s">
        <v>1169</v>
      </c>
    </row>
    <row r="163" spans="4:14" ht="20.100000000000001" customHeight="1" x14ac:dyDescent="0.2">
      <c r="D163" s="19" t="str" cm="1">
        <f t="array" ref="D163">Common_InputFunctions.Utility_DisplayArrayInTable(Scope3_SourceData.Scope3_Feed_Data(), Table_SourceData_Scope3_MixedRations[[#Headers],[Category]], -66, 2)</f>
        <v>Mixed rations</v>
      </c>
      <c r="E163" s="19" t="str" cm="1">
        <f t="array" ref="E163">Common_InputFunctions.Utility_DisplayArrayInTable(Scope3_SourceData.Scope3_Feed_Data(), Table_SourceData_Scope3_MixedRations[[#Headers],[Category]], -66, 2)</f>
        <v>Feed for dairy calves</v>
      </c>
      <c r="F163" s="19" t="str" cm="1">
        <f t="array" ref="F163">Common_InputFunctions.Utility_DisplayArrayInTable(Scope3_SourceData.Scope3_Feed_Data(), Table_SourceData_Scope3_MixedRations[[#Headers],[Category]], -66, 2)</f>
        <v>Australia</v>
      </c>
      <c r="G163" s="19" t="str" cm="1">
        <f t="array" ref="G163">Common_InputFunctions.Utility_DisplayArrayInTable(Scope3_SourceData.Scope3_Feed_Data(), Table_SourceData_Scope3_MixedRations[[#Headers],[Category]], -66, 2)</f>
        <v>kg</v>
      </c>
      <c r="H163" s="19" cm="1">
        <f t="array" ref="H163">Common_InputFunctions.Utility_DisplayArrayInTable(Scope3_SourceData.Scope3_Feed_Data(), Table_SourceData_Scope3_MixedRations[[#Headers],[Category]], -66, 2)</f>
        <v>0.41899999999999998</v>
      </c>
      <c r="I163" s="19" t="str" cm="1">
        <f t="array" ref="I163">Common_InputFunctions.Utility_DisplayArrayInTable(Scope3_SourceData.Scope3_Feed_Data(), Table_SourceData_Scope3_MixedRations[[#Headers],[Category]], -66, 2)</f>
        <v>at market</v>
      </c>
      <c r="J163" s="19" t="s">
        <v>1169</v>
      </c>
    </row>
    <row r="164" spans="4:14" ht="20.100000000000001" customHeight="1" x14ac:dyDescent="0.2">
      <c r="D164" s="19" t="str" cm="1">
        <f t="array" ref="D164">Common_InputFunctions.Utility_DisplayArrayInTable(Scope3_SourceData.Scope3_Feed_Data(), Table_SourceData_Scope3_MixedRations[[#Headers],[Category]], -66, 2)</f>
        <v>Mixed rations</v>
      </c>
      <c r="E164" s="19" t="str" cm="1">
        <f t="array" ref="E164">Common_InputFunctions.Utility_DisplayArrayInTable(Scope3_SourceData.Scope3_Feed_Data(), Table_SourceData_Scope3_MixedRations[[#Headers],[Category]], -66, 2)</f>
        <v>Feed for dairy cows</v>
      </c>
      <c r="F164" s="19" t="str" cm="1">
        <f t="array" ref="F164">Common_InputFunctions.Utility_DisplayArrayInTable(Scope3_SourceData.Scope3_Feed_Data(), Table_SourceData_Scope3_MixedRations[[#Headers],[Category]], -66, 2)</f>
        <v>Australia</v>
      </c>
      <c r="G164" s="19" t="str" cm="1">
        <f t="array" ref="G164">Common_InputFunctions.Utility_DisplayArrayInTable(Scope3_SourceData.Scope3_Feed_Data(), Table_SourceData_Scope3_MixedRations[[#Headers],[Category]], -66, 2)</f>
        <v>kg</v>
      </c>
      <c r="H164" s="19" cm="1">
        <f t="array" ref="H164">Common_InputFunctions.Utility_DisplayArrayInTable(Scope3_SourceData.Scope3_Feed_Data(), Table_SourceData_Scope3_MixedRations[[#Headers],[Category]], -66, 2)</f>
        <v>0.33300000000000002</v>
      </c>
      <c r="I164" s="19" t="str" cm="1">
        <f t="array" ref="I164">Common_InputFunctions.Utility_DisplayArrayInTable(Scope3_SourceData.Scope3_Feed_Data(), Table_SourceData_Scope3_MixedRations[[#Headers],[Category]], -66, 2)</f>
        <v>at market</v>
      </c>
      <c r="J164" s="19" t="s">
        <v>1169</v>
      </c>
    </row>
    <row r="165" spans="4:14" ht="20.100000000000001" customHeight="1" x14ac:dyDescent="0.2">
      <c r="D165" s="19" t="str" cm="1">
        <f t="array" ref="D165">Common_InputFunctions.Utility_DisplayArrayInTable(Scope3_SourceData.Scope3_Feed_Data(), Table_SourceData_Scope3_MixedRations[[#Headers],[Category]], -66, 2)</f>
        <v>Mixed rations</v>
      </c>
      <c r="E165" s="19" t="str" cm="1">
        <f t="array" ref="E165">Common_InputFunctions.Utility_DisplayArrayInTable(Scope3_SourceData.Scope3_Feed_Data(), Table_SourceData_Scope3_MixedRations[[#Headers],[Category]], -66, 2)</f>
        <v>Feed for pigs</v>
      </c>
      <c r="F165" s="19" t="str" cm="1">
        <f t="array" ref="F165">Common_InputFunctions.Utility_DisplayArrayInTable(Scope3_SourceData.Scope3_Feed_Data(), Table_SourceData_Scope3_MixedRations[[#Headers],[Category]], -66, 2)</f>
        <v>Australia</v>
      </c>
      <c r="G165" s="19" t="str" cm="1">
        <f t="array" ref="G165">Common_InputFunctions.Utility_DisplayArrayInTable(Scope3_SourceData.Scope3_Feed_Data(), Table_SourceData_Scope3_MixedRations[[#Headers],[Category]], -66, 2)</f>
        <v>kg</v>
      </c>
      <c r="H165" s="19" cm="1">
        <f t="array" ref="H165">Common_InputFunctions.Utility_DisplayArrayInTable(Scope3_SourceData.Scope3_Feed_Data(), Table_SourceData_Scope3_MixedRations[[#Headers],[Category]], -66, 2)</f>
        <v>0.40300000000000002</v>
      </c>
      <c r="I165" s="19" t="str" cm="1">
        <f t="array" ref="I165">Common_InputFunctions.Utility_DisplayArrayInTable(Scope3_SourceData.Scope3_Feed_Data(), Table_SourceData_Scope3_MixedRations[[#Headers],[Category]], -66, 2)</f>
        <v>at market</v>
      </c>
      <c r="J165" s="19" t="s">
        <v>1169</v>
      </c>
    </row>
    <row r="167" spans="4:14" ht="20.100000000000001" customHeight="1" x14ac:dyDescent="0.2">
      <c r="D167" s="19" t="s">
        <v>1162</v>
      </c>
      <c r="E167" s="19" t="s">
        <v>132</v>
      </c>
      <c r="F167" s="19" t="s">
        <v>1163</v>
      </c>
      <c r="G167" s="19" t="s">
        <v>1164</v>
      </c>
      <c r="H167" s="19" t="s">
        <v>1165</v>
      </c>
      <c r="I167" s="19" t="s">
        <v>1166</v>
      </c>
      <c r="J167" s="19" t="s">
        <v>570</v>
      </c>
    </row>
    <row r="168" spans="4:14" ht="20.100000000000001" customHeight="1" x14ac:dyDescent="0.2">
      <c r="D168" s="19" t="str" cm="1">
        <f t="array" ref="D168">Common_InputFunctions.Utility_DisplayArrayInTable(Scope3_SourceData.Scope3_Feed_Data(), Table_SourceData_Scope3_LickBlocks[[#Headers],[Category]], -73, 2)</f>
        <v>Other</v>
      </c>
      <c r="E168" s="19" t="str" cm="1">
        <f t="array" ref="E168">Common_InputFunctions.Utility_DisplayArrayInTable(Scope3_SourceData.Scope3_Feed_Data(), Table_SourceData_Scope3_LickBlocks[[#Headers],[Category]], -73, 2)</f>
        <v>Lick block, dry season mix</v>
      </c>
      <c r="F168" s="19" t="str" cm="1">
        <f t="array" ref="F168">Common_InputFunctions.Utility_DisplayArrayInTable(Scope3_SourceData.Scope3_Feed_Data(), Table_SourceData_Scope3_LickBlocks[[#Headers],[Category]], -73, 2)</f>
        <v>Australia</v>
      </c>
      <c r="G168" s="19" t="str" cm="1">
        <f t="array" ref="G168">Common_InputFunctions.Utility_DisplayArrayInTable(Scope3_SourceData.Scope3_Feed_Data(), Table_SourceData_Scope3_LickBlocks[[#Headers],[Category]], -73, 2)</f>
        <v>kg</v>
      </c>
      <c r="H168" s="19" cm="1">
        <f t="array" ref="H168">Common_InputFunctions.Utility_DisplayArrayInTable(Scope3_SourceData.Scope3_Feed_Data(), Table_SourceData_Scope3_LickBlocks[[#Headers],[Category]], -73, 2)</f>
        <v>0.88100000000000001</v>
      </c>
      <c r="I168" s="19" t="str" cm="1">
        <f t="array" ref="I168">Common_InputFunctions.Utility_DisplayArrayInTable(Scope3_SourceData.Scope3_Feed_Data(), Table_SourceData_Scope3_LickBlocks[[#Headers],[Category]], -73, 2)</f>
        <v>at market</v>
      </c>
      <c r="J168" s="19" t="s">
        <v>1169</v>
      </c>
    </row>
    <row r="169" spans="4:14" ht="20.100000000000001" customHeight="1" x14ac:dyDescent="0.2">
      <c r="D169" s="19" t="str" cm="1">
        <f t="array" ref="D169">Common_InputFunctions.Utility_DisplayArrayInTable(Scope3_SourceData.Scope3_Feed_Data(), Table_SourceData_Scope3_LickBlocks[[#Headers],[Category]], -73, 2)</f>
        <v>Other</v>
      </c>
      <c r="E169" s="19" t="str" cm="1">
        <f t="array" ref="E169">Common_InputFunctions.Utility_DisplayArrayInTable(Scope3_SourceData.Scope3_Feed_Data(), Table_SourceData_Scope3_LickBlocks[[#Headers],[Category]], -73, 2)</f>
        <v>Lick block, mineral</v>
      </c>
      <c r="F169" s="19" t="str" cm="1">
        <f t="array" ref="F169">Common_InputFunctions.Utility_DisplayArrayInTable(Scope3_SourceData.Scope3_Feed_Data(), Table_SourceData_Scope3_LickBlocks[[#Headers],[Category]], -73, 2)</f>
        <v>Australia</v>
      </c>
      <c r="G169" s="19" t="str" cm="1">
        <f t="array" ref="G169">Common_InputFunctions.Utility_DisplayArrayInTable(Scope3_SourceData.Scope3_Feed_Data(), Table_SourceData_Scope3_LickBlocks[[#Headers],[Category]], -73, 2)</f>
        <v>kg</v>
      </c>
      <c r="H169" s="19" cm="1">
        <f t="array" ref="H169">Common_InputFunctions.Utility_DisplayArrayInTable(Scope3_SourceData.Scope3_Feed_Data(), Table_SourceData_Scope3_LickBlocks[[#Headers],[Category]], -73, 2)</f>
        <v>0.67700000000000005</v>
      </c>
      <c r="I169" s="19" t="str" cm="1">
        <f t="array" ref="I169">Common_InputFunctions.Utility_DisplayArrayInTable(Scope3_SourceData.Scope3_Feed_Data(), Table_SourceData_Scope3_LickBlocks[[#Headers],[Category]], -73, 2)</f>
        <v>at market</v>
      </c>
      <c r="J169" s="19" t="s">
        <v>1169</v>
      </c>
    </row>
    <row r="170" spans="4:14" ht="20.100000000000001" customHeight="1" x14ac:dyDescent="0.2">
      <c r="D170" s="19" t="str" cm="1">
        <f t="array" ref="D170">Common_InputFunctions.Utility_DisplayArrayInTable(Scope3_SourceData.Scope3_Feed_Data(), Table_SourceData_Scope3_LickBlocks[[#Headers],[Category]], -73, 2)</f>
        <v>Other</v>
      </c>
      <c r="E170" s="19" t="str" cm="1">
        <f t="array" ref="E170">Common_InputFunctions.Utility_DisplayArrayInTable(Scope3_SourceData.Scope3_Feed_Data(), Table_SourceData_Scope3_LickBlocks[[#Headers],[Category]], -73, 2)</f>
        <v>Lick block, weaner</v>
      </c>
      <c r="F170" s="19" t="str" cm="1">
        <f t="array" ref="F170">Common_InputFunctions.Utility_DisplayArrayInTable(Scope3_SourceData.Scope3_Feed_Data(), Table_SourceData_Scope3_LickBlocks[[#Headers],[Category]], -73, 2)</f>
        <v>Australia</v>
      </c>
      <c r="G170" s="19" t="str" cm="1">
        <f t="array" ref="G170">Common_InputFunctions.Utility_DisplayArrayInTable(Scope3_SourceData.Scope3_Feed_Data(), Table_SourceData_Scope3_LickBlocks[[#Headers],[Category]], -73, 2)</f>
        <v>kg</v>
      </c>
      <c r="H170" s="19" cm="1">
        <f t="array" ref="H170">Common_InputFunctions.Utility_DisplayArrayInTable(Scope3_SourceData.Scope3_Feed_Data(), Table_SourceData_Scope3_LickBlocks[[#Headers],[Category]], -73, 2)</f>
        <v>0.23100000000000001</v>
      </c>
      <c r="I170" s="19" t="str" cm="1">
        <f t="array" ref="I170">Common_InputFunctions.Utility_DisplayArrayInTable(Scope3_SourceData.Scope3_Feed_Data(), Table_SourceData_Scope3_LickBlocks[[#Headers],[Category]], -73, 2)</f>
        <v>at market</v>
      </c>
      <c r="J170" s="19" t="s">
        <v>1169</v>
      </c>
    </row>
    <row r="172" spans="4:14" ht="20.100000000000001" customHeight="1" x14ac:dyDescent="0.2">
      <c r="D172" s="2" t="s">
        <v>1181</v>
      </c>
    </row>
    <row r="173" spans="4:14" ht="20.100000000000001" customHeight="1" x14ac:dyDescent="0.2">
      <c r="D173" s="19" t="s">
        <v>1162</v>
      </c>
      <c r="E173" s="19" t="s">
        <v>132</v>
      </c>
      <c r="F173" s="19" t="s">
        <v>1163</v>
      </c>
      <c r="G173" s="19" t="s">
        <v>819</v>
      </c>
      <c r="H173" s="19" t="s">
        <v>712</v>
      </c>
      <c r="I173" s="19" t="s">
        <v>713</v>
      </c>
      <c r="J173" s="19" t="s">
        <v>1182</v>
      </c>
      <c r="K173" s="19" t="s">
        <v>1164</v>
      </c>
      <c r="L173" s="19" t="s">
        <v>1165</v>
      </c>
      <c r="M173" s="19" t="s">
        <v>1166</v>
      </c>
      <c r="N173" s="19" t="s">
        <v>570</v>
      </c>
    </row>
    <row r="174" spans="4:14" ht="20.100000000000001" customHeight="1" x14ac:dyDescent="0.2">
      <c r="D174" s="19" t="str" cm="1">
        <f t="array" ref="D174">Common_InputFunctions.Utility_DisplayArrayInTable(Scope3_SourceData.Scope3_InorganicFertilisers_Data(), Table_SourceData_Scope3_InorganicFertiliser[[#Headers],[Category]], 0, 2)</f>
        <v>Inorganic fertilisers</v>
      </c>
      <c r="E174" s="19" t="str" cm="1">
        <f t="array" ref="E174">Common_InputFunctions.Utility_DisplayArrayInTable(Scope3_SourceData.Scope3_InorganicFertilisers_Data(), Table_SourceData_Scope3_InorganicFertiliser[[#Headers],[Category]], 0, 2)</f>
        <v>Ammonia, AU market mix</v>
      </c>
      <c r="F174" s="19" t="str" cm="1">
        <f t="array" ref="F174">Common_InputFunctions.Utility_DisplayArrayInTable(Scope3_SourceData.Scope3_InorganicFertilisers_Data(), Table_SourceData_Scope3_InorganicFertiliser[[#Headers],[Category]], 0, 2)</f>
        <v>Global</v>
      </c>
      <c r="G174" s="19" t="str">
        <f>'Constants - Fertiliser'!$D$37</f>
        <v>Ammonia</v>
      </c>
      <c r="H174" s="19"/>
      <c r="I174" s="19" t="str">
        <f>'Constants - Fertiliser'!$V$20</f>
        <v>Global</v>
      </c>
      <c r="J174" s="19"/>
      <c r="K174" s="19" t="str" cm="1">
        <f t="array" ref="K174">Common_InputFunctions.Utility_DisplayArrayInTable(Scope3_SourceData.Scope3_InorganicFertilisers_Data(), Table_SourceData_Scope3_InorganicFertiliser[[#Headers],[Category]], 0, -2)</f>
        <v>kg</v>
      </c>
      <c r="L174" s="19" cm="1">
        <f t="array" ref="L174">Common_InputFunctions.Utility_DisplayArrayInTable(Scope3_SourceData.Scope3_InorganicFertilisers_Data(), Table_SourceData_Scope3_InorganicFertiliser[[#Headers],[Category]], 0, -2)</f>
        <v>2.3199999999999998</v>
      </c>
      <c r="M174" s="19" t="str" cm="1">
        <f t="array" ref="M174">Common_InputFunctions.Utility_DisplayArrayInTable(Scope3_SourceData.Scope3_InorganicFertilisers_Data(), Table_SourceData_Scope3_InorganicFertiliser[[#Headers],[Category]], 0, -2)</f>
        <v>at market</v>
      </c>
      <c r="N174" s="19" t="s">
        <v>1169</v>
      </c>
    </row>
    <row r="175" spans="4:14" ht="20.100000000000001" customHeight="1" x14ac:dyDescent="0.2">
      <c r="D175" s="19" t="str" cm="1">
        <f t="array" ref="D175">Common_InputFunctions.Utility_DisplayArrayInTable(Scope3_SourceData.Scope3_InorganicFertilisers_Data(), Table_SourceData_Scope3_InorganicFertiliser[[#Headers],[Category]], 0, 2)</f>
        <v>Inorganic fertilisers</v>
      </c>
      <c r="E175" s="19" t="str" cm="1">
        <f t="array" ref="E175">Common_InputFunctions.Utility_DisplayArrayInTable(Scope3_SourceData.Scope3_InorganicFertilisers_Data(), Table_SourceData_Scope3_InorganicFertiliser[[#Headers],[Category]], 0, 2)</f>
        <v>Ammonia, Canada</v>
      </c>
      <c r="F175" s="19" t="str" cm="1">
        <f t="array" ref="F175">Common_InputFunctions.Utility_DisplayArrayInTable(Scope3_SourceData.Scope3_InorganicFertilisers_Data(), Table_SourceData_Scope3_InorganicFertiliser[[#Headers],[Category]], 0, 2)</f>
        <v>Canada</v>
      </c>
      <c r="G175" s="19" t="str">
        <f>'Constants - Fertiliser'!$D$37</f>
        <v>Ammonia</v>
      </c>
      <c r="H175" s="19"/>
      <c r="I175" s="19" t="str">
        <f>'Constants - Fertiliser'!$V$21</f>
        <v>Canada</v>
      </c>
      <c r="J175" s="19"/>
      <c r="K175" s="19" t="str" cm="1">
        <f t="array" ref="K175">Common_InputFunctions.Utility_DisplayArrayInTable(Scope3_SourceData.Scope3_InorganicFertilisers_Data(), Table_SourceData_Scope3_InorganicFertiliser[[#Headers],[Category]], 0, -2)</f>
        <v>kg</v>
      </c>
      <c r="L175" s="19" cm="1">
        <f t="array" ref="L175">Common_InputFunctions.Utility_DisplayArrayInTable(Scope3_SourceData.Scope3_InorganicFertilisers_Data(), Table_SourceData_Scope3_InorganicFertiliser[[#Headers],[Category]], 0, -2)</f>
        <v>2.12</v>
      </c>
      <c r="M175" s="19" t="str" cm="1">
        <f t="array" ref="M175">Common_InputFunctions.Utility_DisplayArrayInTable(Scope3_SourceData.Scope3_InorganicFertilisers_Data(), Table_SourceData_Scope3_InorganicFertiliser[[#Headers],[Category]], 0, -2)</f>
        <v>at market</v>
      </c>
      <c r="N175" s="19" t="s">
        <v>1169</v>
      </c>
    </row>
    <row r="176" spans="4:14" ht="20.100000000000001" customHeight="1" x14ac:dyDescent="0.2">
      <c r="D176" s="19" t="str" cm="1">
        <f t="array" ref="D176">Common_InputFunctions.Utility_DisplayArrayInTable(Scope3_SourceData.Scope3_InorganicFertilisers_Data(), Table_SourceData_Scope3_InorganicFertiliser[[#Headers],[Category]], 0, 2)</f>
        <v>Inorganic fertilisers</v>
      </c>
      <c r="E176" s="19" t="str" cm="1">
        <f t="array" ref="E176">Common_InputFunctions.Utility_DisplayArrayInTable(Scope3_SourceData.Scope3_InorganicFertilisers_Data(), Table_SourceData_Scope3_InorganicFertiliser[[#Headers],[Category]], 0, 2)</f>
        <v>Ammonia, China</v>
      </c>
      <c r="F176" s="19" t="str" cm="1">
        <f t="array" ref="F176">Common_InputFunctions.Utility_DisplayArrayInTable(Scope3_SourceData.Scope3_InorganicFertilisers_Data(), Table_SourceData_Scope3_InorganicFertiliser[[#Headers],[Category]], 0, 2)</f>
        <v>China</v>
      </c>
      <c r="G176" s="19" t="str">
        <f>'Constants - Fertiliser'!$D$37</f>
        <v>Ammonia</v>
      </c>
      <c r="H176" s="19"/>
      <c r="I176" s="19" t="str">
        <f>'Constants - Fertiliser'!$V$22</f>
        <v>China</v>
      </c>
      <c r="J176" s="19"/>
      <c r="K176" s="19" t="str" cm="1">
        <f t="array" ref="K176">Common_InputFunctions.Utility_DisplayArrayInTable(Scope3_SourceData.Scope3_InorganicFertilisers_Data(), Table_SourceData_Scope3_InorganicFertiliser[[#Headers],[Category]], 0, -2)</f>
        <v>kg</v>
      </c>
      <c r="L176" s="19" cm="1">
        <f t="array" ref="L176">Common_InputFunctions.Utility_DisplayArrayInTable(Scope3_SourceData.Scope3_InorganicFertilisers_Data(), Table_SourceData_Scope3_InorganicFertiliser[[#Headers],[Category]], 0, -2)</f>
        <v>4.17</v>
      </c>
      <c r="M176" s="19" t="str" cm="1">
        <f t="array" ref="M176">Common_InputFunctions.Utility_DisplayArrayInTable(Scope3_SourceData.Scope3_InorganicFertilisers_Data(), Table_SourceData_Scope3_InorganicFertiliser[[#Headers],[Category]], 0, -2)</f>
        <v>at market</v>
      </c>
      <c r="N176" s="19" t="s">
        <v>1169</v>
      </c>
    </row>
    <row r="177" spans="1:14" ht="20.100000000000001" customHeight="1" x14ac:dyDescent="0.2">
      <c r="D177" s="19" t="str" cm="1">
        <f t="array" ref="D177">Common_InputFunctions.Utility_DisplayArrayInTable(Scope3_SourceData.Scope3_InorganicFertilisers_Data(), Table_SourceData_Scope3_InorganicFertiliser[[#Headers],[Category]], 0, 2)</f>
        <v>Inorganic fertilisers</v>
      </c>
      <c r="E177" s="19" t="str" cm="1">
        <f t="array" ref="E177">Common_InputFunctions.Utility_DisplayArrayInTable(Scope3_SourceData.Scope3_InorganicFertilisers_Data(), Table_SourceData_Scope3_InorganicFertiliser[[#Headers],[Category]], 0, 2)</f>
        <v>Ammonia, Yemen</v>
      </c>
      <c r="F177" s="19" t="str" cm="1">
        <f t="array" ref="F177">Common_InputFunctions.Utility_DisplayArrayInTable(Scope3_SourceData.Scope3_InorganicFertilisers_Data(), Table_SourceData_Scope3_InorganicFertiliser[[#Headers],[Category]], 0, 2)</f>
        <v>Yemen</v>
      </c>
      <c r="G177" s="19" t="str">
        <f>'Constants - Fertiliser'!$D$37</f>
        <v>Ammonia</v>
      </c>
      <c r="H177" s="19"/>
      <c r="I177" s="19" t="str">
        <f>'Constants - Fertiliser'!$V$23</f>
        <v>Yemen</v>
      </c>
      <c r="J177" s="19"/>
      <c r="K177" s="19" t="str" cm="1">
        <f t="array" ref="K177">Common_InputFunctions.Utility_DisplayArrayInTable(Scope3_SourceData.Scope3_InorganicFertilisers_Data(), Table_SourceData_Scope3_InorganicFertiliser[[#Headers],[Category]], 0, -2)</f>
        <v>kg</v>
      </c>
      <c r="L177" s="19" cm="1">
        <f t="array" ref="L177">Common_InputFunctions.Utility_DisplayArrayInTable(Scope3_SourceData.Scope3_InorganicFertilisers_Data(), Table_SourceData_Scope3_InorganicFertiliser[[#Headers],[Category]], 0, -2)</f>
        <v>2.2599999999999998</v>
      </c>
      <c r="M177" s="19" t="str" cm="1">
        <f t="array" ref="M177">Common_InputFunctions.Utility_DisplayArrayInTable(Scope3_SourceData.Scope3_InorganicFertilisers_Data(), Table_SourceData_Scope3_InorganicFertiliser[[#Headers],[Category]], 0, -2)</f>
        <v>at market</v>
      </c>
      <c r="N177" s="19" t="s">
        <v>1169</v>
      </c>
    </row>
    <row r="178" spans="1:14" ht="20.100000000000001" customHeight="1" x14ac:dyDescent="0.2">
      <c r="D178" s="19" t="str" cm="1">
        <f t="array" ref="D178">Common_InputFunctions.Utility_DisplayArrayInTable(Scope3_SourceData.Scope3_InorganicFertilisers_Data(), Table_SourceData_Scope3_InorganicFertiliser[[#Headers],[Category]], 0, 2)</f>
        <v>Inorganic fertilisers</v>
      </c>
      <c r="E178" s="19" t="str" cm="1">
        <f t="array" ref="E178">Common_InputFunctions.Utility_DisplayArrayInTable(Scope3_SourceData.Scope3_InorganicFertilisers_Data(), Table_SourceData_Scope3_InorganicFertiliser[[#Headers],[Category]], 0, 2)</f>
        <v>Ammonium nitrate, AU market mix</v>
      </c>
      <c r="F178" s="19" t="str" cm="1">
        <f t="array" ref="F178">Common_InputFunctions.Utility_DisplayArrayInTable(Scope3_SourceData.Scope3_InorganicFertilisers_Data(), Table_SourceData_Scope3_InorganicFertiliser[[#Headers],[Category]], 0, 2)</f>
        <v>Global</v>
      </c>
      <c r="G178" s="19" t="str">
        <f>'Constants - Fertiliser'!$D$25</f>
        <v>Ammonium nitrate (AN)</v>
      </c>
      <c r="H178" s="19"/>
      <c r="I178" s="19"/>
      <c r="J178" s="19"/>
      <c r="K178" s="19" t="str" cm="1">
        <f t="array" ref="K178">Common_InputFunctions.Utility_DisplayArrayInTable(Scope3_SourceData.Scope3_InorganicFertilisers_Data(), Table_SourceData_Scope3_InorganicFertiliser[[#Headers],[Category]], 0, -2)</f>
        <v>kg</v>
      </c>
      <c r="L178" s="19" cm="1">
        <f t="array" ref="L178">Common_InputFunctions.Utility_DisplayArrayInTable(Scope3_SourceData.Scope3_InorganicFertilisers_Data(), Table_SourceData_Scope3_InorganicFertiliser[[#Headers],[Category]], 0, -2)</f>
        <v>2.21</v>
      </c>
      <c r="M178" s="19" t="str" cm="1">
        <f t="array" ref="M178">Common_InputFunctions.Utility_DisplayArrayInTable(Scope3_SourceData.Scope3_InorganicFertilisers_Data(), Table_SourceData_Scope3_InorganicFertiliser[[#Headers],[Category]], 0, -2)</f>
        <v>at market</v>
      </c>
      <c r="N178" s="19" t="s">
        <v>1169</v>
      </c>
    </row>
    <row r="179" spans="1:14" ht="20.100000000000001" customHeight="1" x14ac:dyDescent="0.2">
      <c r="D179" s="19" t="str" cm="1">
        <f t="array" ref="D179">Common_InputFunctions.Utility_DisplayArrayInTable(Scope3_SourceData.Scope3_InorganicFertilisers_Data(), Table_SourceData_Scope3_InorganicFertiliser[[#Headers],[Category]], 0, 2)</f>
        <v>Inorganic fertilisers</v>
      </c>
      <c r="E179" s="19" t="str" cm="1">
        <f t="array" ref="E179">Common_InputFunctions.Utility_DisplayArrayInTable(Scope3_SourceData.Scope3_InorganicFertilisers_Data(), Table_SourceData_Scope3_InorganicFertiliser[[#Headers],[Category]], 0, 2)</f>
        <v>Calcium ammonium nitrate, AU market mix</v>
      </c>
      <c r="F179" s="19" t="str" cm="1">
        <f t="array" ref="F179">Common_InputFunctions.Utility_DisplayArrayInTable(Scope3_SourceData.Scope3_InorganicFertilisers_Data(), Table_SourceData_Scope3_InorganicFertiliser[[#Headers],[Category]], 0, 2)</f>
        <v>Global</v>
      </c>
      <c r="G179" s="19" t="str">
        <f>'Constants - Fertiliser'!$D$26</f>
        <v>Calcium ammonium nitrate (CAN)</v>
      </c>
      <c r="H179" s="19"/>
      <c r="I179" s="19"/>
      <c r="J179" s="19"/>
      <c r="K179" s="19" t="str" cm="1">
        <f t="array" ref="K179">Common_InputFunctions.Utility_DisplayArrayInTable(Scope3_SourceData.Scope3_InorganicFertilisers_Data(), Table_SourceData_Scope3_InorganicFertiliser[[#Headers],[Category]], 0, -2)</f>
        <v>kg</v>
      </c>
      <c r="L179" s="19" cm="1">
        <f t="array" ref="L179">Common_InputFunctions.Utility_DisplayArrayInTable(Scope3_SourceData.Scope3_InorganicFertilisers_Data(), Table_SourceData_Scope3_InorganicFertiliser[[#Headers],[Category]], 0, -2)</f>
        <v>1.1499999999999999</v>
      </c>
      <c r="M179" s="19" t="str" cm="1">
        <f t="array" ref="M179">Common_InputFunctions.Utility_DisplayArrayInTable(Scope3_SourceData.Scope3_InorganicFertilisers_Data(), Table_SourceData_Scope3_InorganicFertiliser[[#Headers],[Category]], 0, -2)</f>
        <v>at market</v>
      </c>
      <c r="N179" s="19" t="s">
        <v>1169</v>
      </c>
    </row>
    <row r="180" spans="1:14" ht="20.100000000000001" customHeight="1" x14ac:dyDescent="0.2">
      <c r="D180" s="19" t="str" cm="1">
        <f t="array" ref="D180">Common_InputFunctions.Utility_DisplayArrayInTable(Scope3_SourceData.Scope3_InorganicFertilisers_Data(), Table_SourceData_Scope3_InorganicFertiliser[[#Headers],[Category]], 0, 2)</f>
        <v>Inorganic fertilisers</v>
      </c>
      <c r="E180" s="19" t="str" cm="1">
        <f t="array" ref="E180">Common_InputFunctions.Utility_DisplayArrayInTable(Scope3_SourceData.Scope3_InorganicFertilisers_Data(), Table_SourceData_Scope3_InorganicFertiliser[[#Headers],[Category]], 0, 2)</f>
        <v>Calcium nitrate</v>
      </c>
      <c r="F180" s="19" t="str" cm="1">
        <f t="array" ref="F180">Common_InputFunctions.Utility_DisplayArrayInTable(Scope3_SourceData.Scope3_InorganicFertilisers_Data(), Table_SourceData_Scope3_InorganicFertiliser[[#Headers],[Category]], 0, 2)</f>
        <v>Global</v>
      </c>
      <c r="G180" s="19" t="str">
        <f>'Constants - Fertiliser'!$D$38</f>
        <v>Calcium nitrate</v>
      </c>
      <c r="H180" s="19"/>
      <c r="I180" s="19"/>
      <c r="J180" s="19"/>
      <c r="K180" s="19" t="str" cm="1">
        <f t="array" ref="K180">Common_InputFunctions.Utility_DisplayArrayInTable(Scope3_SourceData.Scope3_InorganicFertilisers_Data(), Table_SourceData_Scope3_InorganicFertiliser[[#Headers],[Category]], 0, -2)</f>
        <v>kg</v>
      </c>
      <c r="L180" s="19" cm="1">
        <f t="array" ref="L180">Common_InputFunctions.Utility_DisplayArrayInTable(Scope3_SourceData.Scope3_InorganicFertilisers_Data(), Table_SourceData_Scope3_InorganicFertiliser[[#Headers],[Category]], 0, -2)</f>
        <v>0.75</v>
      </c>
      <c r="M180" s="19" t="str" cm="1">
        <f t="array" ref="M180">Common_InputFunctions.Utility_DisplayArrayInTable(Scope3_SourceData.Scope3_InorganicFertilisers_Data(), Table_SourceData_Scope3_InorganicFertiliser[[#Headers],[Category]], 0, -2)</f>
        <v>at market</v>
      </c>
      <c r="N180" s="19" t="s">
        <v>1169</v>
      </c>
    </row>
    <row r="181" spans="1:14" ht="20.100000000000001" customHeight="1" x14ac:dyDescent="0.2">
      <c r="D181" s="19" t="str" cm="1">
        <f t="array" ref="D181">Common_InputFunctions.Utility_DisplayArrayInTable(Scope3_SourceData.Scope3_InorganicFertilisers_Data(), Table_SourceData_Scope3_InorganicFertiliser[[#Headers],[Category]], 0, 2)</f>
        <v>Inorganic fertilisers</v>
      </c>
      <c r="E181" s="19" t="str" cm="1">
        <f t="array" ref="E181">Common_InputFunctions.Utility_DisplayArrayInTable(Scope3_SourceData.Scope3_InorganicFertilisers_Data(), Table_SourceData_Scope3_InorganicFertiliser[[#Headers],[Category]], 0, 2)</f>
        <v>Diammonium phosphate, AU market mix</v>
      </c>
      <c r="F181" s="19" t="str" cm="1">
        <f t="array" ref="F181">Common_InputFunctions.Utility_DisplayArrayInTable(Scope3_SourceData.Scope3_InorganicFertilisers_Data(), Table_SourceData_Scope3_InorganicFertiliser[[#Headers],[Category]], 0, 2)</f>
        <v>Global</v>
      </c>
      <c r="G181" s="19" t="str">
        <f>'Constants - Fertiliser'!$D$21</f>
        <v>Diammonium phosphate (DAP)</v>
      </c>
      <c r="H181" s="19"/>
      <c r="I181" s="19"/>
      <c r="J181" s="19"/>
      <c r="K181" s="19" t="str" cm="1">
        <f t="array" ref="K181">Common_InputFunctions.Utility_DisplayArrayInTable(Scope3_SourceData.Scope3_InorganicFertilisers_Data(), Table_SourceData_Scope3_InorganicFertiliser[[#Headers],[Category]], 0, -2)</f>
        <v>kg</v>
      </c>
      <c r="L181" s="19" cm="1">
        <f t="array" ref="L181">Common_InputFunctions.Utility_DisplayArrayInTable(Scope3_SourceData.Scope3_InorganicFertilisers_Data(), Table_SourceData_Scope3_InorganicFertiliser[[#Headers],[Category]], 0, -2)</f>
        <v>1.34</v>
      </c>
      <c r="M181" s="19" t="str" cm="1">
        <f t="array" ref="M181">Common_InputFunctions.Utility_DisplayArrayInTable(Scope3_SourceData.Scope3_InorganicFertilisers_Data(), Table_SourceData_Scope3_InorganicFertiliser[[#Headers],[Category]], 0, -2)</f>
        <v>at market</v>
      </c>
      <c r="N181" s="19" t="s">
        <v>1169</v>
      </c>
    </row>
    <row r="182" spans="1:14" ht="20.100000000000001" customHeight="1" x14ac:dyDescent="0.2">
      <c r="D182" s="19" t="str" cm="1">
        <f t="array" ref="D182">Common_InputFunctions.Utility_DisplayArrayInTable(Scope3_SourceData.Scope3_InorganicFertilisers_Data(), Table_SourceData_Scope3_InorganicFertiliser[[#Headers],[Category]], 0, 2)</f>
        <v>Inorganic fertilisers</v>
      </c>
      <c r="E182" s="19" t="str" cm="1">
        <f t="array" ref="E182">Common_InputFunctions.Utility_DisplayArrayInTable(Scope3_SourceData.Scope3_InorganicFertilisers_Data(), Table_SourceData_Scope3_InorganicFertiliser[[#Headers],[Category]], 0, 2)</f>
        <v>Double superphosphate, AU market mix</v>
      </c>
      <c r="F182" s="19" t="str" cm="1">
        <f t="array" ref="F182">Common_InputFunctions.Utility_DisplayArrayInTable(Scope3_SourceData.Scope3_InorganicFertilisers_Data(), Table_SourceData_Scope3_InorganicFertiliser[[#Headers],[Category]], 0, 2)</f>
        <v>Global</v>
      </c>
      <c r="G182" s="19" t="str">
        <f>'Constants - Fertiliser'!$D$35</f>
        <v>Double superphosphate</v>
      </c>
      <c r="H182" s="19"/>
      <c r="I182" s="19"/>
      <c r="J182" s="19"/>
      <c r="K182" s="19" t="str" cm="1">
        <f t="array" ref="K182">Common_InputFunctions.Utility_DisplayArrayInTable(Scope3_SourceData.Scope3_InorganicFertilisers_Data(), Table_SourceData_Scope3_InorganicFertiliser[[#Headers],[Category]], 0, -2)</f>
        <v>kg</v>
      </c>
      <c r="L182" s="19" cm="1">
        <f t="array" ref="L182">Common_InputFunctions.Utility_DisplayArrayInTable(Scope3_SourceData.Scope3_InorganicFertilisers_Data(), Table_SourceData_Scope3_InorganicFertiliser[[#Headers],[Category]], 0, -2)</f>
        <v>0.39200000000000002</v>
      </c>
      <c r="M182" s="19" t="str" cm="1">
        <f t="array" ref="M182">Common_InputFunctions.Utility_DisplayArrayInTable(Scope3_SourceData.Scope3_InorganicFertilisers_Data(), Table_SourceData_Scope3_InorganicFertiliser[[#Headers],[Category]], 0, -2)</f>
        <v>at market</v>
      </c>
      <c r="N182" s="19" t="s">
        <v>1169</v>
      </c>
    </row>
    <row r="183" spans="1:14" ht="20.100000000000001" customHeight="1" x14ac:dyDescent="0.2">
      <c r="D183" s="19" t="str" cm="1">
        <f t="array" ref="D183">Common_InputFunctions.Utility_DisplayArrayInTable(Scope3_SourceData.Scope3_InorganicFertilisers_Data(), Table_SourceData_Scope3_InorganicFertiliser[[#Headers],[Category]], 0, 2)</f>
        <v>Inorganic fertilisers</v>
      </c>
      <c r="E183" s="19" t="str" cm="1">
        <f t="array" ref="E183">Common_InputFunctions.Utility_DisplayArrayInTable(Scope3_SourceData.Scope3_InorganicFertilisers_Data(), Table_SourceData_Scope3_InorganicFertiliser[[#Headers],[Category]], 0, 2)</f>
        <v>Monoammonium phosphate, AU market mix</v>
      </c>
      <c r="F183" s="19" t="str" cm="1">
        <f t="array" ref="F183">Common_InputFunctions.Utility_DisplayArrayInTable(Scope3_SourceData.Scope3_InorganicFertilisers_Data(), Table_SourceData_Scope3_InorganicFertiliser[[#Headers],[Category]], 0, 2)</f>
        <v>Global</v>
      </c>
      <c r="G183" s="19" t="str">
        <f>'Constants - Fertiliser'!$D$20</f>
        <v>Monoammonium phosphate (MAP)</v>
      </c>
      <c r="H183" s="19"/>
      <c r="I183" s="19"/>
      <c r="J183" s="19"/>
      <c r="K183" s="19" t="str" cm="1">
        <f t="array" ref="K183">Common_InputFunctions.Utility_DisplayArrayInTable(Scope3_SourceData.Scope3_InorganicFertilisers_Data(), Table_SourceData_Scope3_InorganicFertiliser[[#Headers],[Category]], 0, -2)</f>
        <v>kg</v>
      </c>
      <c r="L183" s="19" cm="1">
        <f t="array" ref="L183">Common_InputFunctions.Utility_DisplayArrayInTable(Scope3_SourceData.Scope3_InorganicFertilisers_Data(), Table_SourceData_Scope3_InorganicFertiliser[[#Headers],[Category]], 0, -2)</f>
        <v>0.82699999999999996</v>
      </c>
      <c r="M183" s="19" t="str" cm="1">
        <f t="array" ref="M183">Common_InputFunctions.Utility_DisplayArrayInTable(Scope3_SourceData.Scope3_InorganicFertilisers_Data(), Table_SourceData_Scope3_InorganicFertiliser[[#Headers],[Category]], 0, -2)</f>
        <v>at market</v>
      </c>
      <c r="N183" s="19" t="s">
        <v>1169</v>
      </c>
    </row>
    <row r="184" spans="1:14" ht="20.100000000000001" customHeight="1" x14ac:dyDescent="0.2">
      <c r="D184" s="19" t="str" cm="1">
        <f t="array" ref="D184">Common_InputFunctions.Utility_DisplayArrayInTable(Scope3_SourceData.Scope3_InorganicFertilisers_Data(), Table_SourceData_Scope3_InorganicFertiliser[[#Headers],[Category]], 0, 2)</f>
        <v>Inorganic fertilisers</v>
      </c>
      <c r="E184" s="19" t="str" cm="1">
        <f t="array" ref="E184">Common_InputFunctions.Utility_DisplayArrayInTable(Scope3_SourceData.Scope3_InorganicFertilisers_Data(), Table_SourceData_Scope3_InorganicFertiliser[[#Headers],[Category]], 0, 2)</f>
        <v>Muriate of potash, AU market mix</v>
      </c>
      <c r="F184" s="19" t="str" cm="1">
        <f t="array" ref="F184">Common_InputFunctions.Utility_DisplayArrayInTable(Scope3_SourceData.Scope3_InorganicFertilisers_Data(), Table_SourceData_Scope3_InorganicFertiliser[[#Headers],[Category]], 0, 2)</f>
        <v>Global</v>
      </c>
      <c r="G184" s="19" t="str">
        <f>'Constants - Fertiliser'!$D$34</f>
        <v>Muriate of potash (MOP)</v>
      </c>
      <c r="H184" s="19"/>
      <c r="I184" s="19"/>
      <c r="J184" s="19"/>
      <c r="K184" s="19" t="str" cm="1">
        <f t="array" ref="K184">Common_InputFunctions.Utility_DisplayArrayInTable(Scope3_SourceData.Scope3_InorganicFertilisers_Data(), Table_SourceData_Scope3_InorganicFertiliser[[#Headers],[Category]], 0, -2)</f>
        <v>kg</v>
      </c>
      <c r="L184" s="19" cm="1">
        <f t="array" ref="L184">Common_InputFunctions.Utility_DisplayArrayInTable(Scope3_SourceData.Scope3_InorganicFertilisers_Data(), Table_SourceData_Scope3_InorganicFertiliser[[#Headers],[Category]], 0, -2)</f>
        <v>0.54900000000000004</v>
      </c>
      <c r="M184" s="19" t="str" cm="1">
        <f t="array" ref="M184">Common_InputFunctions.Utility_DisplayArrayInTable(Scope3_SourceData.Scope3_InorganicFertilisers_Data(), Table_SourceData_Scope3_InorganicFertiliser[[#Headers],[Category]], 0, -2)</f>
        <v>at market</v>
      </c>
      <c r="N184" s="19" t="s">
        <v>1169</v>
      </c>
    </row>
    <row r="185" spans="1:14" ht="20.100000000000001" customHeight="1" x14ac:dyDescent="0.2">
      <c r="D185" s="19" t="str" cm="1">
        <f t="array" ref="D185">Common_InputFunctions.Utility_DisplayArrayInTable(Scope3_SourceData.Scope3_InorganicFertilisers_Data(), Table_SourceData_Scope3_InorganicFertiliser[[#Headers],[Category]], 0, 2)</f>
        <v>Inorganic fertilisers</v>
      </c>
      <c r="E185" s="19" t="str" cm="1">
        <f t="array" ref="E185">Common_InputFunctions.Utility_DisplayArrayInTable(Scope3_SourceData.Scope3_InorganicFertilisers_Data(), Table_SourceData_Scope3_InorganicFertiliser[[#Headers],[Category]], 0, 2)</f>
        <v>Nitrogen from ammonia, AU market mix</v>
      </c>
      <c r="F185" s="19" t="str" cm="1">
        <f t="array" ref="F185">Common_InputFunctions.Utility_DisplayArrayInTable(Scope3_SourceData.Scope3_InorganicFertilisers_Data(), Table_SourceData_Scope3_InorganicFertiliser[[#Headers],[Category]], 0, 2)</f>
        <v>Global</v>
      </c>
      <c r="G185" s="19" t="str">
        <f>'Constants - Fertiliser'!$D$27</f>
        <v>Nitrogen - Ammoniacal</v>
      </c>
      <c r="H185" s="19"/>
      <c r="I185" s="19"/>
      <c r="J185" s="19"/>
      <c r="K185" s="19" t="str" cm="1">
        <f t="array" ref="K185">Common_InputFunctions.Utility_DisplayArrayInTable(Scope3_SourceData.Scope3_InorganicFertilisers_Data(), Table_SourceData_Scope3_InorganicFertiliser[[#Headers],[Category]], 0, -2)</f>
        <v>kg N</v>
      </c>
      <c r="L185" s="19" cm="1">
        <f t="array" ref="L185">Common_InputFunctions.Utility_DisplayArrayInTable(Scope3_SourceData.Scope3_InorganicFertilisers_Data(), Table_SourceData_Scope3_InorganicFertiliser[[#Headers],[Category]], 0, -2)</f>
        <v>2.83</v>
      </c>
      <c r="M185" s="19" t="str" cm="1">
        <f t="array" ref="M185">Common_InputFunctions.Utility_DisplayArrayInTable(Scope3_SourceData.Scope3_InorganicFertilisers_Data(), Table_SourceData_Scope3_InorganicFertiliser[[#Headers],[Category]], 0, -2)</f>
        <v>at market</v>
      </c>
      <c r="N185" s="19" t="s">
        <v>1169</v>
      </c>
    </row>
    <row r="186" spans="1:14" ht="20.100000000000001" customHeight="1" x14ac:dyDescent="0.2">
      <c r="D186" s="19" t="str" cm="1">
        <f t="array" ref="D186">Common_InputFunctions.Utility_DisplayArrayInTable(Scope3_SourceData.Scope3_InorganicFertilisers_Data(), Table_SourceData_Scope3_InorganicFertiliser[[#Headers],[Category]], 0, 2)</f>
        <v>Inorganic fertilisers</v>
      </c>
      <c r="E186" s="19" t="str" cm="1">
        <f t="array" ref="E186">Common_InputFunctions.Utility_DisplayArrayInTable(Scope3_SourceData.Scope3_InorganicFertilisers_Data(), Table_SourceData_Scope3_InorganicFertiliser[[#Headers],[Category]], 0, 2)</f>
        <v>Nitrogen from fertilizer, AU market mix</v>
      </c>
      <c r="F186" s="19" t="str" cm="1">
        <f t="array" ref="F186">Common_InputFunctions.Utility_DisplayArrayInTable(Scope3_SourceData.Scope3_InorganicFertilisers_Data(), Table_SourceData_Scope3_InorganicFertiliser[[#Headers],[Category]], 0, 2)</f>
        <v>Global</v>
      </c>
      <c r="G186" s="19" t="str">
        <f>'Constants - Fertiliser'!$D$29</f>
        <v>Nitrogen - Generic</v>
      </c>
      <c r="H186" s="19"/>
      <c r="I186" s="19"/>
      <c r="J186" s="19"/>
      <c r="K186" s="19" t="str" cm="1">
        <f t="array" ref="K186">Common_InputFunctions.Utility_DisplayArrayInTable(Scope3_SourceData.Scope3_InorganicFertilisers_Data(), Table_SourceData_Scope3_InorganicFertiliser[[#Headers],[Category]], 0, -2)</f>
        <v>kg N</v>
      </c>
      <c r="L186" s="19" cm="1">
        <f t="array" ref="L186">Common_InputFunctions.Utility_DisplayArrayInTable(Scope3_SourceData.Scope3_InorganicFertilisers_Data(), Table_SourceData_Scope3_InorganicFertiliser[[#Headers],[Category]], 0, -2)</f>
        <v>4.2</v>
      </c>
      <c r="M186" s="19" t="str" cm="1">
        <f t="array" ref="M186">Common_InputFunctions.Utility_DisplayArrayInTable(Scope3_SourceData.Scope3_InorganicFertilisers_Data(), Table_SourceData_Scope3_InorganicFertiliser[[#Headers],[Category]], 0, -2)</f>
        <v>at market</v>
      </c>
      <c r="N186" s="19" t="s">
        <v>1169</v>
      </c>
    </row>
    <row r="187" spans="1:14" ht="20.100000000000001" customHeight="1" x14ac:dyDescent="0.2">
      <c r="D187" s="19" t="str" cm="1">
        <f t="array" ref="D187">Common_InputFunctions.Utility_DisplayArrayInTable(Scope3_SourceData.Scope3_InorganicFertilisers_Data(), Table_SourceData_Scope3_InorganicFertiliser[[#Headers],[Category]], 0, 2)</f>
        <v>Inorganic fertilisers</v>
      </c>
      <c r="E187" s="19" t="str" cm="1">
        <f t="array" ref="E187">Common_InputFunctions.Utility_DisplayArrayInTable(Scope3_SourceData.Scope3_InorganicFertilisers_Data(), Table_SourceData_Scope3_InorganicFertiliser[[#Headers],[Category]], 0, 2)</f>
        <v>Nitrogen from nitrate fertilizer, AU market mix</v>
      </c>
      <c r="F187" s="19" t="str" cm="1">
        <f t="array" ref="F187">Common_InputFunctions.Utility_DisplayArrayInTable(Scope3_SourceData.Scope3_InorganicFertilisers_Data(), Table_SourceData_Scope3_InorganicFertiliser[[#Headers],[Category]], 0, 2)</f>
        <v>Global</v>
      </c>
      <c r="G187" s="19" t="str">
        <f>'Constants - Fertiliser'!$D$28</f>
        <v>Nitrogen - Nitrate</v>
      </c>
      <c r="H187" s="19"/>
      <c r="I187" s="19"/>
      <c r="J187" s="19"/>
      <c r="K187" s="19" t="str" cm="1">
        <f t="array" ref="K187">Common_InputFunctions.Utility_DisplayArrayInTable(Scope3_SourceData.Scope3_InorganicFertilisers_Data(), Table_SourceData_Scope3_InorganicFertiliser[[#Headers],[Category]], 0, -2)</f>
        <v>kg N</v>
      </c>
      <c r="L187" s="19" cm="1">
        <f t="array" ref="L187">Common_InputFunctions.Utility_DisplayArrayInTable(Scope3_SourceData.Scope3_InorganicFertilisers_Data(), Table_SourceData_Scope3_InorganicFertiliser[[#Headers],[Category]], 0, -2)</f>
        <v>5.47</v>
      </c>
      <c r="M187" s="19" t="str" cm="1">
        <f t="array" ref="M187">Common_InputFunctions.Utility_DisplayArrayInTable(Scope3_SourceData.Scope3_InorganicFertilisers_Data(), Table_SourceData_Scope3_InorganicFertiliser[[#Headers],[Category]], 0, -2)</f>
        <v>at market</v>
      </c>
      <c r="N187" s="19" t="s">
        <v>1169</v>
      </c>
    </row>
    <row r="188" spans="1:14" ht="20.100000000000001" customHeight="1" x14ac:dyDescent="0.2">
      <c r="A188" s="79" t="str">
        <f>HYPERLINK("#A1", "▲ Back to top")</f>
        <v>▲ Back to top</v>
      </c>
      <c r="D188" s="19" t="str" cm="1">
        <f t="array" ref="D188">Common_InputFunctions.Utility_DisplayArrayInTable(Scope3_SourceData.Scope3_InorganicFertilisers_Data(), Table_SourceData_Scope3_InorganicFertiliser[[#Headers],[Category]], 0, 2)</f>
        <v>Inorganic fertilisers</v>
      </c>
      <c r="E188" s="19" t="str" cm="1">
        <f t="array" ref="E188">Common_InputFunctions.Utility_DisplayArrayInTable(Scope3_SourceData.Scope3_InorganicFertilisers_Data(), Table_SourceData_Scope3_InorganicFertiliser[[#Headers],[Category]], 0, 2)</f>
        <v>Phosphorus from fertilizer, AU market mix</v>
      </c>
      <c r="F188" s="19" t="str" cm="1">
        <f t="array" ref="F188">Common_InputFunctions.Utility_DisplayArrayInTable(Scope3_SourceData.Scope3_InorganicFertilisers_Data(), Table_SourceData_Scope3_InorganicFertiliser[[#Headers],[Category]], 0, 2)</f>
        <v>Global</v>
      </c>
      <c r="G188" s="19" t="str">
        <f>'Constants - Fertiliser'!$D$30</f>
        <v>Phosphorus - Generic</v>
      </c>
      <c r="H188" s="19"/>
      <c r="I188" s="19"/>
      <c r="J188" s="19"/>
      <c r="K188" s="19" t="str" cm="1">
        <f t="array" ref="K188">Common_InputFunctions.Utility_DisplayArrayInTable(Scope3_SourceData.Scope3_InorganicFertilisers_Data(), Table_SourceData_Scope3_InorganicFertiliser[[#Headers],[Category]], 0, -2)</f>
        <v>kg P</v>
      </c>
      <c r="L188" s="19" cm="1">
        <f t="array" ref="L188">Common_InputFunctions.Utility_DisplayArrayInTable(Scope3_SourceData.Scope3_InorganicFertilisers_Data(), Table_SourceData_Scope3_InorganicFertiliser[[#Headers],[Category]], 0, -2)</f>
        <v>3.96</v>
      </c>
      <c r="M188" s="19" t="str" cm="1">
        <f t="array" ref="M188">Common_InputFunctions.Utility_DisplayArrayInTable(Scope3_SourceData.Scope3_InorganicFertilisers_Data(), Table_SourceData_Scope3_InorganicFertiliser[[#Headers],[Category]], 0, -2)</f>
        <v>at market</v>
      </c>
      <c r="N188" s="19" t="s">
        <v>1169</v>
      </c>
    </row>
    <row r="189" spans="1:14" ht="20.100000000000001" customHeight="1" x14ac:dyDescent="0.2">
      <c r="D189" s="19" t="str" cm="1">
        <f t="array" ref="D189">Common_InputFunctions.Utility_DisplayArrayInTable(Scope3_SourceData.Scope3_InorganicFertilisers_Data(), Table_SourceData_Scope3_InorganicFertiliser[[#Headers],[Category]], 0, 2)</f>
        <v>Inorganic fertilisers</v>
      </c>
      <c r="E189" s="19" t="str" cm="1">
        <f t="array" ref="E189">Common_InputFunctions.Utility_DisplayArrayInTable(Scope3_SourceData.Scope3_InorganicFertilisers_Data(), Table_SourceData_Scope3_InorganicFertiliser[[#Headers],[Category]], 0, 2)</f>
        <v>Potassium from fertilizer, AU market mix</v>
      </c>
      <c r="F189" s="19" t="str" cm="1">
        <f t="array" ref="F189">Common_InputFunctions.Utility_DisplayArrayInTable(Scope3_SourceData.Scope3_InorganicFertilisers_Data(), Table_SourceData_Scope3_InorganicFertiliser[[#Headers],[Category]], 0, 2)</f>
        <v>Global</v>
      </c>
      <c r="G189" s="19" t="str">
        <f>'Constants - Fertiliser'!$D$31</f>
        <v>Potassium - Generic</v>
      </c>
      <c r="H189" s="19"/>
      <c r="I189" s="19"/>
      <c r="J189" s="19"/>
      <c r="K189" s="19" t="str" cm="1">
        <f t="array" ref="K189">Common_InputFunctions.Utility_DisplayArrayInTable(Scope3_SourceData.Scope3_InorganicFertilisers_Data(), Table_SourceData_Scope3_InorganicFertiliser[[#Headers],[Category]], 0, -2)</f>
        <v>kg K</v>
      </c>
      <c r="L189" s="19" cm="1">
        <f t="array" ref="L189">Common_InputFunctions.Utility_DisplayArrayInTable(Scope3_SourceData.Scope3_InorganicFertilisers_Data(), Table_SourceData_Scope3_InorganicFertiliser[[#Headers],[Category]], 0, -2)</f>
        <v>0.90900000000000003</v>
      </c>
      <c r="M189" s="19" t="str" cm="1">
        <f t="array" ref="M189">Common_InputFunctions.Utility_DisplayArrayInTable(Scope3_SourceData.Scope3_InorganicFertilisers_Data(), Table_SourceData_Scope3_InorganicFertiliser[[#Headers],[Category]], 0, -2)</f>
        <v>at market</v>
      </c>
      <c r="N189" s="19" t="s">
        <v>1169</v>
      </c>
    </row>
    <row r="190" spans="1:14" ht="20.100000000000001" customHeight="1" x14ac:dyDescent="0.2">
      <c r="D190" s="19" t="str" cm="1">
        <f t="array" ref="D190">Common_InputFunctions.Utility_DisplayArrayInTable(Scope3_SourceData.Scope3_InorganicFertilisers_Data(), Table_SourceData_Scope3_InorganicFertiliser[[#Headers],[Category]], 0, 2)</f>
        <v>Inorganic fertilisers</v>
      </c>
      <c r="E190" s="19" t="str" cm="1">
        <f t="array" ref="E190">Common_InputFunctions.Utility_DisplayArrayInTable(Scope3_SourceData.Scope3_InorganicFertilisers_Data(), Table_SourceData_Scope3_InorganicFertiliser[[#Headers],[Category]], 0, 2)</f>
        <v>Single superphosphate, AU market mix</v>
      </c>
      <c r="F190" s="19" t="str" cm="1">
        <f t="array" ref="F190">Common_InputFunctions.Utility_DisplayArrayInTable(Scope3_SourceData.Scope3_InorganicFertilisers_Data(), Table_SourceData_Scope3_InorganicFertiliser[[#Headers],[Category]], 0, 2)</f>
        <v>Global</v>
      </c>
      <c r="G190" s="19" t="str">
        <f>'Constants - Fertiliser'!$D$36</f>
        <v>Single superphosphate (SSP)</v>
      </c>
      <c r="H190" s="19"/>
      <c r="I190" s="19"/>
      <c r="J190" s="19"/>
      <c r="K190" s="19" t="str" cm="1">
        <f t="array" ref="K190">Common_InputFunctions.Utility_DisplayArrayInTable(Scope3_SourceData.Scope3_InorganicFertilisers_Data(), Table_SourceData_Scope3_InorganicFertiliser[[#Headers],[Category]], 0, -2)</f>
        <v>kg</v>
      </c>
      <c r="L190" s="19" cm="1">
        <f t="array" ref="L190">Common_InputFunctions.Utility_DisplayArrayInTable(Scope3_SourceData.Scope3_InorganicFertilisers_Data(), Table_SourceData_Scope3_InorganicFertiliser[[#Headers],[Category]], 0, -2)</f>
        <v>0.22700000000000001</v>
      </c>
      <c r="M190" s="19" t="str" cm="1">
        <f t="array" ref="M190">Common_InputFunctions.Utility_DisplayArrayInTable(Scope3_SourceData.Scope3_InorganicFertilisers_Data(), Table_SourceData_Scope3_InorganicFertiliser[[#Headers],[Category]], 0, -2)</f>
        <v>at market</v>
      </c>
      <c r="N190" s="19" t="s">
        <v>1169</v>
      </c>
    </row>
    <row r="191" spans="1:14" ht="20.100000000000001" customHeight="1" x14ac:dyDescent="0.2">
      <c r="D191" s="19" t="str" cm="1">
        <f t="array" ref="D191">Common_InputFunctions.Utility_DisplayArrayInTable(Scope3_SourceData.Scope3_InorganicFertilisers_Data(), Table_SourceData_Scope3_InorganicFertiliser[[#Headers],[Category]], 0, 2)</f>
        <v>Inorganic fertilisers</v>
      </c>
      <c r="E191" s="19" t="str" cm="1">
        <f t="array" ref="E191">Common_InputFunctions.Utility_DisplayArrayInTable(Scope3_SourceData.Scope3_InorganicFertilisers_Data(), Table_SourceData_Scope3_InorganicFertiliser[[#Headers],[Category]], 0, 2)</f>
        <v>Sulfur from fertilizer, AU market mix</v>
      </c>
      <c r="F191" s="19" t="str" cm="1">
        <f t="array" ref="F191">Common_InputFunctions.Utility_DisplayArrayInTable(Scope3_SourceData.Scope3_InorganicFertilisers_Data(), Table_SourceData_Scope3_InorganicFertiliser[[#Headers],[Category]], 0, 2)</f>
        <v>Global</v>
      </c>
      <c r="G191" s="19" t="str">
        <f>'Constants - Fertiliser'!$D$32</f>
        <v>Sulfur - Generic</v>
      </c>
      <c r="H191" s="19"/>
      <c r="I191" s="19"/>
      <c r="J191" s="19"/>
      <c r="K191" s="19" t="str" cm="1">
        <f t="array" ref="K191">Common_InputFunctions.Utility_DisplayArrayInTable(Scope3_SourceData.Scope3_InorganicFertilisers_Data(), Table_SourceData_Scope3_InorganicFertiliser[[#Headers],[Category]], 0, -2)</f>
        <v>kg S</v>
      </c>
      <c r="L191" s="19" cm="1">
        <f t="array" ref="L191">Common_InputFunctions.Utility_DisplayArrayInTable(Scope3_SourceData.Scope3_InorganicFertilisers_Data(), Table_SourceData_Scope3_InorganicFertiliser[[#Headers],[Category]], 0, -2)</f>
        <v>2.5</v>
      </c>
      <c r="M191" s="19" t="str" cm="1">
        <f t="array" ref="M191">Common_InputFunctions.Utility_DisplayArrayInTable(Scope3_SourceData.Scope3_InorganicFertilisers_Data(), Table_SourceData_Scope3_InorganicFertiliser[[#Headers],[Category]], 0, -2)</f>
        <v>at market</v>
      </c>
      <c r="N191" s="19" t="s">
        <v>1169</v>
      </c>
    </row>
    <row r="192" spans="1:14" ht="20.100000000000001" customHeight="1" x14ac:dyDescent="0.2">
      <c r="D192" s="19" t="str" cm="1">
        <f t="array" ref="D192">Common_InputFunctions.Utility_DisplayArrayInTable(Scope3_SourceData.Scope3_InorganicFertilisers_Data(), Table_SourceData_Scope3_InorganicFertiliser[[#Headers],[Category]], 0, 2)</f>
        <v>Inorganic fertilisers</v>
      </c>
      <c r="E192" s="19" t="str" cm="1">
        <f t="array" ref="E192">Common_InputFunctions.Utility_DisplayArrayInTable(Scope3_SourceData.Scope3_InorganicFertilisers_Data(), Table_SourceData_Scope3_InorganicFertiliser[[#Headers],[Category]], 0, 2)</f>
        <v>Ammonium sulphate, AU market mix</v>
      </c>
      <c r="F192" s="19" t="str" cm="1">
        <f t="array" ref="F192">Common_InputFunctions.Utility_DisplayArrayInTable(Scope3_SourceData.Scope3_InorganicFertilisers_Data(), Table_SourceData_Scope3_InorganicFertiliser[[#Headers],[Category]], 0, 2)</f>
        <v>Global</v>
      </c>
      <c r="G192" s="19" t="str">
        <f>'Constants - Fertiliser'!$D$23</f>
        <v>Sulphate of ammonia (SOA)</v>
      </c>
      <c r="H192" s="19"/>
      <c r="I192" s="19"/>
      <c r="J192" s="19"/>
      <c r="K192" s="19" t="str" cm="1">
        <f t="array" ref="K192">Common_InputFunctions.Utility_DisplayArrayInTable(Scope3_SourceData.Scope3_InorganicFertilisers_Data(), Table_SourceData_Scope3_InorganicFertiliser[[#Headers],[Category]], 0, -2)</f>
        <v>kg</v>
      </c>
      <c r="L192" s="19" cm="1">
        <f t="array" ref="L192">Common_InputFunctions.Utility_DisplayArrayInTable(Scope3_SourceData.Scope3_InorganicFertilisers_Data(), Table_SourceData_Scope3_InorganicFertiliser[[#Headers],[Category]], 0, -2)</f>
        <v>0.86499999999999999</v>
      </c>
      <c r="M192" s="19" t="str" cm="1">
        <f t="array" ref="M192">Common_InputFunctions.Utility_DisplayArrayInTable(Scope3_SourceData.Scope3_InorganicFertilisers_Data(), Table_SourceData_Scope3_InorganicFertiliser[[#Headers],[Category]], 0, -2)</f>
        <v>at market</v>
      </c>
      <c r="N192" s="19" t="s">
        <v>1169</v>
      </c>
    </row>
    <row r="193" spans="4:14" ht="20.100000000000001" customHeight="1" x14ac:dyDescent="0.2">
      <c r="D193" s="19" t="str" cm="1">
        <f t="array" ref="D193">Common_InputFunctions.Utility_DisplayArrayInTable(Scope3_SourceData.Scope3_InorganicFertilisers_Data(), Table_SourceData_Scope3_InorganicFertiliser[[#Headers],[Category]], 0, 2)</f>
        <v>Inorganic fertilisers</v>
      </c>
      <c r="E193" s="19" t="str" cm="1">
        <f t="array" ref="E193">Common_InputFunctions.Utility_DisplayArrayInTable(Scope3_SourceData.Scope3_InorganicFertilisers_Data(), Table_SourceData_Scope3_InorganicFertiliser[[#Headers],[Category]], 0, 2)</f>
        <v>Urea ammonium nitrate, AU market mix</v>
      </c>
      <c r="F193" s="19" t="str" cm="1">
        <f t="array" ref="F193">Common_InputFunctions.Utility_DisplayArrayInTable(Scope3_SourceData.Scope3_InorganicFertilisers_Data(), Table_SourceData_Scope3_InorganicFertiliser[[#Headers],[Category]], 0, 2)</f>
        <v>Global</v>
      </c>
      <c r="G193" s="19" t="str">
        <f>'Constants - Fertiliser'!$D$24</f>
        <v>Urea-ammonium nitrate (UAN)</v>
      </c>
      <c r="H193" s="19"/>
      <c r="I193" s="19"/>
      <c r="J193" s="19"/>
      <c r="K193" s="19" t="str" cm="1">
        <f t="array" ref="K193">Common_InputFunctions.Utility_DisplayArrayInTable(Scope3_SourceData.Scope3_InorganicFertilisers_Data(), Table_SourceData_Scope3_InorganicFertiliser[[#Headers],[Category]], 0, -2)</f>
        <v>kg</v>
      </c>
      <c r="L193" s="19" cm="1">
        <f t="array" ref="L193">Common_InputFunctions.Utility_DisplayArrayInTable(Scope3_SourceData.Scope3_InorganicFertilisers_Data(), Table_SourceData_Scope3_InorganicFertiliser[[#Headers],[Category]], 0, -2)</f>
        <v>1.75</v>
      </c>
      <c r="M193" s="19" t="str" cm="1">
        <f t="array" ref="M193">Common_InputFunctions.Utility_DisplayArrayInTable(Scope3_SourceData.Scope3_InorganicFertilisers_Data(), Table_SourceData_Scope3_InorganicFertiliser[[#Headers],[Category]], 0, -2)</f>
        <v>at market</v>
      </c>
      <c r="N193" s="19" t="s">
        <v>1169</v>
      </c>
    </row>
    <row r="194" spans="4:14" ht="20.100000000000001" customHeight="1" x14ac:dyDescent="0.2">
      <c r="D194" s="19" t="str" cm="1">
        <f t="array" ref="D194">Common_InputFunctions.Utility_DisplayArrayInTable(Scope3_SourceData.Scope3_InorganicFertilisers_Data(), Table_SourceData_Scope3_InorganicFertiliser[[#Headers],[Category]], 0, 2)</f>
        <v>Inorganic fertilisers</v>
      </c>
      <c r="E194" s="19" t="str" cm="1">
        <f t="array" ref="E194">Common_InputFunctions.Utility_DisplayArrayInTable(Scope3_SourceData.Scope3_InorganicFertilisers_Data(), Table_SourceData_Scope3_InorganicFertiliser[[#Headers],[Category]], 0, 2)</f>
        <v>Urea, AU market mix</v>
      </c>
      <c r="F194" s="19" t="str" cm="1">
        <f t="array" ref="F194">Common_InputFunctions.Utility_DisplayArrayInTable(Scope3_SourceData.Scope3_InorganicFertilisers_Data(), Table_SourceData_Scope3_InorganicFertiliser[[#Headers],[Category]], 0, 2)</f>
        <v>Global</v>
      </c>
      <c r="G194" s="19" t="str">
        <f>'Constants - Fertiliser'!$D$22</f>
        <v>Urea</v>
      </c>
      <c r="H194" s="19" t="str">
        <f>'Constants - Fertiliser'!$V$20</f>
        <v>Global</v>
      </c>
      <c r="I194" s="19"/>
      <c r="J194" s="19"/>
      <c r="K194" s="19" t="str" cm="1">
        <f t="array" ref="K194">Common_InputFunctions.Utility_DisplayArrayInTable(Scope3_SourceData.Scope3_InorganicFertilisers_Data(), Table_SourceData_Scope3_InorganicFertiliser[[#Headers],[Category]], 0, -2)</f>
        <v>kg</v>
      </c>
      <c r="L194" s="19" cm="1">
        <f t="array" ref="L194">Common_InputFunctions.Utility_DisplayArrayInTable(Scope3_SourceData.Scope3_InorganicFertilisers_Data(), Table_SourceData_Scope3_InorganicFertiliser[[#Headers],[Category]], 0, -2)</f>
        <v>0.96799999999999997</v>
      </c>
      <c r="M194" s="19" t="str" cm="1">
        <f t="array" ref="M194">Common_InputFunctions.Utility_DisplayArrayInTable(Scope3_SourceData.Scope3_InorganicFertilisers_Data(), Table_SourceData_Scope3_InorganicFertiliser[[#Headers],[Category]], 0, -2)</f>
        <v>at market</v>
      </c>
      <c r="N194" s="19" t="s">
        <v>1169</v>
      </c>
    </row>
    <row r="195" spans="4:14" ht="20.100000000000001" customHeight="1" x14ac:dyDescent="0.2">
      <c r="D195" s="19" t="str" cm="1">
        <f t="array" ref="D195">Common_InputFunctions.Utility_DisplayArrayInTable(Scope3_SourceData.Scope3_InorganicFertilisers_Data(), Table_SourceData_Scope3_InorganicFertiliser[[#Headers],[Category]], 0, 2)</f>
        <v>Inorganic fertilisers</v>
      </c>
      <c r="E195" s="19" t="str" cm="1">
        <f t="array" ref="E195">Common_InputFunctions.Utility_DisplayArrayInTable(Scope3_SourceData.Scope3_InorganicFertilisers_Data(), Table_SourceData_Scope3_InorganicFertiliser[[#Headers],[Category]], 0, 2)</f>
        <v>Urea, Canada</v>
      </c>
      <c r="F195" s="19" t="str" cm="1">
        <f t="array" ref="F195">Common_InputFunctions.Utility_DisplayArrayInTable(Scope3_SourceData.Scope3_InorganicFertilisers_Data(), Table_SourceData_Scope3_InorganicFertiliser[[#Headers],[Category]], 0, 2)</f>
        <v>Canada</v>
      </c>
      <c r="G195" s="19" t="str">
        <f>'Constants - Fertiliser'!$D$22</f>
        <v>Urea</v>
      </c>
      <c r="H195" s="19" t="str">
        <f>'Constants - Fertiliser'!$V$21</f>
        <v>Canada</v>
      </c>
      <c r="I195" s="19"/>
      <c r="J195" s="19"/>
      <c r="K195" s="19" t="str" cm="1">
        <f t="array" ref="K195">Common_InputFunctions.Utility_DisplayArrayInTable(Scope3_SourceData.Scope3_InorganicFertilisers_Data(), Table_SourceData_Scope3_InorganicFertiliser[[#Headers],[Category]], 0, -2)</f>
        <v>kg</v>
      </c>
      <c r="L195" s="19" cm="1">
        <f t="array" ref="L195">Common_InputFunctions.Utility_DisplayArrayInTable(Scope3_SourceData.Scope3_InorganicFertilisers_Data(), Table_SourceData_Scope3_InorganicFertiliser[[#Headers],[Category]], 0, -2)</f>
        <v>0.82299999999999995</v>
      </c>
      <c r="M195" s="19" t="str" cm="1">
        <f t="array" ref="M195">Common_InputFunctions.Utility_DisplayArrayInTable(Scope3_SourceData.Scope3_InorganicFertilisers_Data(), Table_SourceData_Scope3_InorganicFertiliser[[#Headers],[Category]], 0, -2)</f>
        <v>at market</v>
      </c>
      <c r="N195" s="19" t="s">
        <v>1169</v>
      </c>
    </row>
    <row r="196" spans="4:14" ht="20.100000000000001" customHeight="1" x14ac:dyDescent="0.2">
      <c r="D196" s="19" t="str" cm="1">
        <f t="array" ref="D196">Common_InputFunctions.Utility_DisplayArrayInTable(Scope3_SourceData.Scope3_InorganicFertilisers_Data(), Table_SourceData_Scope3_InorganicFertiliser[[#Headers],[Category]], 0, 2)</f>
        <v>Inorganic fertilisers</v>
      </c>
      <c r="E196" s="19" t="str" cm="1">
        <f t="array" ref="E196">Common_InputFunctions.Utility_DisplayArrayInTable(Scope3_SourceData.Scope3_InorganicFertilisers_Data(), Table_SourceData_Scope3_InorganicFertiliser[[#Headers],[Category]], 0, 2)</f>
        <v>Urea, China</v>
      </c>
      <c r="F196" s="19" t="str" cm="1">
        <f t="array" ref="F196">Common_InputFunctions.Utility_DisplayArrayInTable(Scope3_SourceData.Scope3_InorganicFertilisers_Data(), Table_SourceData_Scope3_InorganicFertiliser[[#Headers],[Category]], 0, 2)</f>
        <v>China</v>
      </c>
      <c r="G196" s="19" t="str">
        <f>'Constants - Fertiliser'!$D$22</f>
        <v>Urea</v>
      </c>
      <c r="H196" s="19" t="str">
        <f>'Constants - Fertiliser'!$V$22</f>
        <v>China</v>
      </c>
      <c r="I196" s="19"/>
      <c r="J196" s="19"/>
      <c r="K196" s="19" t="str" cm="1">
        <f t="array" ref="K196">Common_InputFunctions.Utility_DisplayArrayInTable(Scope3_SourceData.Scope3_InorganicFertilisers_Data(), Table_SourceData_Scope3_InorganicFertiliser[[#Headers],[Category]], 0, -2)</f>
        <v>kg</v>
      </c>
      <c r="L196" s="19" cm="1">
        <f t="array" ref="L196">Common_InputFunctions.Utility_DisplayArrayInTable(Scope3_SourceData.Scope3_InorganicFertilisers_Data(), Table_SourceData_Scope3_InorganicFertiliser[[#Headers],[Category]], 0, -2)</f>
        <v>2.09</v>
      </c>
      <c r="M196" s="19" t="str" cm="1">
        <f t="array" ref="M196">Common_InputFunctions.Utility_DisplayArrayInTable(Scope3_SourceData.Scope3_InorganicFertilisers_Data(), Table_SourceData_Scope3_InorganicFertiliser[[#Headers],[Category]], 0, -2)</f>
        <v>at market</v>
      </c>
      <c r="N196" s="19" t="s">
        <v>1169</v>
      </c>
    </row>
    <row r="197" spans="4:14" ht="20.100000000000001" customHeight="1" x14ac:dyDescent="0.2">
      <c r="D197" s="19" t="str" cm="1">
        <f t="array" ref="D197">Common_InputFunctions.Utility_DisplayArrayInTable(Scope3_SourceData.Scope3_InorganicFertilisers_Data(), Table_SourceData_Scope3_InorganicFertiliser[[#Headers],[Category]], 0, 2)</f>
        <v>Inorganic fertilisers</v>
      </c>
      <c r="E197" s="19" t="str" cm="1">
        <f t="array" ref="E197">Common_InputFunctions.Utility_DisplayArrayInTable(Scope3_SourceData.Scope3_InorganicFertilisers_Data(), Table_SourceData_Scope3_InorganicFertiliser[[#Headers],[Category]], 0, 2)</f>
        <v>Urea, Yemen</v>
      </c>
      <c r="F197" s="19" t="str" cm="1">
        <f t="array" ref="F197">Common_InputFunctions.Utility_DisplayArrayInTable(Scope3_SourceData.Scope3_InorganicFertilisers_Data(), Table_SourceData_Scope3_InorganicFertiliser[[#Headers],[Category]], 0, 2)</f>
        <v>Yemen</v>
      </c>
      <c r="G197" s="19" t="str">
        <f>'Constants - Fertiliser'!$D$22</f>
        <v>Urea</v>
      </c>
      <c r="H197" s="19" t="str">
        <f>'Constants - Fertiliser'!$V$23</f>
        <v>Yemen</v>
      </c>
      <c r="I197" s="19"/>
      <c r="J197" s="19"/>
      <c r="K197" s="19" t="str" cm="1">
        <f t="array" ref="K197">Common_InputFunctions.Utility_DisplayArrayInTable(Scope3_SourceData.Scope3_InorganicFertilisers_Data(), Table_SourceData_Scope3_InorganicFertiliser[[#Headers],[Category]], 0, -2)</f>
        <v>kg</v>
      </c>
      <c r="L197" s="19" cm="1">
        <f t="array" ref="L197">Common_InputFunctions.Utility_DisplayArrayInTable(Scope3_SourceData.Scope3_InorganicFertilisers_Data(), Table_SourceData_Scope3_InorganicFertiliser[[#Headers],[Category]], 0, -2)</f>
        <v>0.96299999999999997</v>
      </c>
      <c r="M197" s="19" t="str" cm="1">
        <f t="array" ref="M197">Common_InputFunctions.Utility_DisplayArrayInTable(Scope3_SourceData.Scope3_InorganicFertilisers_Data(), Table_SourceData_Scope3_InorganicFertiliser[[#Headers],[Category]], 0, -2)</f>
        <v>at market</v>
      </c>
      <c r="N197" s="19" t="s">
        <v>1169</v>
      </c>
    </row>
    <row r="198" spans="4:14" ht="20.100000000000001" customHeight="1" x14ac:dyDescent="0.2">
      <c r="D198" s="19" t="str" cm="1">
        <f t="array" ref="D198">Common_InputFunctions.Utility_DisplayArrayInTable(Scope3_SourceData.Scope3_InorganicFertilisers_Data(), Table_SourceData_Scope3_InorganicFertiliser[[#Headers],[Category]], 0, 2)</f>
        <v>Inorganic fertilisers</v>
      </c>
      <c r="E198" s="19" t="str" cm="1">
        <f t="array" ref="E198">Common_InputFunctions.Utility_DisplayArrayInTable(Scope3_SourceData.Scope3_InorganicFertilisers_Data(), Table_SourceData_Scope3_InorganicFertiliser[[#Headers],[Category]], 0, 2)</f>
        <v>Zinc from fertilizer</v>
      </c>
      <c r="F198" s="19" t="str" cm="1">
        <f t="array" ref="F198">Common_InputFunctions.Utility_DisplayArrayInTable(Scope3_SourceData.Scope3_InorganicFertilisers_Data(), Table_SourceData_Scope3_InorganicFertiliser[[#Headers],[Category]], 0, 2)</f>
        <v>Global</v>
      </c>
      <c r="G198" s="19" t="str">
        <f>'Constants - Fertiliser'!$D$33</f>
        <v>Zinc - Generic</v>
      </c>
      <c r="H198" s="19"/>
      <c r="I198" s="19"/>
      <c r="J198" s="19"/>
      <c r="K198" s="19" t="str" cm="1">
        <f t="array" ref="K198">Common_InputFunctions.Utility_DisplayArrayInTable(Scope3_SourceData.Scope3_InorganicFertilisers_Data(), Table_SourceData_Scope3_InorganicFertiliser[[#Headers],[Category]], 0, -2)</f>
        <v>kg Zn</v>
      </c>
      <c r="L198" s="19" cm="1">
        <f t="array" ref="L198">Common_InputFunctions.Utility_DisplayArrayInTable(Scope3_SourceData.Scope3_InorganicFertilisers_Data(), Table_SourceData_Scope3_InorganicFertiliser[[#Headers],[Category]], 0, -2)</f>
        <v>4.82</v>
      </c>
      <c r="M198" s="19" t="str" cm="1">
        <f t="array" ref="M198">Common_InputFunctions.Utility_DisplayArrayInTable(Scope3_SourceData.Scope3_InorganicFertilisers_Data(), Table_SourceData_Scope3_InorganicFertiliser[[#Headers],[Category]], 0, -2)</f>
        <v>at market</v>
      </c>
      <c r="N198" s="19" t="s">
        <v>1169</v>
      </c>
    </row>
    <row r="200" spans="4:14" ht="20.100000000000001" customHeight="1" x14ac:dyDescent="0.2">
      <c r="D200" s="2" t="s">
        <v>1183</v>
      </c>
    </row>
    <row r="201" spans="4:14" ht="20.100000000000001" customHeight="1" x14ac:dyDescent="0.2">
      <c r="D201" s="19" t="s">
        <v>1162</v>
      </c>
      <c r="E201" s="19" t="s">
        <v>132</v>
      </c>
      <c r="F201" s="19" t="s">
        <v>1163</v>
      </c>
      <c r="G201" s="19" t="s">
        <v>1164</v>
      </c>
      <c r="H201" s="19" t="s">
        <v>1165</v>
      </c>
      <c r="I201" s="19" t="s">
        <v>1166</v>
      </c>
      <c r="J201" s="19" t="s">
        <v>570</v>
      </c>
    </row>
    <row r="202" spans="4:14" ht="20.100000000000001" customHeight="1" x14ac:dyDescent="0.2">
      <c r="D202" s="19" t="str" cm="1">
        <f t="array" ref="D202">Common_InputFunctions.Utility_DisplayArrayInTable(Scope3_SourceData.Scope3_Other_Data(), Table_SourceData_Scope3_Other[[#Headers],[Category]], 0, 2)</f>
        <v>Other</v>
      </c>
      <c r="E202" s="19" t="str" cm="1">
        <f t="array" ref="E202">Common_InputFunctions.Utility_DisplayArrayInTable(Scope3_SourceData.Scope3_Other_Data(), Table_SourceData_Scope3_Other[[#Headers],[Category]], 0, 2)</f>
        <v>Animal ear tags (large)</v>
      </c>
      <c r="F202" s="19" t="str" cm="1">
        <f t="array" ref="F202">Common_InputFunctions.Utility_DisplayArrayInTable(Scope3_SourceData.Scope3_Other_Data(), Table_SourceData_Scope3_Other[[#Headers],[Category]], 0, 2)</f>
        <v>Australia</v>
      </c>
      <c r="G202" s="19" t="str" cm="1">
        <f t="array" ref="G202">Common_InputFunctions.Utility_DisplayArrayInTable(Scope3_SourceData.Scope3_Other_Data(), Table_SourceData_Scope3_Other[[#Headers],[Category]], 0, 2)</f>
        <v>p</v>
      </c>
      <c r="H202" s="19" cm="1">
        <f t="array" ref="H202">Common_InputFunctions.Utility_DisplayArrayInTable(Scope3_SourceData.Scope3_Other_Data(), Table_SourceData_Scope3_Other[[#Headers],[Category]], 0, 2)</f>
        <v>4.24E-2</v>
      </c>
      <c r="I202" s="19" t="str" cm="1">
        <f t="array" ref="I202">Common_InputFunctions.Utility_DisplayArrayInTable(Scope3_SourceData.Scope3_Other_Data(), Table_SourceData_Scope3_Other[[#Headers],[Category]], 0, 2)</f>
        <v>at market</v>
      </c>
      <c r="J202" s="19" t="s">
        <v>1169</v>
      </c>
    </row>
    <row r="203" spans="4:14" ht="20.100000000000001" customHeight="1" x14ac:dyDescent="0.2">
      <c r="D203" s="19" t="str" cm="1">
        <f t="array" ref="D203">Common_InputFunctions.Utility_DisplayArrayInTable(Scope3_SourceData.Scope3_Other_Data(), Table_SourceData_Scope3_Other[[#Headers],[Category]], 0, 2)</f>
        <v>Other</v>
      </c>
      <c r="E203" s="19" t="str" cm="1">
        <f t="array" ref="E203">Common_InputFunctions.Utility_DisplayArrayInTable(Scope3_SourceData.Scope3_Other_Data(), Table_SourceData_Scope3_Other[[#Headers],[Category]], 0, 2)</f>
        <v>Animal ear tags (small)</v>
      </c>
      <c r="F203" s="19" t="str" cm="1">
        <f t="array" ref="F203">Common_InputFunctions.Utility_DisplayArrayInTable(Scope3_SourceData.Scope3_Other_Data(), Table_SourceData_Scope3_Other[[#Headers],[Category]], 0, 2)</f>
        <v>Australia</v>
      </c>
      <c r="G203" s="19" t="str" cm="1">
        <f t="array" ref="G203">Common_InputFunctions.Utility_DisplayArrayInTable(Scope3_SourceData.Scope3_Other_Data(), Table_SourceData_Scope3_Other[[#Headers],[Category]], 0, 2)</f>
        <v>p</v>
      </c>
      <c r="H203" s="19" cm="1">
        <f t="array" ref="H203">Common_InputFunctions.Utility_DisplayArrayInTable(Scope3_SourceData.Scope3_Other_Data(), Table_SourceData_Scope3_Other[[#Headers],[Category]], 0, 2)</f>
        <v>2.93E-2</v>
      </c>
      <c r="I203" s="19" t="str" cm="1">
        <f t="array" ref="I203">Common_InputFunctions.Utility_DisplayArrayInTable(Scope3_SourceData.Scope3_Other_Data(), Table_SourceData_Scope3_Other[[#Headers],[Category]], 0, 2)</f>
        <v>at market</v>
      </c>
      <c r="J203" s="19" t="s">
        <v>1169</v>
      </c>
    </row>
    <row r="204" spans="4:14" ht="20.100000000000001" customHeight="1" x14ac:dyDescent="0.2">
      <c r="D204" s="19" t="str" cm="1">
        <f t="array" ref="D204">Common_InputFunctions.Utility_DisplayArrayInTable(Scope3_SourceData.Scope3_Other_Data(), Table_SourceData_Scope3_Other[[#Headers],[Category]], 0, 2)</f>
        <v>Other</v>
      </c>
      <c r="E204" s="19" t="str" cm="1">
        <f t="array" ref="E204">Common_InputFunctions.Utility_DisplayArrayInTable(Scope3_SourceData.Scope3_Other_Data(), Table_SourceData_Scope3_Other[[#Headers],[Category]], 0, 2)</f>
        <v>Barley grain (for seed)</v>
      </c>
      <c r="F204" s="19" t="str" cm="1">
        <f t="array" ref="F204">Common_InputFunctions.Utility_DisplayArrayInTable(Scope3_SourceData.Scope3_Other_Data(), Table_SourceData_Scope3_Other[[#Headers],[Category]], 0, 2)</f>
        <v>Australia</v>
      </c>
      <c r="G204" s="19" t="str" cm="1">
        <f t="array" ref="G204">Common_InputFunctions.Utility_DisplayArrayInTable(Scope3_SourceData.Scope3_Other_Data(), Table_SourceData_Scope3_Other[[#Headers],[Category]], 0, 2)</f>
        <v>kg</v>
      </c>
      <c r="H204" s="19" cm="1">
        <f t="array" ref="H204">Common_InputFunctions.Utility_DisplayArrayInTable(Scope3_SourceData.Scope3_Other_Data(), Table_SourceData_Scope3_Other[[#Headers],[Category]], 0, 2)</f>
        <v>0.23899999999999999</v>
      </c>
      <c r="I204" s="19" t="str" cm="1">
        <f t="array" ref="I204">Common_InputFunctions.Utility_DisplayArrayInTable(Scope3_SourceData.Scope3_Other_Data(), Table_SourceData_Scope3_Other[[#Headers],[Category]], 0, 2)</f>
        <v>at market</v>
      </c>
      <c r="J204" s="19" t="s">
        <v>1169</v>
      </c>
    </row>
    <row r="205" spans="4:14" ht="20.100000000000001" customHeight="1" x14ac:dyDescent="0.2">
      <c r="D205" s="19" t="str" cm="1">
        <f t="array" ref="D205">Common_InputFunctions.Utility_DisplayArrayInTable(Scope3_SourceData.Scope3_Other_Data(), Table_SourceData_Scope3_Other[[#Headers],[Category]], 0, 2)</f>
        <v>Other</v>
      </c>
      <c r="E205" s="19" t="str" cm="1">
        <f t="array" ref="E205">Common_InputFunctions.Utility_DisplayArrayInTable(Scope3_SourceData.Scope3_Other_Data(), Table_SourceData_Scope3_Other[[#Headers],[Category]], 0, 2)</f>
        <v>Maize grain (for seed)</v>
      </c>
      <c r="F205" s="19" t="str" cm="1">
        <f t="array" ref="F205">Common_InputFunctions.Utility_DisplayArrayInTable(Scope3_SourceData.Scope3_Other_Data(), Table_SourceData_Scope3_Other[[#Headers],[Category]], 0, 2)</f>
        <v>Australia</v>
      </c>
      <c r="G205" s="19" t="str" cm="1">
        <f t="array" ref="G205">Common_InputFunctions.Utility_DisplayArrayInTable(Scope3_SourceData.Scope3_Other_Data(), Table_SourceData_Scope3_Other[[#Headers],[Category]], 0, 2)</f>
        <v>kg</v>
      </c>
      <c r="H205" s="19" cm="1">
        <f t="array" ref="H205">Common_InputFunctions.Utility_DisplayArrayInTable(Scope3_SourceData.Scope3_Other_Data(), Table_SourceData_Scope3_Other[[#Headers],[Category]], 0, 2)</f>
        <v>0.18099999999999999</v>
      </c>
      <c r="I205" s="19" t="str" cm="1">
        <f t="array" ref="I205">Common_InputFunctions.Utility_DisplayArrayInTable(Scope3_SourceData.Scope3_Other_Data(), Table_SourceData_Scope3_Other[[#Headers],[Category]], 0, 2)</f>
        <v>at market</v>
      </c>
      <c r="J205" s="19" t="s">
        <v>1169</v>
      </c>
    </row>
    <row r="206" spans="4:14" ht="20.100000000000001" customHeight="1" x14ac:dyDescent="0.2">
      <c r="D206" s="19" t="str" cm="1">
        <f t="array" ref="D206">Common_InputFunctions.Utility_DisplayArrayInTable(Scope3_SourceData.Scope3_Other_Data(), Table_SourceData_Scope3_Other[[#Headers],[Category]], 0, 2)</f>
        <v>Other</v>
      </c>
      <c r="E206" s="19" t="str" cm="1">
        <f t="array" ref="E206">Common_InputFunctions.Utility_DisplayArrayInTable(Scope3_SourceData.Scope3_Other_Data(), Table_SourceData_Scope3_Other[[#Headers],[Category]], 0, 2)</f>
        <v>Nylon netting</v>
      </c>
      <c r="F206" s="19" t="str" cm="1">
        <f t="array" ref="F206">Common_InputFunctions.Utility_DisplayArrayInTable(Scope3_SourceData.Scope3_Other_Data(), Table_SourceData_Scope3_Other[[#Headers],[Category]], 0, 2)</f>
        <v>Global</v>
      </c>
      <c r="G206" s="19" t="str" cm="1">
        <f t="array" ref="G206">Common_InputFunctions.Utility_DisplayArrayInTable(Scope3_SourceData.Scope3_Other_Data(), Table_SourceData_Scope3_Other[[#Headers],[Category]], 0, 2)</f>
        <v>kg</v>
      </c>
      <c r="H206" s="19" cm="1">
        <f t="array" ref="H206">Common_InputFunctions.Utility_DisplayArrayInTable(Scope3_SourceData.Scope3_Other_Data(), Table_SourceData_Scope3_Other[[#Headers],[Category]], 0, 2)</f>
        <v>9.81</v>
      </c>
      <c r="I206" s="19" t="str" cm="1">
        <f t="array" ref="I206">Common_InputFunctions.Utility_DisplayArrayInTable(Scope3_SourceData.Scope3_Other_Data(), Table_SourceData_Scope3_Other[[#Headers],[Category]], 0, 2)</f>
        <v>at market</v>
      </c>
      <c r="J206" s="19" t="s">
        <v>1169</v>
      </c>
    </row>
    <row r="207" spans="4:14" ht="20.100000000000001" customHeight="1" x14ac:dyDescent="0.2">
      <c r="D207" s="19" t="str" cm="1">
        <f t="array" ref="D207">Common_InputFunctions.Utility_DisplayArrayInTable(Scope3_SourceData.Scope3_Other_Data(), Table_SourceData_Scope3_Other[[#Headers],[Category]], 0, 2)</f>
        <v>Other</v>
      </c>
      <c r="E207" s="19" t="str" cm="1">
        <f t="array" ref="E207">Common_InputFunctions.Utility_DisplayArrayInTable(Scope3_SourceData.Scope3_Other_Data(), Table_SourceData_Scope3_Other[[#Headers],[Category]], 0, 2)</f>
        <v>Oat grain (for seed)</v>
      </c>
      <c r="F207" s="19" t="str" cm="1">
        <f t="array" ref="F207">Common_InputFunctions.Utility_DisplayArrayInTable(Scope3_SourceData.Scope3_Other_Data(), Table_SourceData_Scope3_Other[[#Headers],[Category]], 0, 2)</f>
        <v>Australia</v>
      </c>
      <c r="G207" s="19" t="str" cm="1">
        <f t="array" ref="G207">Common_InputFunctions.Utility_DisplayArrayInTable(Scope3_SourceData.Scope3_Other_Data(), Table_SourceData_Scope3_Other[[#Headers],[Category]], 0, 2)</f>
        <v>kg</v>
      </c>
      <c r="H207" s="19" cm="1">
        <f t="array" ref="H207">Common_InputFunctions.Utility_DisplayArrayInTable(Scope3_SourceData.Scope3_Other_Data(), Table_SourceData_Scope3_Other[[#Headers],[Category]], 0, 2)</f>
        <v>0.27</v>
      </c>
      <c r="I207" s="19" t="str" cm="1">
        <f t="array" ref="I207">Common_InputFunctions.Utility_DisplayArrayInTable(Scope3_SourceData.Scope3_Other_Data(), Table_SourceData_Scope3_Other[[#Headers],[Category]], 0, 2)</f>
        <v>at market</v>
      </c>
      <c r="J207" s="19" t="s">
        <v>1169</v>
      </c>
    </row>
    <row r="208" spans="4:14" ht="20.100000000000001" customHeight="1" x14ac:dyDescent="0.2">
      <c r="D208" s="19" t="str" cm="1">
        <f t="array" ref="D208">Common_InputFunctions.Utility_DisplayArrayInTable(Scope3_SourceData.Scope3_Other_Data(), Table_SourceData_Scope3_Other[[#Headers],[Category]], 0, 2)</f>
        <v>Other</v>
      </c>
      <c r="E208" s="19" t="str" cm="1">
        <f t="array" ref="E208">Common_InputFunctions.Utility_DisplayArrayInTable(Scope3_SourceData.Scope3_Other_Data(), Table_SourceData_Scope3_Other[[#Headers],[Category]], 0, 2)</f>
        <v>Sorghum grain (for seed)</v>
      </c>
      <c r="F208" s="19" t="str" cm="1">
        <f t="array" ref="F208">Common_InputFunctions.Utility_DisplayArrayInTable(Scope3_SourceData.Scope3_Other_Data(), Table_SourceData_Scope3_Other[[#Headers],[Category]], 0, 2)</f>
        <v>Australia</v>
      </c>
      <c r="G208" s="19" t="str" cm="1">
        <f t="array" ref="G208">Common_InputFunctions.Utility_DisplayArrayInTable(Scope3_SourceData.Scope3_Other_Data(), Table_SourceData_Scope3_Other[[#Headers],[Category]], 0, 2)</f>
        <v>kg</v>
      </c>
      <c r="H208" s="19" cm="1">
        <f t="array" ref="H208">Common_InputFunctions.Utility_DisplayArrayInTable(Scope3_SourceData.Scope3_Other_Data(), Table_SourceData_Scope3_Other[[#Headers],[Category]], 0, 2)</f>
        <v>0.23200000000000001</v>
      </c>
      <c r="I208" s="19" t="str" cm="1">
        <f t="array" ref="I208">Common_InputFunctions.Utility_DisplayArrayInTable(Scope3_SourceData.Scope3_Other_Data(), Table_SourceData_Scope3_Other[[#Headers],[Category]], 0, 2)</f>
        <v>at market</v>
      </c>
      <c r="J208" s="19" t="s">
        <v>1169</v>
      </c>
    </row>
    <row r="209" spans="1:10" ht="20.100000000000001" customHeight="1" x14ac:dyDescent="0.2">
      <c r="D209" s="19" t="str" cm="1">
        <f t="array" ref="D209">Common_InputFunctions.Utility_DisplayArrayInTable(Scope3_SourceData.Scope3_Other_Data(), Table_SourceData_Scope3_Other[[#Headers],[Category]], 0, 2)</f>
        <v>Other</v>
      </c>
      <c r="E209" s="19" t="str" cm="1">
        <f t="array" ref="E209">Common_InputFunctions.Utility_DisplayArrayInTable(Scope3_SourceData.Scope3_Other_Data(), Table_SourceData_Scope3_Other[[#Headers],[Category]], 0, 2)</f>
        <v>Wheat grain (for seed)</v>
      </c>
      <c r="F209" s="19" t="str" cm="1">
        <f t="array" ref="F209">Common_InputFunctions.Utility_DisplayArrayInTable(Scope3_SourceData.Scope3_Other_Data(), Table_SourceData_Scope3_Other[[#Headers],[Category]], 0, 2)</f>
        <v>Australia</v>
      </c>
      <c r="G209" s="19" t="str" cm="1">
        <f t="array" ref="G209">Common_InputFunctions.Utility_DisplayArrayInTable(Scope3_SourceData.Scope3_Other_Data(), Table_SourceData_Scope3_Other[[#Headers],[Category]], 0, 2)</f>
        <v>kg</v>
      </c>
      <c r="H209" s="19" cm="1">
        <f t="array" ref="H209">Common_InputFunctions.Utility_DisplayArrayInTable(Scope3_SourceData.Scope3_Other_Data(), Table_SourceData_Scope3_Other[[#Headers],[Category]], 0, 2)</f>
        <v>0.26800000000000002</v>
      </c>
      <c r="I209" s="19" t="str" cm="1">
        <f t="array" ref="I209">Common_InputFunctions.Utility_DisplayArrayInTable(Scope3_SourceData.Scope3_Other_Data(), Table_SourceData_Scope3_Other[[#Headers],[Category]], 0, 2)</f>
        <v>at market</v>
      </c>
      <c r="J209" s="19" t="s">
        <v>1169</v>
      </c>
    </row>
    <row r="211" spans="1:10" ht="20.100000000000001" customHeight="1" x14ac:dyDescent="0.2">
      <c r="D211" s="2" t="s">
        <v>1184</v>
      </c>
    </row>
    <row r="212" spans="1:10" ht="20.100000000000001" customHeight="1" x14ac:dyDescent="0.2">
      <c r="D212" s="19" t="s">
        <v>1162</v>
      </c>
      <c r="E212" s="19" t="s">
        <v>132</v>
      </c>
      <c r="F212" s="19" t="s">
        <v>1163</v>
      </c>
      <c r="G212" s="19" t="s">
        <v>1164</v>
      </c>
      <c r="H212" s="19" t="s">
        <v>1165</v>
      </c>
      <c r="I212" s="19" t="s">
        <v>1166</v>
      </c>
      <c r="J212" s="19" t="s">
        <v>570</v>
      </c>
    </row>
    <row r="213" spans="1:10" ht="20.100000000000001" customHeight="1" x14ac:dyDescent="0.2">
      <c r="D213" s="19" t="str" cm="1">
        <f t="array" ref="D213">Common_InputFunctions.Utility_DisplayArrayInTable(Scope3_SourceData.Scope3_Packaging_Data(), Table_SourceData_Scope3_Packaging[[#Headers],[Category]], 0, 2)</f>
        <v>Packaging</v>
      </c>
      <c r="E213" s="19" t="str" cm="1">
        <f t="array" ref="E213">Common_InputFunctions.Utility_DisplayArrayInTable(Scope3_SourceData.Scope3_Packaging_Data(), Table_SourceData_Scope3_Packaging[[#Headers],[Category]], 0, 2)</f>
        <v>Corrugated board</v>
      </c>
      <c r="F213" s="19" t="str" cm="1">
        <f t="array" ref="F213">Common_InputFunctions.Utility_DisplayArrayInTable(Scope3_SourceData.Scope3_Packaging_Data(), Table_SourceData_Scope3_Packaging[[#Headers],[Category]], 0, 2)</f>
        <v>Global</v>
      </c>
      <c r="G213" s="19" t="str" cm="1">
        <f t="array" ref="G213">Common_InputFunctions.Utility_DisplayArrayInTable(Scope3_SourceData.Scope3_Packaging_Data(), Table_SourceData_Scope3_Packaging[[#Headers],[Category]], 0, 2)</f>
        <v>kg</v>
      </c>
      <c r="H213" s="19" cm="1">
        <f t="array" ref="H213">Common_InputFunctions.Utility_DisplayArrayInTable(Scope3_SourceData.Scope3_Packaging_Data(), Table_SourceData_Scope3_Packaging[[#Headers],[Category]], 0, 2)</f>
        <v>1.05</v>
      </c>
      <c r="I213" s="19" t="str" cm="1">
        <f t="array" ref="I213">Common_InputFunctions.Utility_DisplayArrayInTable(Scope3_SourceData.Scope3_Packaging_Data(), Table_SourceData_Scope3_Packaging[[#Headers],[Category]], 0, 2)</f>
        <v>at manufacturer</v>
      </c>
      <c r="J213" s="19" t="s">
        <v>1169</v>
      </c>
    </row>
    <row r="214" spans="1:10" ht="20.100000000000001" customHeight="1" x14ac:dyDescent="0.2">
      <c r="D214" s="19" t="str" cm="1">
        <f t="array" ref="D214">Common_InputFunctions.Utility_DisplayArrayInTable(Scope3_SourceData.Scope3_Packaging_Data(), Table_SourceData_Scope3_Packaging[[#Headers],[Category]], 0, 2)</f>
        <v>Packaging</v>
      </c>
      <c r="E214" s="19" t="str" cm="1">
        <f t="array" ref="E214">Common_InputFunctions.Utility_DisplayArrayInTable(Scope3_SourceData.Scope3_Packaging_Data(), Table_SourceData_Scope3_Packaging[[#Headers],[Category]], 0, 2)</f>
        <v>Plastic crate polypropylene</v>
      </c>
      <c r="F214" s="19" t="str" cm="1">
        <f t="array" ref="F214">Common_InputFunctions.Utility_DisplayArrayInTable(Scope3_SourceData.Scope3_Packaging_Data(), Table_SourceData_Scope3_Packaging[[#Headers],[Category]], 0, 2)</f>
        <v>Global</v>
      </c>
      <c r="G214" s="19" t="str" cm="1">
        <f t="array" ref="G214">Common_InputFunctions.Utility_DisplayArrayInTable(Scope3_SourceData.Scope3_Packaging_Data(), Table_SourceData_Scope3_Packaging[[#Headers],[Category]], 0, 2)</f>
        <v>p</v>
      </c>
      <c r="H214" s="19" cm="1">
        <f t="array" ref="H214">Common_InputFunctions.Utility_DisplayArrayInTable(Scope3_SourceData.Scope3_Packaging_Data(), Table_SourceData_Scope3_Packaging[[#Headers],[Category]], 0, 2)</f>
        <v>3.99</v>
      </c>
      <c r="I214" s="19" t="str" cm="1">
        <f t="array" ref="I214">Common_InputFunctions.Utility_DisplayArrayInTable(Scope3_SourceData.Scope3_Packaging_Data(), Table_SourceData_Scope3_Packaging[[#Headers],[Category]], 0, 2)</f>
        <v>at manufacturer</v>
      </c>
      <c r="J214" s="19" t="s">
        <v>1169</v>
      </c>
    </row>
    <row r="215" spans="1:10" ht="20.100000000000001" customHeight="1" x14ac:dyDescent="0.2">
      <c r="D215" s="19" t="str" cm="1">
        <f t="array" ref="D215">Common_InputFunctions.Utility_DisplayArrayInTable(Scope3_SourceData.Scope3_Packaging_Data(), Table_SourceData_Scope3_Packaging[[#Headers],[Category]], 0, 2)</f>
        <v>Packaging</v>
      </c>
      <c r="E215" s="19" t="str" cm="1">
        <f t="array" ref="E215">Common_InputFunctions.Utility_DisplayArrayInTable(Scope3_SourceData.Scope3_Packaging_Data(), Table_SourceData_Scope3_Packaging[[#Headers],[Category]], 0, 2)</f>
        <v>Plastic film LDPE</v>
      </c>
      <c r="F215" s="19" t="str" cm="1">
        <f t="array" ref="F215">Common_InputFunctions.Utility_DisplayArrayInTable(Scope3_SourceData.Scope3_Packaging_Data(), Table_SourceData_Scope3_Packaging[[#Headers],[Category]], 0, 2)</f>
        <v>Global</v>
      </c>
      <c r="G215" s="19" t="str" cm="1">
        <f t="array" ref="G215">Common_InputFunctions.Utility_DisplayArrayInTable(Scope3_SourceData.Scope3_Packaging_Data(), Table_SourceData_Scope3_Packaging[[#Headers],[Category]], 0, 2)</f>
        <v>kg</v>
      </c>
      <c r="H215" s="19" cm="1">
        <f t="array" ref="H215">Common_InputFunctions.Utility_DisplayArrayInTable(Scope3_SourceData.Scope3_Packaging_Data(), Table_SourceData_Scope3_Packaging[[#Headers],[Category]], 0, 2)</f>
        <v>3.44</v>
      </c>
      <c r="I215" s="19" t="str" cm="1">
        <f t="array" ref="I215">Common_InputFunctions.Utility_DisplayArrayInTable(Scope3_SourceData.Scope3_Packaging_Data(), Table_SourceData_Scope3_Packaging[[#Headers],[Category]], 0, 2)</f>
        <v>at manufacturer</v>
      </c>
      <c r="J215" s="19" t="s">
        <v>1169</v>
      </c>
    </row>
    <row r="216" spans="1:10" ht="20.100000000000001" customHeight="1" x14ac:dyDescent="0.2">
      <c r="D216" s="19" t="str" cm="1">
        <f t="array" ref="D216">Common_InputFunctions.Utility_DisplayArrayInTable(Scope3_SourceData.Scope3_Packaging_Data(), Table_SourceData_Scope3_Packaging[[#Headers],[Category]], 0, 2)</f>
        <v>Packaging</v>
      </c>
      <c r="E216" s="19" t="str" cm="1">
        <f t="array" ref="E216">Common_InputFunctions.Utility_DisplayArrayInTable(Scope3_SourceData.Scope3_Packaging_Data(), Table_SourceData_Scope3_Packaging[[#Headers],[Category]], 0, 2)</f>
        <v>Plastic sheet HDPE</v>
      </c>
      <c r="F216" s="19" t="str" cm="1">
        <f t="array" ref="F216">Common_InputFunctions.Utility_DisplayArrayInTable(Scope3_SourceData.Scope3_Packaging_Data(), Table_SourceData_Scope3_Packaging[[#Headers],[Category]], 0, 2)</f>
        <v>Global</v>
      </c>
      <c r="G216" s="19" t="str" cm="1">
        <f t="array" ref="G216">Common_InputFunctions.Utility_DisplayArrayInTable(Scope3_SourceData.Scope3_Packaging_Data(), Table_SourceData_Scope3_Packaging[[#Headers],[Category]], 0, 2)</f>
        <v>kg</v>
      </c>
      <c r="H216" s="19" cm="1">
        <f t="array" ref="H216">Common_InputFunctions.Utility_DisplayArrayInTable(Scope3_SourceData.Scope3_Packaging_Data(), Table_SourceData_Scope3_Packaging[[#Headers],[Category]], 0, 2)</f>
        <v>3.72</v>
      </c>
      <c r="I216" s="19" t="str" cm="1">
        <f t="array" ref="I216">Common_InputFunctions.Utility_DisplayArrayInTable(Scope3_SourceData.Scope3_Packaging_Data(), Table_SourceData_Scope3_Packaging[[#Headers],[Category]], 0, 2)</f>
        <v>at manufacturer</v>
      </c>
      <c r="J216" s="19" t="s">
        <v>1169</v>
      </c>
    </row>
    <row r="218" spans="1:10" ht="20.100000000000001" customHeight="1" x14ac:dyDescent="0.2">
      <c r="A218" s="79" t="str">
        <f>HYPERLINK("#A1", "▲ Back to top")</f>
        <v>▲ Back to top</v>
      </c>
      <c r="D218" s="2" t="s">
        <v>1185</v>
      </c>
    </row>
    <row r="219" spans="1:10" ht="20.100000000000001" customHeight="1" x14ac:dyDescent="0.2">
      <c r="D219" s="19" t="s">
        <v>1162</v>
      </c>
      <c r="E219" s="19" t="s">
        <v>132</v>
      </c>
      <c r="F219" s="19" t="s">
        <v>1163</v>
      </c>
      <c r="G219" s="19" t="s">
        <v>1164</v>
      </c>
      <c r="H219" s="19" t="s">
        <v>1165</v>
      </c>
      <c r="I219" s="19" t="s">
        <v>1166</v>
      </c>
      <c r="J219" s="19" t="s">
        <v>570</v>
      </c>
    </row>
    <row r="220" spans="1:10" ht="20.100000000000001" customHeight="1" x14ac:dyDescent="0.2">
      <c r="D220" s="19" t="str" cm="1">
        <f t="array" ref="D220">Common_InputFunctions.Utility_DisplayArrayInTable(Scope3_SourceData.Scope3_Pesticides_Data(), Table_SourceData_Scope3_Pesticides[[#Headers],[Category]], 0, 2)</f>
        <v>Pesticides</v>
      </c>
      <c r="E220" s="19" t="str" cm="1">
        <f t="array" ref="E220">Common_InputFunctions.Utility_DisplayArrayInTable(Scope3_SourceData.Scope3_Pesticides_Data(), Table_SourceData_Scope3_Pesticides[[#Headers],[Category]], 0, 2)</f>
        <v>2,4-D</v>
      </c>
      <c r="F220" s="19" t="str" cm="1">
        <f t="array" ref="F220">Common_InputFunctions.Utility_DisplayArrayInTable(Scope3_SourceData.Scope3_Pesticides_Data(), Table_SourceData_Scope3_Pesticides[[#Headers],[Category]], 0, 2)</f>
        <v>Global</v>
      </c>
      <c r="G220" s="19" t="str" cm="1">
        <f t="array" ref="G220">Common_InputFunctions.Utility_DisplayArrayInTable(Scope3_SourceData.Scope3_Pesticides_Data(), Table_SourceData_Scope3_Pesticides[[#Headers],[Category]], 0, 2)</f>
        <v>kg AI</v>
      </c>
      <c r="H220" s="19" cm="1">
        <f t="array" ref="H220">Common_InputFunctions.Utility_DisplayArrayInTable(Scope3_SourceData.Scope3_Pesticides_Data(), Table_SourceData_Scope3_Pesticides[[#Headers],[Category]], 0, 2)</f>
        <v>5.2</v>
      </c>
      <c r="I220" s="19" t="str" cm="1">
        <f t="array" ref="I220">Common_InputFunctions.Utility_DisplayArrayInTable(Scope3_SourceData.Scope3_Pesticides_Data(), Table_SourceData_Scope3_Pesticides[[#Headers],[Category]], 0, 2)</f>
        <v>at market</v>
      </c>
      <c r="J220" s="19" t="s">
        <v>1169</v>
      </c>
    </row>
    <row r="221" spans="1:10" ht="20.100000000000001" customHeight="1" x14ac:dyDescent="0.2">
      <c r="D221" s="19" t="str" cm="1">
        <f t="array" ref="D221">Common_InputFunctions.Utility_DisplayArrayInTable(Scope3_SourceData.Scope3_Pesticides_Data(), Table_SourceData_Scope3_Pesticides[[#Headers],[Category]], 0, 2)</f>
        <v>Pesticides</v>
      </c>
      <c r="E221" s="19" t="str" cm="1">
        <f t="array" ref="E221">Common_InputFunctions.Utility_DisplayArrayInTable(Scope3_SourceData.Scope3_Pesticides_Data(), Table_SourceData_Scope3_Pesticides[[#Headers],[Category]], 0, 2)</f>
        <v>Atrazine</v>
      </c>
      <c r="F221" s="19" t="str" cm="1">
        <f t="array" ref="F221">Common_InputFunctions.Utility_DisplayArrayInTable(Scope3_SourceData.Scope3_Pesticides_Data(), Table_SourceData_Scope3_Pesticides[[#Headers],[Category]], 0, 2)</f>
        <v>Global</v>
      </c>
      <c r="G221" s="19" t="str" cm="1">
        <f t="array" ref="G221">Common_InputFunctions.Utility_DisplayArrayInTable(Scope3_SourceData.Scope3_Pesticides_Data(), Table_SourceData_Scope3_Pesticides[[#Headers],[Category]], 0, 2)</f>
        <v>kg AI</v>
      </c>
      <c r="H221" s="19" cm="1">
        <f t="array" ref="H221">Common_InputFunctions.Utility_DisplayArrayInTable(Scope3_SourceData.Scope3_Pesticides_Data(), Table_SourceData_Scope3_Pesticides[[#Headers],[Category]], 0, 2)</f>
        <v>8.3800000000000008</v>
      </c>
      <c r="I221" s="19" t="str" cm="1">
        <f t="array" ref="I221">Common_InputFunctions.Utility_DisplayArrayInTable(Scope3_SourceData.Scope3_Pesticides_Data(), Table_SourceData_Scope3_Pesticides[[#Headers],[Category]], 0, 2)</f>
        <v>at market</v>
      </c>
      <c r="J221" s="19" t="s">
        <v>1169</v>
      </c>
    </row>
    <row r="222" spans="1:10" ht="20.100000000000001" customHeight="1" x14ac:dyDescent="0.2">
      <c r="D222" s="19" t="str" cm="1">
        <f t="array" ref="D222">Common_InputFunctions.Utility_DisplayArrayInTable(Scope3_SourceData.Scope3_Pesticides_Data(), Table_SourceData_Scope3_Pesticides[[#Headers],[Category]], 0, 2)</f>
        <v>Pesticides</v>
      </c>
      <c r="E222" s="19" t="str" cm="1">
        <f t="array" ref="E222">Common_InputFunctions.Utility_DisplayArrayInTable(Scope3_SourceData.Scope3_Pesticides_Data(), Table_SourceData_Scope3_Pesticides[[#Headers],[Category]], 0, 2)</f>
        <v>Diuron</v>
      </c>
      <c r="F222" s="19" t="str" cm="1">
        <f t="array" ref="F222">Common_InputFunctions.Utility_DisplayArrayInTable(Scope3_SourceData.Scope3_Pesticides_Data(), Table_SourceData_Scope3_Pesticides[[#Headers],[Category]], 0, 2)</f>
        <v>Global</v>
      </c>
      <c r="G222" s="19" t="str" cm="1">
        <f t="array" ref="G222">Common_InputFunctions.Utility_DisplayArrayInTable(Scope3_SourceData.Scope3_Pesticides_Data(), Table_SourceData_Scope3_Pesticides[[#Headers],[Category]], 0, 2)</f>
        <v>kg AI</v>
      </c>
      <c r="H222" s="19" cm="1">
        <f t="array" ref="H222">Common_InputFunctions.Utility_DisplayArrayInTable(Scope3_SourceData.Scope3_Pesticides_Data(), Table_SourceData_Scope3_Pesticides[[#Headers],[Category]], 0, 2)</f>
        <v>8.8000000000000007</v>
      </c>
      <c r="I222" s="19" t="str" cm="1">
        <f t="array" ref="I222">Common_InputFunctions.Utility_DisplayArrayInTable(Scope3_SourceData.Scope3_Pesticides_Data(), Table_SourceData_Scope3_Pesticides[[#Headers],[Category]], 0, 2)</f>
        <v>at market</v>
      </c>
      <c r="J222" s="19" t="s">
        <v>1169</v>
      </c>
    </row>
    <row r="223" spans="1:10" ht="20.100000000000001" customHeight="1" x14ac:dyDescent="0.2">
      <c r="D223" s="19" t="str" cm="1">
        <f t="array" ref="D223">Common_InputFunctions.Utility_DisplayArrayInTable(Scope3_SourceData.Scope3_Pesticides_Data(), Table_SourceData_Scope3_Pesticides[[#Headers],[Category]], 0, 2)</f>
        <v>Pesticides</v>
      </c>
      <c r="E223" s="19" t="str" cm="1">
        <f t="array" ref="E223">Common_InputFunctions.Utility_DisplayArrayInTable(Scope3_SourceData.Scope3_Pesticides_Data(), Table_SourceData_Scope3_Pesticides[[#Headers],[Category]], 0, 2)</f>
        <v>Glyphosate</v>
      </c>
      <c r="F223" s="19" t="str" cm="1">
        <f t="array" ref="F223">Common_InputFunctions.Utility_DisplayArrayInTable(Scope3_SourceData.Scope3_Pesticides_Data(), Table_SourceData_Scope3_Pesticides[[#Headers],[Category]], 0, 2)</f>
        <v>Global</v>
      </c>
      <c r="G223" s="19" t="str" cm="1">
        <f t="array" ref="G223">Common_InputFunctions.Utility_DisplayArrayInTable(Scope3_SourceData.Scope3_Pesticides_Data(), Table_SourceData_Scope3_Pesticides[[#Headers],[Category]], 0, 2)</f>
        <v>kg AI</v>
      </c>
      <c r="H223" s="19" cm="1">
        <f t="array" ref="H223">Common_InputFunctions.Utility_DisplayArrayInTable(Scope3_SourceData.Scope3_Pesticides_Data(), Table_SourceData_Scope3_Pesticides[[#Headers],[Category]], 0, 2)</f>
        <v>10.3</v>
      </c>
      <c r="I223" s="19" t="str" cm="1">
        <f t="array" ref="I223">Common_InputFunctions.Utility_DisplayArrayInTable(Scope3_SourceData.Scope3_Pesticides_Data(), Table_SourceData_Scope3_Pesticides[[#Headers],[Category]], 0, 2)</f>
        <v>at market</v>
      </c>
      <c r="J223" s="19" t="s">
        <v>1169</v>
      </c>
    </row>
    <row r="224" spans="1:10" ht="20.100000000000001" customHeight="1" x14ac:dyDescent="0.2">
      <c r="D224" s="19" t="str" cm="1">
        <f t="array" ref="D224">Common_InputFunctions.Utility_DisplayArrayInTable(Scope3_SourceData.Scope3_Pesticides_Data(), Table_SourceData_Scope3_Pesticides[[#Headers],[Category]], 0, 2)</f>
        <v>Pesticides</v>
      </c>
      <c r="E224" s="19" t="str" cm="1">
        <f t="array" ref="E224">Common_InputFunctions.Utility_DisplayArrayInTable(Scope3_SourceData.Scope3_Pesticides_Data(), Table_SourceData_Scope3_Pesticides[[#Headers],[Category]], 0, 2)</f>
        <v>Mancozeb</v>
      </c>
      <c r="F224" s="19" t="str" cm="1">
        <f t="array" ref="F224">Common_InputFunctions.Utility_DisplayArrayInTable(Scope3_SourceData.Scope3_Pesticides_Data(), Table_SourceData_Scope3_Pesticides[[#Headers],[Category]], 0, 2)</f>
        <v>Global</v>
      </c>
      <c r="G224" s="19" t="str" cm="1">
        <f t="array" ref="G224">Common_InputFunctions.Utility_DisplayArrayInTable(Scope3_SourceData.Scope3_Pesticides_Data(), Table_SourceData_Scope3_Pesticides[[#Headers],[Category]], 0, 2)</f>
        <v>kg AI</v>
      </c>
      <c r="H224" s="19" cm="1">
        <f t="array" ref="H224">Common_InputFunctions.Utility_DisplayArrayInTable(Scope3_SourceData.Scope3_Pesticides_Data(), Table_SourceData_Scope3_Pesticides[[#Headers],[Category]], 0, 2)</f>
        <v>4.55</v>
      </c>
      <c r="I224" s="19" t="str" cm="1">
        <f t="array" ref="I224">Common_InputFunctions.Utility_DisplayArrayInTable(Scope3_SourceData.Scope3_Pesticides_Data(), Table_SourceData_Scope3_Pesticides[[#Headers],[Category]], 0, 2)</f>
        <v>at market</v>
      </c>
      <c r="J224" s="19" t="s">
        <v>1169</v>
      </c>
    </row>
    <row r="225" spans="4:10" ht="20.100000000000001" customHeight="1" x14ac:dyDescent="0.2">
      <c r="D225" s="19" t="str" cm="1">
        <f t="array" ref="D225">Common_InputFunctions.Utility_DisplayArrayInTable(Scope3_SourceData.Scope3_Pesticides_Data(), Table_SourceData_Scope3_Pesticides[[#Headers],[Category]], 0, 2)</f>
        <v>Pesticides</v>
      </c>
      <c r="E225" s="19" t="str" cm="1">
        <f t="array" ref="E225">Common_InputFunctions.Utility_DisplayArrayInTable(Scope3_SourceData.Scope3_Pesticides_Data(), Table_SourceData_Scope3_Pesticides[[#Headers],[Category]], 0, 2)</f>
        <v>MCPA</v>
      </c>
      <c r="F225" s="19" t="str" cm="1">
        <f t="array" ref="F225">Common_InputFunctions.Utility_DisplayArrayInTable(Scope3_SourceData.Scope3_Pesticides_Data(), Table_SourceData_Scope3_Pesticides[[#Headers],[Category]], 0, 2)</f>
        <v>Global</v>
      </c>
      <c r="G225" s="19" t="str" cm="1">
        <f t="array" ref="G225">Common_InputFunctions.Utility_DisplayArrayInTable(Scope3_SourceData.Scope3_Pesticides_Data(), Table_SourceData_Scope3_Pesticides[[#Headers],[Category]], 0, 2)</f>
        <v>kg AI</v>
      </c>
      <c r="H225" s="19" cm="1">
        <f t="array" ref="H225">Common_InputFunctions.Utility_DisplayArrayInTable(Scope3_SourceData.Scope3_Pesticides_Data(), Table_SourceData_Scope3_Pesticides[[#Headers],[Category]], 0, 2)</f>
        <v>5.6</v>
      </c>
      <c r="I225" s="19" t="str" cm="1">
        <f t="array" ref="I225">Common_InputFunctions.Utility_DisplayArrayInTable(Scope3_SourceData.Scope3_Pesticides_Data(), Table_SourceData_Scope3_Pesticides[[#Headers],[Category]], 0, 2)</f>
        <v>at market</v>
      </c>
      <c r="J225" s="19" t="s">
        <v>1169</v>
      </c>
    </row>
    <row r="226" spans="4:10" ht="20.100000000000001" customHeight="1" x14ac:dyDescent="0.2">
      <c r="D226" s="19" t="str" cm="1">
        <f t="array" ref="D226">Common_InputFunctions.Utility_DisplayArrayInTable(Scope3_SourceData.Scope3_Pesticides_Data(), Table_SourceData_Scope3_Pesticides[[#Headers],[Category]], 0, 2)</f>
        <v>Pesticides</v>
      </c>
      <c r="E226" s="19" t="str" cm="1">
        <f t="array" ref="E226">Common_InputFunctions.Utility_DisplayArrayInTable(Scope3_SourceData.Scope3_Pesticides_Data(), Table_SourceData_Scope3_Pesticides[[#Headers],[Category]], 0, 2)</f>
        <v>Metolachlor</v>
      </c>
      <c r="F226" s="19" t="str" cm="1">
        <f t="array" ref="F226">Common_InputFunctions.Utility_DisplayArrayInTable(Scope3_SourceData.Scope3_Pesticides_Data(), Table_SourceData_Scope3_Pesticides[[#Headers],[Category]], 0, 2)</f>
        <v>Global</v>
      </c>
      <c r="G226" s="19" t="str" cm="1">
        <f t="array" ref="G226">Common_InputFunctions.Utility_DisplayArrayInTable(Scope3_SourceData.Scope3_Pesticides_Data(), Table_SourceData_Scope3_Pesticides[[#Headers],[Category]], 0, 2)</f>
        <v>kg AI</v>
      </c>
      <c r="H226" s="19" cm="1">
        <f t="array" ref="H226">Common_InputFunctions.Utility_DisplayArrayInTable(Scope3_SourceData.Scope3_Pesticides_Data(), Table_SourceData_Scope3_Pesticides[[#Headers],[Category]], 0, 2)</f>
        <v>8.06</v>
      </c>
      <c r="I226" s="19" t="str" cm="1">
        <f t="array" ref="I226">Common_InputFunctions.Utility_DisplayArrayInTable(Scope3_SourceData.Scope3_Pesticides_Data(), Table_SourceData_Scope3_Pesticides[[#Headers],[Category]], 0, 2)</f>
        <v>at market</v>
      </c>
      <c r="J226" s="19" t="s">
        <v>1169</v>
      </c>
    </row>
    <row r="227" spans="4:10" ht="20.100000000000001" customHeight="1" x14ac:dyDescent="0.2">
      <c r="D227" s="19" t="str" cm="1">
        <f t="array" ref="D227">Common_InputFunctions.Utility_DisplayArrayInTable(Scope3_SourceData.Scope3_Pesticides_Data(), Table_SourceData_Scope3_Pesticides[[#Headers],[Category]], 0, 2)</f>
        <v>Pesticides</v>
      </c>
      <c r="E227" s="19" t="str" cm="1">
        <f t="array" ref="E227">Common_InputFunctions.Utility_DisplayArrayInTable(Scope3_SourceData.Scope3_Pesticides_Data(), Table_SourceData_Scope3_Pesticides[[#Headers],[Category]], 0, 2)</f>
        <v>Metsulfuron-methyl</v>
      </c>
      <c r="F227" s="19" t="str" cm="1">
        <f t="array" ref="F227">Common_InputFunctions.Utility_DisplayArrayInTable(Scope3_SourceData.Scope3_Pesticides_Data(), Table_SourceData_Scope3_Pesticides[[#Headers],[Category]], 0, 2)</f>
        <v>Global</v>
      </c>
      <c r="G227" s="19" t="str" cm="1">
        <f t="array" ref="G227">Common_InputFunctions.Utility_DisplayArrayInTable(Scope3_SourceData.Scope3_Pesticides_Data(), Table_SourceData_Scope3_Pesticides[[#Headers],[Category]], 0, 2)</f>
        <v>kg AI</v>
      </c>
      <c r="H227" s="19" cm="1">
        <f t="array" ref="H227">Common_InputFunctions.Utility_DisplayArrayInTable(Scope3_SourceData.Scope3_Pesticides_Data(), Table_SourceData_Scope3_Pesticides[[#Headers],[Category]], 0, 2)</f>
        <v>8.8000000000000007</v>
      </c>
      <c r="I227" s="19" t="str" cm="1">
        <f t="array" ref="I227">Common_InputFunctions.Utility_DisplayArrayInTable(Scope3_SourceData.Scope3_Pesticides_Data(), Table_SourceData_Scope3_Pesticides[[#Headers],[Category]], 0, 2)</f>
        <v>at market</v>
      </c>
      <c r="J227" s="19" t="s">
        <v>1169</v>
      </c>
    </row>
    <row r="228" spans="4:10" ht="20.100000000000001" customHeight="1" x14ac:dyDescent="0.2">
      <c r="D228" s="19" t="str" cm="1">
        <f t="array" ref="D228">Common_InputFunctions.Utility_DisplayArrayInTable(Scope3_SourceData.Scope3_Pesticides_Data(), Table_SourceData_Scope3_Pesticides[[#Headers],[Category]], 0, 2)</f>
        <v>Pesticides</v>
      </c>
      <c r="E228" s="19" t="str" cm="1">
        <f t="array" ref="E228">Common_InputFunctions.Utility_DisplayArrayInTable(Scope3_SourceData.Scope3_Pesticides_Data(), Table_SourceData_Scope3_Pesticides[[#Headers],[Category]], 0, 2)</f>
        <v>Pesticides (generic)</v>
      </c>
      <c r="F228" s="19" t="str" cm="1">
        <f t="array" ref="F228">Common_InputFunctions.Utility_DisplayArrayInTable(Scope3_SourceData.Scope3_Pesticides_Data(), Table_SourceData_Scope3_Pesticides[[#Headers],[Category]], 0, 2)</f>
        <v>Global</v>
      </c>
      <c r="G228" s="19" t="str" cm="1">
        <f t="array" ref="G228">Common_InputFunctions.Utility_DisplayArrayInTable(Scope3_SourceData.Scope3_Pesticides_Data(), Table_SourceData_Scope3_Pesticides[[#Headers],[Category]], 0, 2)</f>
        <v>kg AI</v>
      </c>
      <c r="H228" s="19" cm="1">
        <f t="array" ref="H228">Common_InputFunctions.Utility_DisplayArrayInTable(Scope3_SourceData.Scope3_Pesticides_Data(), Table_SourceData_Scope3_Pesticides[[#Headers],[Category]], 0, 2)</f>
        <v>9.16</v>
      </c>
      <c r="I228" s="19" t="str" cm="1">
        <f t="array" ref="I228">Common_InputFunctions.Utility_DisplayArrayInTable(Scope3_SourceData.Scope3_Pesticides_Data(), Table_SourceData_Scope3_Pesticides[[#Headers],[Category]], 0, 2)</f>
        <v>at market</v>
      </c>
      <c r="J228" s="19" t="s">
        <v>1169</v>
      </c>
    </row>
    <row r="229" spans="4:10" ht="20.100000000000001" customHeight="1" x14ac:dyDescent="0.2">
      <c r="D229" s="19" t="str" cm="1">
        <f t="array" ref="D229">Common_InputFunctions.Utility_DisplayArrayInTable(Scope3_SourceData.Scope3_Pesticides_Data(), Table_SourceData_Scope3_Pesticides[[#Headers],[Category]], 0, 2)</f>
        <v>Pesticides</v>
      </c>
      <c r="E229" s="19" t="str" cm="1">
        <f t="array" ref="E229">Common_InputFunctions.Utility_DisplayArrayInTable(Scope3_SourceData.Scope3_Pesticides_Data(), Table_SourceData_Scope3_Pesticides[[#Headers],[Category]], 0, 2)</f>
        <v>Tri-allate</v>
      </c>
      <c r="F229" s="19" t="str" cm="1">
        <f t="array" ref="F229">Common_InputFunctions.Utility_DisplayArrayInTable(Scope3_SourceData.Scope3_Pesticides_Data(), Table_SourceData_Scope3_Pesticides[[#Headers],[Category]], 0, 2)</f>
        <v>Global</v>
      </c>
      <c r="G229" s="19" t="str" cm="1">
        <f t="array" ref="G229">Common_InputFunctions.Utility_DisplayArrayInTable(Scope3_SourceData.Scope3_Pesticides_Data(), Table_SourceData_Scope3_Pesticides[[#Headers],[Category]], 0, 2)</f>
        <v>kg AI</v>
      </c>
      <c r="H229" s="19" cm="1">
        <f t="array" ref="H229">Common_InputFunctions.Utility_DisplayArrayInTable(Scope3_SourceData.Scope3_Pesticides_Data(), Table_SourceData_Scope3_Pesticides[[#Headers],[Category]], 0, 2)</f>
        <v>8.57</v>
      </c>
      <c r="I229" s="19" t="str" cm="1">
        <f t="array" ref="I229">Common_InputFunctions.Utility_DisplayArrayInTable(Scope3_SourceData.Scope3_Pesticides_Data(), Table_SourceData_Scope3_Pesticides[[#Headers],[Category]], 0, 2)</f>
        <v>at market</v>
      </c>
      <c r="J229" s="19" t="s">
        <v>1169</v>
      </c>
    </row>
    <row r="230" spans="4:10" ht="20.100000000000001" customHeight="1" x14ac:dyDescent="0.2">
      <c r="D230" s="19" t="str" cm="1">
        <f t="array" ref="D230">Common_InputFunctions.Utility_DisplayArrayInTable(Scope3_SourceData.Scope3_Pesticides_Data(), Table_SourceData_Scope3_Pesticides[[#Headers],[Category]], 0, 2)</f>
        <v>Pesticides</v>
      </c>
      <c r="E230" s="19" t="str" cm="1">
        <f t="array" ref="E230">Common_InputFunctions.Utility_DisplayArrayInTable(Scope3_SourceData.Scope3_Pesticides_Data(), Table_SourceData_Scope3_Pesticides[[#Headers],[Category]], 0, 2)</f>
        <v>Tribenuron methyl</v>
      </c>
      <c r="F230" s="19" t="str" cm="1">
        <f t="array" ref="F230">Common_InputFunctions.Utility_DisplayArrayInTable(Scope3_SourceData.Scope3_Pesticides_Data(), Table_SourceData_Scope3_Pesticides[[#Headers],[Category]], 0, 2)</f>
        <v>Global</v>
      </c>
      <c r="G230" s="19" t="str" cm="1">
        <f t="array" ref="G230">Common_InputFunctions.Utility_DisplayArrayInTable(Scope3_SourceData.Scope3_Pesticides_Data(), Table_SourceData_Scope3_Pesticides[[#Headers],[Category]], 0, 2)</f>
        <v>kg AI</v>
      </c>
      <c r="H230" s="19" cm="1">
        <f t="array" ref="H230">Common_InputFunctions.Utility_DisplayArrayInTable(Scope3_SourceData.Scope3_Pesticides_Data(), Table_SourceData_Scope3_Pesticides[[#Headers],[Category]], 0, 2)</f>
        <v>8.8000000000000007</v>
      </c>
      <c r="I230" s="19" t="str" cm="1">
        <f t="array" ref="I230">Common_InputFunctions.Utility_DisplayArrayInTable(Scope3_SourceData.Scope3_Pesticides_Data(), Table_SourceData_Scope3_Pesticides[[#Headers],[Category]], 0, 2)</f>
        <v>at market</v>
      </c>
      <c r="J230" s="19" t="s">
        <v>1169</v>
      </c>
    </row>
    <row r="231" spans="4:10" ht="20.100000000000001" customHeight="1" x14ac:dyDescent="0.2">
      <c r="D231" s="19" t="str" cm="1">
        <f t="array" ref="D231">Common_InputFunctions.Utility_DisplayArrayInTable(Scope3_SourceData.Scope3_Pesticides_Data(), Table_SourceData_Scope3_Pesticides[[#Headers],[Category]], 0, 2)</f>
        <v>Pesticides</v>
      </c>
      <c r="E231" s="19" t="str" cm="1">
        <f t="array" ref="E231">Common_InputFunctions.Utility_DisplayArrayInTable(Scope3_SourceData.Scope3_Pesticides_Data(), Table_SourceData_Scope3_Pesticides[[#Headers],[Category]], 0, 2)</f>
        <v>Trifluralin</v>
      </c>
      <c r="F231" s="19" t="str" cm="1">
        <f t="array" ref="F231">Common_InputFunctions.Utility_DisplayArrayInTable(Scope3_SourceData.Scope3_Pesticides_Data(), Table_SourceData_Scope3_Pesticides[[#Headers],[Category]], 0, 2)</f>
        <v>Global</v>
      </c>
      <c r="G231" s="19" t="str" cm="1">
        <f t="array" ref="G231">Common_InputFunctions.Utility_DisplayArrayInTable(Scope3_SourceData.Scope3_Pesticides_Data(), Table_SourceData_Scope3_Pesticides[[#Headers],[Category]], 0, 2)</f>
        <v>kg AI</v>
      </c>
      <c r="H231" s="19" cm="1">
        <f t="array" ref="H231">Common_InputFunctions.Utility_DisplayArrayInTable(Scope3_SourceData.Scope3_Pesticides_Data(), Table_SourceData_Scope3_Pesticides[[#Headers],[Category]], 0, 2)</f>
        <v>6.16</v>
      </c>
      <c r="I231" s="19" t="str" cm="1">
        <f t="array" ref="I231">Common_InputFunctions.Utility_DisplayArrayInTable(Scope3_SourceData.Scope3_Pesticides_Data(), Table_SourceData_Scope3_Pesticides[[#Headers],[Category]], 0, 2)</f>
        <v>at market</v>
      </c>
      <c r="J231" s="19" t="s">
        <v>1169</v>
      </c>
    </row>
    <row r="233" spans="4:10" ht="20.100000000000001" customHeight="1" x14ac:dyDescent="0.2">
      <c r="D233" s="2" t="s">
        <v>1186</v>
      </c>
    </row>
    <row r="234" spans="4:10" ht="20.100000000000001" customHeight="1" x14ac:dyDescent="0.2">
      <c r="D234" s="19" t="s">
        <v>1162</v>
      </c>
      <c r="E234" s="19" t="s">
        <v>132</v>
      </c>
      <c r="F234" s="19" t="s">
        <v>1163</v>
      </c>
      <c r="G234" s="19" t="s">
        <v>1164</v>
      </c>
      <c r="H234" s="19" t="s">
        <v>1165</v>
      </c>
      <c r="I234" s="19" t="s">
        <v>1166</v>
      </c>
      <c r="J234" s="19" t="s">
        <v>570</v>
      </c>
    </row>
    <row r="235" spans="4:10" ht="20.100000000000001" customHeight="1" x14ac:dyDescent="0.2">
      <c r="D235" s="19" t="str" cm="1">
        <f t="array" ref="D235">Common_InputFunctions.Utility_DisplayArrayInTable(Scope3_SourceData.Scope3_SoilAmendments_Data(), Table_SourceData_Scope3_SoilAmeliorants[[#Headers],[Category]], 0, 2)</f>
        <v>Soil ameliorants</v>
      </c>
      <c r="E235" s="19" t="str" cm="1">
        <f t="array" ref="E235">Common_InputFunctions.Utility_DisplayArrayInTable(Scope3_SourceData.Scope3_SoilAmendments_Data(), Table_SourceData_Scope3_SoilAmeliorants[[#Headers],[Category]], 0, 2)</f>
        <v>Dolomite</v>
      </c>
      <c r="F235" s="19" t="str" cm="1">
        <f t="array" ref="F235">Common_InputFunctions.Utility_DisplayArrayInTable(Scope3_SourceData.Scope3_SoilAmendments_Data(), Table_SourceData_Scope3_SoilAmeliorants[[#Headers],[Category]], 0, 2)</f>
        <v>Australia</v>
      </c>
      <c r="G235" s="19" t="str" cm="1">
        <f t="array" ref="G235">Common_InputFunctions.Utility_DisplayArrayInTable(Scope3_SourceData.Scope3_SoilAmendments_Data(), Table_SourceData_Scope3_SoilAmeliorants[[#Headers],[Category]], 0, 2)</f>
        <v>kg</v>
      </c>
      <c r="H235" s="19" cm="1">
        <f t="array" ref="H235">Common_InputFunctions.Utility_DisplayArrayInTable(Scope3_SourceData.Scope3_SoilAmendments_Data(), Table_SourceData_Scope3_SoilAmeliorants[[#Headers],[Category]], 0, 2)</f>
        <v>6.5199999999999994E-2</v>
      </c>
      <c r="I235" s="19" t="str" cm="1">
        <f t="array" ref="I235">Common_InputFunctions.Utility_DisplayArrayInTable(Scope3_SourceData.Scope3_SoilAmendments_Data(), Table_SourceData_Scope3_SoilAmeliorants[[#Headers],[Category]], 0, 2)</f>
        <v>at market</v>
      </c>
      <c r="J235" s="19" t="s">
        <v>1169</v>
      </c>
    </row>
    <row r="236" spans="4:10" ht="20.100000000000001" customHeight="1" x14ac:dyDescent="0.2">
      <c r="D236" s="19" t="str" cm="1">
        <f t="array" ref="D236">Common_InputFunctions.Utility_DisplayArrayInTable(Scope3_SourceData.Scope3_SoilAmendments_Data(), Table_SourceData_Scope3_SoilAmeliorants[[#Headers],[Category]], 0, 2)</f>
        <v>Soil ameliorants</v>
      </c>
      <c r="E236" s="19" t="str" cm="1">
        <f t="array" ref="E236">Common_InputFunctions.Utility_DisplayArrayInTable(Scope3_SourceData.Scope3_SoilAmendments_Data(), Table_SourceData_Scope3_SoilAmeliorants[[#Headers],[Category]], 0, 2)</f>
        <v>Gypsum</v>
      </c>
      <c r="F236" s="19" t="str" cm="1">
        <f t="array" ref="F236">Common_InputFunctions.Utility_DisplayArrayInTable(Scope3_SourceData.Scope3_SoilAmendments_Data(), Table_SourceData_Scope3_SoilAmeliorants[[#Headers],[Category]], 0, 2)</f>
        <v>Australia</v>
      </c>
      <c r="G236" s="19" t="str" cm="1">
        <f t="array" ref="G236">Common_InputFunctions.Utility_DisplayArrayInTable(Scope3_SourceData.Scope3_SoilAmendments_Data(), Table_SourceData_Scope3_SoilAmeliorants[[#Headers],[Category]], 0, 2)</f>
        <v>kg</v>
      </c>
      <c r="H236" s="19" cm="1">
        <f t="array" ref="H236">Common_InputFunctions.Utility_DisplayArrayInTable(Scope3_SourceData.Scope3_SoilAmendments_Data(), Table_SourceData_Scope3_SoilAmeliorants[[#Headers],[Category]], 0, 2)</f>
        <v>6.5199999999999994E-2</v>
      </c>
      <c r="I236" s="19" t="str" cm="1">
        <f t="array" ref="I236">Common_InputFunctions.Utility_DisplayArrayInTable(Scope3_SourceData.Scope3_SoilAmendments_Data(), Table_SourceData_Scope3_SoilAmeliorants[[#Headers],[Category]], 0, 2)</f>
        <v>at market</v>
      </c>
      <c r="J236" s="19" t="s">
        <v>1169</v>
      </c>
    </row>
    <row r="237" spans="4:10" ht="20.100000000000001" customHeight="1" x14ac:dyDescent="0.2">
      <c r="D237" s="19" t="str" cm="1">
        <f t="array" ref="D237">Common_InputFunctions.Utility_DisplayArrayInTable(Scope3_SourceData.Scope3_SoilAmendments_Data(), Table_SourceData_Scope3_SoilAmeliorants[[#Headers],[Category]], 0, 2)</f>
        <v>Soil ameliorants</v>
      </c>
      <c r="E237" s="19" t="str" cm="1">
        <f t="array" ref="E237">Common_InputFunctions.Utility_DisplayArrayInTable(Scope3_SourceData.Scope3_SoilAmendments_Data(), Table_SourceData_Scope3_SoilAmeliorants[[#Headers],[Category]], 0, 2)</f>
        <v>Limestone (crushed)</v>
      </c>
      <c r="F237" s="19" t="str" cm="1">
        <f t="array" ref="F237">Common_InputFunctions.Utility_DisplayArrayInTable(Scope3_SourceData.Scope3_SoilAmendments_Data(), Table_SourceData_Scope3_SoilAmeliorants[[#Headers],[Category]], 0, 2)</f>
        <v>Australia</v>
      </c>
      <c r="G237" s="19" t="str" cm="1">
        <f t="array" ref="G237">Common_InputFunctions.Utility_DisplayArrayInTable(Scope3_SourceData.Scope3_SoilAmendments_Data(), Table_SourceData_Scope3_SoilAmeliorants[[#Headers],[Category]], 0, 2)</f>
        <v>kg</v>
      </c>
      <c r="H237" s="19" cm="1">
        <f t="array" ref="H237">Common_InputFunctions.Utility_DisplayArrayInTable(Scope3_SourceData.Scope3_SoilAmendments_Data(), Table_SourceData_Scope3_SoilAmeliorants[[#Headers],[Category]], 0, 2)</f>
        <v>4.8500000000000001E-2</v>
      </c>
      <c r="I237" s="19" t="str" cm="1">
        <f t="array" ref="I237">Common_InputFunctions.Utility_DisplayArrayInTable(Scope3_SourceData.Scope3_SoilAmendments_Data(), Table_SourceData_Scope3_SoilAmeliorants[[#Headers],[Category]], 0, 2)</f>
        <v>at market</v>
      </c>
      <c r="J237" s="19" t="s">
        <v>1169</v>
      </c>
    </row>
    <row r="240" spans="4:10" ht="20.100000000000001" customHeight="1" x14ac:dyDescent="0.2">
      <c r="D240" s="2" t="s">
        <v>1187</v>
      </c>
    </row>
    <row r="241" spans="4:18" ht="20.100000000000001" customHeight="1" x14ac:dyDescent="0.2">
      <c r="D241" s="19" t="s">
        <v>1162</v>
      </c>
      <c r="E241" s="19" t="s">
        <v>132</v>
      </c>
      <c r="F241" s="19" t="s">
        <v>1163</v>
      </c>
      <c r="G241" s="19" t="s">
        <v>1164</v>
      </c>
      <c r="H241" s="19" t="s">
        <v>1165</v>
      </c>
      <c r="I241" s="19" t="s">
        <v>1166</v>
      </c>
      <c r="J241" s="19" t="s">
        <v>570</v>
      </c>
      <c r="L241" s="19" t="s">
        <v>132</v>
      </c>
      <c r="M241" s="19" t="s">
        <v>1167</v>
      </c>
      <c r="N241" s="1" t="str">
        <f>"Table_ProductRegions_" &amp; SUBSTITUTE(SUBSTITUTE(SUBSTITUTE(SUBSTITUTE(L242, " ", ""), ",", ""), "(", ""), ")", "")</f>
        <v>Table_ProductRegions_Sardineswhole</v>
      </c>
      <c r="R241" s="1"/>
    </row>
    <row r="242" spans="4:18" ht="20.100000000000001" customHeight="1" x14ac:dyDescent="0.2">
      <c r="D242" s="19" t="str" cm="1">
        <f t="array" ref="D242">Common_InputFunctions.Utility_DisplayArrayInTable(Scope3_SourceData.Scope3_Feed_Data(), Table_SourceData_Scope3_FishFeedAndBait[[#Headers],[Category]], 0, 2)</f>
        <v>Aquaculture feed</v>
      </c>
      <c r="E242" s="19" t="str" cm="1">
        <f t="array" ref="E242">Common_InputFunctions.Utility_DisplayArrayInTable(Scope3_SourceData.Scope3_Feed_Data(), Table_SourceData_Scope3_FishFeedAndBait[[#Headers],[Category]], 0, 2)</f>
        <v>Sardines (whole)</v>
      </c>
      <c r="F242" s="19" t="str" cm="1">
        <f t="array" ref="F242">Common_InputFunctions.Utility_DisplayArrayInTable(Scope3_SourceData.Scope3_Feed_Data(), Table_SourceData_Scope3_FishFeedAndBait[[#Headers],[Category]], 0, 2)</f>
        <v>SA</v>
      </c>
      <c r="G242" s="19" t="str" cm="1">
        <f t="array" ref="G242">Common_InputFunctions.Utility_DisplayArrayInTable(Scope3_SourceData.Scope3_Feed_Data(), Table_SourceData_Scope3_FishFeedAndBait[[#Headers],[Category]], 0, 2)</f>
        <v>kg</v>
      </c>
      <c r="H242" s="19" cm="1">
        <f t="array" ref="H242">Common_InputFunctions.Utility_DisplayArrayInTable(Scope3_SourceData.Scope3_Feed_Data(), Table_SourceData_Scope3_FishFeedAndBait[[#Headers],[Category]], 0, 2)</f>
        <v>0.376</v>
      </c>
      <c r="I242" s="19" t="str" cm="1">
        <f t="array" ref="I242">Common_InputFunctions.Utility_DisplayArrayInTable(Scope3_SourceData.Scope3_Feed_Data(), Table_SourceData_Scope3_FishFeedAndBait[[#Headers],[Category]], 0, 2)</f>
        <v>at market</v>
      </c>
      <c r="J242" s="19" t="s">
        <v>1169</v>
      </c>
      <c r="L242" s="19" t="str">
        <f>Table_SourceData_Scope3_FishFeedAndBait[[#This Row],[Product]]</f>
        <v>Sardines (whole)</v>
      </c>
      <c r="M242" s="19" t="str">
        <f>Table_SourceData_Scope3_FishFeedAndBait[[#This Row],[Region of origin]]</f>
        <v>SA</v>
      </c>
      <c r="R242" s="1"/>
    </row>
    <row r="243" spans="4:18" ht="20.100000000000001" customHeight="1" x14ac:dyDescent="0.2">
      <c r="D243" s="19" t="str" cm="1">
        <f t="array" ref="D243">Common_InputFunctions.Utility_DisplayArrayInTable(Scope3_SourceData.Scope3_FishFeedAndBait_Data(), Table_SourceData_Scope3_FishFeedAndBait[[#Headers],[Category]], 1, 1)</f>
        <v>Fish feed and bait</v>
      </c>
      <c r="E243" s="19" t="str" cm="1">
        <f t="array" ref="E243">Common_InputFunctions.Utility_DisplayArrayInTable(Scope3_SourceData.Scope3_FishFeedAndBait_Data(), Table_SourceData_Scope3_FishFeedAndBait[[#Headers],[Category]], 1, 1)</f>
        <v>Sardines (whole)</v>
      </c>
      <c r="F243" s="19" t="str" cm="1">
        <f t="array" ref="F243">Common_InputFunctions.Utility_DisplayArrayInTable(Scope3_SourceData.Scope3_FishFeedAndBait_Data(), Table_SourceData_Scope3_FishFeedAndBait[[#Headers],[Category]], 1, 1)</f>
        <v>Australia</v>
      </c>
      <c r="G243" s="19" t="str" cm="1">
        <f t="array" ref="G243">Common_InputFunctions.Utility_DisplayArrayInTable(Scope3_SourceData.Scope3_FishFeedAndBait_Data(), Table_SourceData_Scope3_FishFeedAndBait[[#Headers],[Category]], 1, 1)</f>
        <v>kg</v>
      </c>
      <c r="H243" s="19" cm="1">
        <f t="array" ref="H243">Common_InputFunctions.Utility_DisplayArrayInTable(Scope3_SourceData.Scope3_FishFeedAndBait_Data(), Table_SourceData_Scope3_FishFeedAndBait[[#Headers],[Category]], 1, 1)</f>
        <v>0.3</v>
      </c>
      <c r="I243" s="19" t="str" cm="1">
        <f t="array" ref="I243">Common_InputFunctions.Utility_DisplayArrayInTable(Scope3_SourceData.Scope3_FishFeedAndBait_Data(), Table_SourceData_Scope3_FishFeedAndBait[[#Headers],[Category]], 1, 1)</f>
        <v>Not specified</v>
      </c>
      <c r="J243" s="19" t="s">
        <v>1188</v>
      </c>
      <c r="L243" s="1" t="str">
        <f>Table_SourceData_Scope3_FishFeedAndBait[[#This Row],[Product]]</f>
        <v>Sardines (whole)</v>
      </c>
      <c r="M243" s="1" t="str">
        <f>Table_SourceData_Scope3_FishFeedAndBait[[#This Row],[Region of origin]]</f>
        <v>Australia</v>
      </c>
      <c r="R243" s="1"/>
    </row>
    <row r="244" spans="4:18" ht="20.100000000000001" customHeight="1" x14ac:dyDescent="0.2">
      <c r="D244" s="19" t="str" cm="1">
        <f t="array" ref="D244">Common_InputFunctions.Utility_DisplayArrayInTable(Scope3_SourceData.Scope3_FishFeedAndBait_Data(), Table_SourceData_Scope3_FishFeedAndBait[[#Headers],[Category]], 1, 1)</f>
        <v>Fish feed and bait</v>
      </c>
      <c r="E244" s="19" t="str" cm="1">
        <f t="array" ref="E244">Common_InputFunctions.Utility_DisplayArrayInTable(Scope3_SourceData.Scope3_FishFeedAndBait_Data(), Table_SourceData_Scope3_FishFeedAndBait[[#Headers],[Category]], 1, 1)</f>
        <v>Low Animal Protein Formulated Feed</v>
      </c>
      <c r="F244" s="19" t="str" cm="1">
        <f t="array" ref="F244">Common_InputFunctions.Utility_DisplayArrayInTable(Scope3_SourceData.Scope3_FishFeedAndBait_Data(), Table_SourceData_Scope3_FishFeedAndBait[[#Headers],[Category]], 1, 1)</f>
        <v>Australia</v>
      </c>
      <c r="G244" s="19" t="str" cm="1">
        <f t="array" ref="G244">Common_InputFunctions.Utility_DisplayArrayInTable(Scope3_SourceData.Scope3_FishFeedAndBait_Data(), Table_SourceData_Scope3_FishFeedAndBait[[#Headers],[Category]], 1, 1)</f>
        <v>kg</v>
      </c>
      <c r="H244" s="19" cm="1">
        <f t="array" ref="H244">Common_InputFunctions.Utility_DisplayArrayInTable(Scope3_SourceData.Scope3_FishFeedAndBait_Data(), Table_SourceData_Scope3_FishFeedAndBait[[#Headers],[Category]], 1, 1)</f>
        <v>2.2000000000000002</v>
      </c>
      <c r="I244" s="19" t="str" cm="1">
        <f t="array" ref="I244">Common_InputFunctions.Utility_DisplayArrayInTable(Scope3_SourceData.Scope3_FishFeedAndBait_Data(), Table_SourceData_Scope3_FishFeedAndBait[[#Headers],[Category]], 1, 1)</f>
        <v>Not specified</v>
      </c>
      <c r="J244" s="19" t="s">
        <v>1188</v>
      </c>
      <c r="R244" s="1"/>
    </row>
    <row r="245" spans="4:18" ht="20.100000000000001" customHeight="1" x14ac:dyDescent="0.2">
      <c r="D245" s="19" t="str" cm="1">
        <f t="array" ref="D245">Common_InputFunctions.Utility_DisplayArrayInTable(Scope3_SourceData.Scope3_FishFeedAndBait_Data(), Table_SourceData_Scope3_FishFeedAndBait[[#Headers],[Category]], 1, 1)</f>
        <v>Fish feed and bait</v>
      </c>
      <c r="E245" s="19" t="str" cm="1">
        <f t="array" ref="E245">Common_InputFunctions.Utility_DisplayArrayInTable(Scope3_SourceData.Scope3_FishFeedAndBait_Data(), Table_SourceData_Scope3_FishFeedAndBait[[#Headers],[Category]], 1, 1)</f>
        <v>Squid</v>
      </c>
      <c r="F245" s="19" t="str" cm="1">
        <f t="array" ref="F245">Common_InputFunctions.Utility_DisplayArrayInTable(Scope3_SourceData.Scope3_FishFeedAndBait_Data(), Table_SourceData_Scope3_FishFeedAndBait[[#Headers],[Category]], 1, 1)</f>
        <v>Australia</v>
      </c>
      <c r="G245" s="19" t="str" cm="1">
        <f t="array" ref="G245">Common_InputFunctions.Utility_DisplayArrayInTable(Scope3_SourceData.Scope3_FishFeedAndBait_Data(), Table_SourceData_Scope3_FishFeedAndBait[[#Headers],[Category]], 1, 1)</f>
        <v>kg</v>
      </c>
      <c r="H245" s="19" cm="1">
        <f t="array" ref="H245">Common_InputFunctions.Utility_DisplayArrayInTable(Scope3_SourceData.Scope3_FishFeedAndBait_Data(), Table_SourceData_Scope3_FishFeedAndBait[[#Headers],[Category]], 1, 1)</f>
        <v>0.3</v>
      </c>
      <c r="I245" s="19" t="str" cm="1">
        <f t="array" ref="I245">Common_InputFunctions.Utility_DisplayArrayInTable(Scope3_SourceData.Scope3_FishFeedAndBait_Data(), Table_SourceData_Scope3_FishFeedAndBait[[#Headers],[Category]], 1, 1)</f>
        <v>Not specified</v>
      </c>
      <c r="J245" s="19" t="s">
        <v>1188</v>
      </c>
      <c r="R245" s="1"/>
    </row>
    <row r="246" spans="4:18" ht="20.100000000000001" customHeight="1" x14ac:dyDescent="0.2">
      <c r="D246" s="19" t="str" cm="1">
        <f t="array" ref="D246">Common_InputFunctions.Utility_DisplayArrayInTable(Scope3_SourceData.Scope3_FishFeedAndBait_Data(), Table_SourceData_Scope3_FishFeedAndBait[[#Headers],[Category]], 1, 1)</f>
        <v>Fish feed and bait</v>
      </c>
      <c r="E246" s="19" t="str" cm="1">
        <f t="array" ref="E246">Common_InputFunctions.Utility_DisplayArrayInTable(Scope3_SourceData.Scope3_FishFeedAndBait_Data(), Table_SourceData_Scope3_FishFeedAndBait[[#Headers],[Category]], 1, 1)</f>
        <v>Whole fish</v>
      </c>
      <c r="F246" s="19" t="str" cm="1">
        <f t="array" ref="F246">Common_InputFunctions.Utility_DisplayArrayInTable(Scope3_SourceData.Scope3_FishFeedAndBait_Data(), Table_SourceData_Scope3_FishFeedAndBait[[#Headers],[Category]], 1, 1)</f>
        <v>Australia</v>
      </c>
      <c r="G246" s="19" t="str" cm="1">
        <f t="array" ref="G246">Common_InputFunctions.Utility_DisplayArrayInTable(Scope3_SourceData.Scope3_FishFeedAndBait_Data(), Table_SourceData_Scope3_FishFeedAndBait[[#Headers],[Category]], 1, 1)</f>
        <v>kg</v>
      </c>
      <c r="H246" s="19" cm="1">
        <f t="array" ref="H246">Common_InputFunctions.Utility_DisplayArrayInTable(Scope3_SourceData.Scope3_FishFeedAndBait_Data(), Table_SourceData_Scope3_FishFeedAndBait[[#Headers],[Category]], 1, 1)</f>
        <v>0.3</v>
      </c>
      <c r="I246" s="19" t="str" cm="1">
        <f t="array" ref="I246">Common_InputFunctions.Utility_DisplayArrayInTable(Scope3_SourceData.Scope3_FishFeedAndBait_Data(), Table_SourceData_Scope3_FishFeedAndBait[[#Headers],[Category]], 1, 1)</f>
        <v>Not specified</v>
      </c>
      <c r="J246" s="19" t="s">
        <v>1188</v>
      </c>
      <c r="R246" s="1"/>
    </row>
    <row r="247" spans="4:18" ht="20.100000000000001" customHeight="1" x14ac:dyDescent="0.2">
      <c r="D247" s="19" t="str" cm="1">
        <f t="array" ref="D247">Common_InputFunctions.Utility_DisplayArrayInTable(Scope3_SourceData.Scope3_FishFeedAndBait_Data(), Table_SourceData_Scope3_FishFeedAndBait[[#Headers],[Category]], 1, 1)</f>
        <v>Fish feed and bait</v>
      </c>
      <c r="E247" s="19" t="str" cm="1">
        <f t="array" ref="E247">Common_InputFunctions.Utility_DisplayArrayInTable(Scope3_SourceData.Scope3_FishFeedAndBait_Data(), Table_SourceData_Scope3_FishFeedAndBait[[#Headers],[Category]], 1, 1)</f>
        <v>Custom Bait</v>
      </c>
      <c r="F247" s="19" t="str" cm="1">
        <f t="array" ref="F247">Common_InputFunctions.Utility_DisplayArrayInTable(Scope3_SourceData.Scope3_FishFeedAndBait_Data(), Table_SourceData_Scope3_FishFeedAndBait[[#Headers],[Category]], 1, 1)</f>
        <v>Australia</v>
      </c>
      <c r="G247" s="19" t="str" cm="1">
        <f t="array" ref="G247">Common_InputFunctions.Utility_DisplayArrayInTable(Scope3_SourceData.Scope3_FishFeedAndBait_Data(), Table_SourceData_Scope3_FishFeedAndBait[[#Headers],[Category]], 1, 1)</f>
        <v>kg</v>
      </c>
      <c r="H247" s="19" cm="1">
        <f t="array" ref="H247">Common_InputFunctions.Utility_DisplayArrayInTable(Scope3_SourceData.Scope3_FishFeedAndBait_Data(), Table_SourceData_Scope3_FishFeedAndBait[[#Headers],[Category]], 1, 1)</f>
        <v>0.08</v>
      </c>
      <c r="I247" s="19" t="str" cm="1">
        <f t="array" ref="I247">Common_InputFunctions.Utility_DisplayArrayInTable(Scope3_SourceData.Scope3_FishFeedAndBait_Data(), Table_SourceData_Scope3_FishFeedAndBait[[#Headers],[Category]], 1, 1)</f>
        <v>Not specified</v>
      </c>
      <c r="J247" s="19" t="s">
        <v>1188</v>
      </c>
    </row>
  </sheetData>
  <pageMargins left="0.7" right="0.7" top="0.75" bottom="0.75" header="0.3" footer="0.3"/>
  <tableParts count="31">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s>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C93874-BCC3-4337-B734-0C3B6138BCF5}">
  <sheetPr>
    <tabColor theme="2" tint="-0.499984740745262"/>
  </sheetPr>
  <dimension ref="A1:AI68"/>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20" customFormat="1" ht="30" customHeight="1" x14ac:dyDescent="0.35">
      <c r="A1" s="10" t="e" vm="1">
        <v>#VALUE!</v>
      </c>
      <c r="C1" s="20" t="s">
        <v>931</v>
      </c>
      <c r="AG1"/>
      <c r="AH1"/>
      <c r="AI1"/>
    </row>
    <row r="2" spans="1:35" s="3" customFormat="1" ht="20.100000000000001" customHeight="1" x14ac:dyDescent="0.2">
      <c r="A2"/>
      <c r="AG2"/>
      <c r="AH2"/>
      <c r="AI2"/>
    </row>
    <row r="3" spans="1:3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row>
    <row r="4" spans="1:35" ht="20.100000000000001" customHeight="1" x14ac:dyDescent="0.2">
      <c r="A4" s="5" t="str">
        <f>HYPERLINK("#'Results - Activity period'!A1", "Results - Activity period")</f>
        <v>Results - Activity period</v>
      </c>
    </row>
    <row r="5" spans="1:35" ht="20.100000000000001" customHeight="1" x14ac:dyDescent="0.2">
      <c r="A5" s="5" t="str">
        <f>HYPERLINK("#'Results - Product EI'!A1", "Results - Product Emissions Intensity")</f>
        <v>Results - Product Emissions Intensity</v>
      </c>
      <c r="D5" s="2" t="str" cm="1">
        <f t="array" ref="D5">WasteSolid_SourceData.Waste_EmissionFactorsForWasteTreatment_Title()</f>
        <v>Emission factors for wastes disposed of at different treatment facilities</v>
      </c>
    </row>
    <row r="6" spans="1:35" ht="20.100000000000001" customHeight="1" x14ac:dyDescent="0.2">
      <c r="D6" s="17" t="str" cm="1">
        <f t="array" ref="D6">WasteSolid_SourceData.Waste_EmissionFactorsForWasteTreatment_Source()</f>
        <v>VEERG 2026: Table A.4.1.1</v>
      </c>
    </row>
    <row r="7" spans="1:35" ht="20.100000000000001" customHeight="1" x14ac:dyDescent="0.2">
      <c r="D7" s="25" t="str" cm="1">
        <f t="array" ref="D7:D13">WasteSolid_SourceData.Waste_EmissionFactorsForWasteTreatment_Variation()</f>
        <v>VARIATION ON SOURCE:</v>
      </c>
    </row>
    <row r="8" spans="1:35" ht="20.100000000000001" customHeight="1" x14ac:dyDescent="0.2">
      <c r="A8" s="7" t="s">
        <v>0</v>
      </c>
      <c r="D8" s="25" t="str">
        <v>Fixed typo 'paper and carboard' to 'paper and cardboard'</v>
      </c>
    </row>
    <row r="9" spans="1:35" ht="20.100000000000001" customHeight="1" x14ac:dyDescent="0.2">
      <c r="A9" s="5" t="str">
        <f>HYPERLINK("#'Input - Enterprise'!A1", "Enterprise")</f>
        <v>Enterprise</v>
      </c>
      <c r="D9" s="25" t="str">
        <v>Fixed typo 'prunnings' to 'prunings'</v>
      </c>
    </row>
    <row r="10" spans="1:35" ht="20.100000000000001" customHeight="1" x14ac:dyDescent="0.2">
      <c r="A10" s="5" t="str">
        <f>HYPERLINK("#'Input - Site'!A1", "Site")</f>
        <v>Site</v>
      </c>
      <c r="D10" s="25" t="str">
        <v>Added EF source column with specific references</v>
      </c>
    </row>
    <row r="11" spans="1:35" ht="20.100000000000001" customHeight="1" x14ac:dyDescent="0.2">
      <c r="A11" s="5" t="str">
        <f>HYPERLINK("#'Input - Poultry'!A1", "Poultry")</f>
        <v>Poultry</v>
      </c>
      <c r="D11" s="25" t="str">
        <v>Added sub-categories for 'Incineration: Food waste, green waste, wood, sludge' in order to use volume to mass conversion factor values</v>
      </c>
    </row>
    <row r="12" spans="1:35" ht="20.100000000000001" customHeight="1" x14ac:dyDescent="0.2">
      <c r="A12" s="5" t="str">
        <f>HYPERLINK("#'Input - Livestock sales'!A1", "Livestock sales")</f>
        <v>Livestock sales</v>
      </c>
      <c r="D12" s="25" t="str">
        <v>Added sub-categories for 'Composting: All organic waste' in order to use volume to mass conversion factor values</v>
      </c>
    </row>
    <row r="13" spans="1:35" ht="20.100000000000001" customHeight="1" x14ac:dyDescent="0.2">
      <c r="A13" s="5" t="str">
        <f>HYPERLINK("#'Input - Poultry purchases'!A1", "Poultry purchases")</f>
        <v>Poultry purchases</v>
      </c>
      <c r="D13" s="25" t="str">
        <v>Added sub-categories for 'Anaerobic digestion: All organic waste' in order to use volume to mass conversion factor values</v>
      </c>
    </row>
    <row r="14" spans="1:35" ht="20.100000000000001" customHeight="1" x14ac:dyDescent="0.2">
      <c r="A14" s="5" t="str">
        <f>HYPERLINK("#'Input - Fuel'!A1", "Fuel")</f>
        <v>Fuel</v>
      </c>
      <c r="D14" s="1" t="str" cm="1">
        <f t="array" ref="D14">WasteSolid_SourceData.Waste_EmissionFactorsForWasteTreatment_Variable()</f>
        <v>EFwt</v>
      </c>
    </row>
    <row r="15" spans="1:35" ht="20.100000000000001" customHeight="1" x14ac:dyDescent="0.2">
      <c r="A15" s="5" t="str">
        <f>HYPERLINK("#'Input - Electricity'!A1", "Electricity")</f>
        <v>Electricity</v>
      </c>
      <c r="D15" s="9" t="str" cm="1">
        <f t="array" ref="D15">WasteSolid_SourceData.Waste_EmissionFactorsForWasteTreatment_Unit()</f>
        <v>t CO2e / t</v>
      </c>
      <c r="I15" s="1" t="s">
        <v>932</v>
      </c>
      <c r="K15" s="1" t="s">
        <v>933</v>
      </c>
      <c r="M15" s="1" t="s">
        <v>934</v>
      </c>
      <c r="O15" s="1" t="s">
        <v>935</v>
      </c>
    </row>
    <row r="16" spans="1:35" ht="20.100000000000001" customHeight="1" x14ac:dyDescent="0.2">
      <c r="A16" s="5" t="str">
        <f>HYPERLINK("#'Input - Common farm inputs'!A1", "Common farm inputs")</f>
        <v>Common farm inputs</v>
      </c>
      <c r="D16" s="19" t="s">
        <v>936</v>
      </c>
      <c r="E16" s="19" t="s">
        <v>937</v>
      </c>
      <c r="F16" s="19" t="s">
        <v>938</v>
      </c>
      <c r="G16" s="19" t="s">
        <v>939</v>
      </c>
      <c r="I16" s="19" t="s">
        <v>937</v>
      </c>
      <c r="K16" s="237" t="s">
        <v>937</v>
      </c>
      <c r="M16" s="237" t="s">
        <v>937</v>
      </c>
      <c r="O16" s="237" t="s">
        <v>937</v>
      </c>
    </row>
    <row r="17" spans="1:15" ht="20.100000000000001" customHeight="1" x14ac:dyDescent="0.2">
      <c r="A17" s="5" t="str">
        <f>HYPERLINK("#'Input - Livestock farm Inputs'!A1", "Livestock farm Inputs")</f>
        <v>Livestock farm Inputs</v>
      </c>
      <c r="D17" s="19" t="str" cm="1">
        <f t="array" ref="D17">Common_InputFunctions.Utility_DisplayArrayInTable(WasteSolid_SourceData.Waste_EmissionFactorsForWasteTreatment_Data(), Table_SourceData_WasteSolid_WasteTreatmentEFs[[#Headers],[Treatment type t]], 0)</f>
        <v>Landfill</v>
      </c>
      <c r="E17" s="19"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19" cm="1">
        <f t="array" ref="F17">Common_InputFunctions.Utility_DisplayArrayInTable(WasteSolid_SourceData.Waste_EmissionFactorsForWasteTreatment_Data(), Table_SourceData_WasteSolid_WasteTreatmentEFs[[#Headers],[Treatment type t]], 0)</f>
        <v>2.1</v>
      </c>
      <c r="G17" s="19" t="str" cm="1">
        <f t="array" ref="G17">Common_InputFunctions.Utility_DisplayArrayInTable(WasteSolid_SourceData.Waste_EmissionFactorsForWasteTreatment_Data(), Table_SourceData_WasteSolid_WasteTreatmentEFs[[#Headers],[Treatment type t]], 0)</f>
        <v>NGAF 2025 table 15</v>
      </c>
      <c r="I17" s="19"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
      <c r="A18" s="5" t="str">
        <f>HYPERLINK("#'Input - Freight'!A1", "Freight")</f>
        <v>Freight</v>
      </c>
      <c r="D18" s="1" t="str" cm="1">
        <f t="array" ref="D18">Common_InputFunctions.Utility_DisplayArrayInTable(WasteSolid_SourceData.Waste_EmissionFactorsForWasteTreatment_Data(), Table_SourceData_WasteSolid_WasteTreatmentEFs[[#Headers],[Treatment type t]], 0)</f>
        <v>Landfill</v>
      </c>
      <c r="E18" s="19" t="str" cm="1">
        <f t="array" ref="E18">Common_InputFunctions.Utility_DisplayArrayInTable(WasteSolid_SourceData.Waste_EmissionFactorsForWasteTreatment_Data(), Table_SourceData_WasteSolid_WasteTreatmentEFs[[#Headers],[Treatment type t]], 0)</f>
        <v>Paper and cardboard</v>
      </c>
      <c r="F18" s="19" cm="1">
        <f t="array" ref="F18">Common_InputFunctions.Utility_DisplayArrayInTable(WasteSolid_SourceData.Waste_EmissionFactorsForWasteTreatment_Data(), Table_SourceData_WasteSolid_WasteTreatmentEFs[[#Headers],[Treatment type t]], 0)</f>
        <v>3.3</v>
      </c>
      <c r="G18" s="19" t="str" cm="1">
        <f t="array" ref="G18">Common_InputFunctions.Utility_DisplayArrayInTable(WasteSolid_SourceData.Waste_EmissionFactorsForWasteTreatment_Data(), Table_SourceData_WasteSolid_WasteTreatmentEFs[[#Headers],[Treatment type t]], 0)</f>
        <v>NGAF 2025 table 15</v>
      </c>
      <c r="I18" s="19"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
      <c r="A19" s="5" t="str">
        <f>HYPERLINK("#'Input - Solid waste'!A1", "Solid waste")</f>
        <v>Solid waste</v>
      </c>
      <c r="D19" s="1" t="str" cm="1">
        <f t="array" ref="D19">Common_InputFunctions.Utility_DisplayArrayInTable(WasteSolid_SourceData.Waste_EmissionFactorsForWasteTreatment_Data(), Table_SourceData_WasteSolid_WasteTreatmentEFs[[#Headers],[Treatment type t]], 0)</f>
        <v>Landfill</v>
      </c>
      <c r="E19" s="19" t="str" cm="1">
        <f t="array" ref="E19">Common_InputFunctions.Utility_DisplayArrayInTable(WasteSolid_SourceData.Waste_EmissionFactorsForWasteTreatment_Data(), Table_SourceData_WasteSolid_WasteTreatmentEFs[[#Headers],[Treatment type t]], 0)</f>
        <v>Green waste (including crop residues or prunings)</v>
      </c>
      <c r="F19" s="19" cm="1">
        <f t="array" ref="F19">Common_InputFunctions.Utility_DisplayArrayInTable(WasteSolid_SourceData.Waste_EmissionFactorsForWasteTreatment_Data(), Table_SourceData_WasteSolid_WasteTreatmentEFs[[#Headers],[Treatment type t]], 0)</f>
        <v>1.6</v>
      </c>
      <c r="G19" s="19" t="str" cm="1">
        <f t="array" ref="G19">Common_InputFunctions.Utility_DisplayArrayInTable(WasteSolid_SourceData.Waste_EmissionFactorsForWasteTreatment_Data(), Table_SourceData_WasteSolid_WasteTreatmentEFs[[#Headers],[Treatment type t]], 0)</f>
        <v>NGAF 2025 table 15</v>
      </c>
      <c r="I19" s="19"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
      <c r="A20" s="5" t="str">
        <f>HYPERLINK("#'Input - Manure sent off-site'!A1", "Manure sent off-site")</f>
        <v>Manure sent off-site</v>
      </c>
      <c r="D20" s="1" t="str" cm="1">
        <f t="array" ref="D20">Common_InputFunctions.Utility_DisplayArrayInTable(WasteSolid_SourceData.Waste_EmissionFactorsForWasteTreatment_Data(), Table_SourceData_WasteSolid_WasteTreatmentEFs[[#Headers],[Treatment type t]], 0)</f>
        <v>Landfill</v>
      </c>
      <c r="E20" s="19" t="str" cm="1">
        <f t="array" ref="E20">Common_InputFunctions.Utility_DisplayArrayInTable(WasteSolid_SourceData.Waste_EmissionFactorsForWasteTreatment_Data(), Table_SourceData_WasteSolid_WasteTreatmentEFs[[#Headers],[Treatment type t]], 0)</f>
        <v>Wood</v>
      </c>
      <c r="F20" s="19" cm="1">
        <f t="array" ref="F20">Common_InputFunctions.Utility_DisplayArrayInTable(WasteSolid_SourceData.Waste_EmissionFactorsForWasteTreatment_Data(), Table_SourceData_WasteSolid_WasteTreatmentEFs[[#Headers],[Treatment type t]], 0)</f>
        <v>0.7</v>
      </c>
      <c r="G20" s="19" t="str" cm="1">
        <f t="array" ref="G20">Common_InputFunctions.Utility_DisplayArrayInTable(WasteSolid_SourceData.Waste_EmissionFactorsForWasteTreatment_Data(), Table_SourceData_WasteSolid_WasteTreatmentEFs[[#Headers],[Treatment type t]], 0)</f>
        <v>NGAF 2025 table 15</v>
      </c>
      <c r="I20" s="19" t="str">
        <f>Table_SourceData_WasteSolid_WasteTreatmentEFs[[#This Row],[Waste type w]]</f>
        <v>Wood</v>
      </c>
      <c r="K20" s="1" t="str">
        <f t="shared" si="0"/>
        <v>Sludge</v>
      </c>
      <c r="M20" s="1" t="str">
        <f>E43</f>
        <v>Sludge</v>
      </c>
      <c r="O20" s="1" t="str">
        <f>E49</f>
        <v>Sludge</v>
      </c>
    </row>
    <row r="21" spans="1:15" ht="20.100000000000001" customHeight="1" x14ac:dyDescent="0.2">
      <c r="A21" s="5" t="str">
        <f>HYPERLINK("#'Input - Data quality'!A1", "Data quality")</f>
        <v>Data quality</v>
      </c>
      <c r="D21" s="1" t="str" cm="1">
        <f t="array" ref="D21">Common_InputFunctions.Utility_DisplayArrayInTable(WasteSolid_SourceData.Waste_EmissionFactorsForWasteTreatment_Data(), Table_SourceData_WasteSolid_WasteTreatmentEFs[[#Headers],[Treatment type t]], 0)</f>
        <v>Landfill</v>
      </c>
      <c r="E21" s="19" t="str" cm="1">
        <f t="array" ref="E21">Common_InputFunctions.Utility_DisplayArrayInTable(WasteSolid_SourceData.Waste_EmissionFactorsForWasteTreatment_Data(), Table_SourceData_WasteSolid_WasteTreatmentEFs[[#Headers],[Treatment type t]], 0)</f>
        <v>Textiles</v>
      </c>
      <c r="F21" s="19" cm="1">
        <f t="array" ref="F21">Common_InputFunctions.Utility_DisplayArrayInTable(WasteSolid_SourceData.Waste_EmissionFactorsForWasteTreatment_Data(), Table_SourceData_WasteSolid_WasteTreatmentEFs[[#Headers],[Treatment type t]], 0)</f>
        <v>2</v>
      </c>
      <c r="G21" s="19" t="str" cm="1">
        <f t="array" ref="G21">Common_InputFunctions.Utility_DisplayArrayInTable(WasteSolid_SourceData.Waste_EmissionFactorsForWasteTreatment_Data(), Table_SourceData_WasteSolid_WasteTreatmentEFs[[#Headers],[Treatment type t]], 0)</f>
        <v>NGAF 2025 table 15</v>
      </c>
      <c r="I21" s="19"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
      <c r="A22" s="5" t="str">
        <f>HYPERLINK("#'Input - Fert Prod System'!A1", "Fert Prod System")</f>
        <v>Fert Prod System</v>
      </c>
      <c r="D22" s="1" t="str" cm="1">
        <f t="array" ref="D22">Common_InputFunctions.Utility_DisplayArrayInTable(WasteSolid_SourceData.Waste_EmissionFactorsForWasteTreatment_Data(), Table_SourceData_WasteSolid_WasteTreatmentEFs[[#Headers],[Treatment type t]], 0)</f>
        <v>Landfill</v>
      </c>
      <c r="E22" s="19" t="str" cm="1">
        <f t="array" ref="E22">Common_InputFunctions.Utility_DisplayArrayInTable(WasteSolid_SourceData.Waste_EmissionFactorsForWasteTreatment_Data(), Table_SourceData_WasteSolid_WasteTreatmentEFs[[#Headers],[Treatment type t]], 0)</f>
        <v>Sludge</v>
      </c>
      <c r="F22" s="19" cm="1">
        <f t="array" ref="F22">Common_InputFunctions.Utility_DisplayArrayInTable(WasteSolid_SourceData.Waste_EmissionFactorsForWasteTreatment_Data(), Table_SourceData_WasteSolid_WasteTreatmentEFs[[#Headers],[Treatment type t]], 0)</f>
        <v>0.4</v>
      </c>
      <c r="G22" s="19" t="str" cm="1">
        <f t="array" ref="G22">Common_InputFunctions.Utility_DisplayArrayInTable(WasteSolid_SourceData.Waste_EmissionFactorsForWasteTreatment_Data(), Table_SourceData_WasteSolid_WasteTreatmentEFs[[#Headers],[Treatment type t]], 0)</f>
        <v>NGAF 2025 table 15</v>
      </c>
      <c r="I22" s="19" t="str">
        <f>Table_SourceData_WasteSolid_WasteTreatmentEFs[[#This Row],[Waste type w]]</f>
        <v>Sludge</v>
      </c>
      <c r="K22" s="1" t="str">
        <f t="shared" si="0"/>
        <v>Textiles</v>
      </c>
    </row>
    <row r="23" spans="1:15" ht="20.100000000000001" customHeight="1" x14ac:dyDescent="0.2">
      <c r="A23" s="5" t="str">
        <f>HYPERLINK("#'Input - Fertiliser'!A1", "Fertiliser")</f>
        <v>Fertiliser</v>
      </c>
      <c r="D23" s="1" t="str" cm="1">
        <f t="array" ref="D23">Common_InputFunctions.Utility_DisplayArrayInTable(WasteSolid_SourceData.Waste_EmissionFactorsForWasteTreatment_Data(), Table_SourceData_WasteSolid_WasteTreatmentEFs[[#Headers],[Treatment type t]], 0)</f>
        <v>Landfill</v>
      </c>
      <c r="E23" s="19" t="str" cm="1">
        <f t="array" ref="E23">Common_InputFunctions.Utility_DisplayArrayInTable(WasteSolid_SourceData.Waste_EmissionFactorsForWasteTreatment_Data(), Table_SourceData_WasteSolid_WasteTreatmentEFs[[#Headers],[Treatment type t]], 0)</f>
        <v>Rubber and leather</v>
      </c>
      <c r="F23" s="19" cm="1">
        <f t="array" ref="F23">Common_InputFunctions.Utility_DisplayArrayInTable(WasteSolid_SourceData.Waste_EmissionFactorsForWasteTreatment_Data(), Table_SourceData_WasteSolid_WasteTreatmentEFs[[#Headers],[Treatment type t]], 0)</f>
        <v>3.3</v>
      </c>
      <c r="G23" s="19" t="str" cm="1">
        <f t="array" ref="G23">Common_InputFunctions.Utility_DisplayArrayInTable(WasteSolid_SourceData.Waste_EmissionFactorsForWasteTreatment_Data(), Table_SourceData_WasteSolid_WasteTreatmentEFs[[#Headers],[Treatment type t]], 0)</f>
        <v>NGAF 2025 table 15</v>
      </c>
      <c r="I23" s="19" t="str">
        <f>Table_SourceData_WasteSolid_WasteTreatmentEFs[[#This Row],[Waste type w]]</f>
        <v>Rubber and leather</v>
      </c>
      <c r="K23" s="1" t="str">
        <f t="shared" si="0"/>
        <v>Rubber and leather</v>
      </c>
    </row>
    <row r="24" spans="1:15" ht="20.100000000000001" customHeight="1" x14ac:dyDescent="0.2">
      <c r="D24" s="1" t="str" cm="1">
        <f t="array" ref="D24">Common_InputFunctions.Utility_DisplayArrayInTable(WasteSolid_SourceData.Waste_EmissionFactorsForWasteTreatment_Data(), Table_SourceData_WasteSolid_WasteTreatmentEFs[[#Headers],[Treatment type t]], 0)</f>
        <v>Landfill</v>
      </c>
      <c r="E24" s="19" t="str" cm="1">
        <f t="array" ref="E24">Common_InputFunctions.Utility_DisplayArrayInTable(WasteSolid_SourceData.Waste_EmissionFactorsForWasteTreatment_Data(), Table_SourceData_WasteSolid_WasteTreatmentEFs[[#Headers],[Treatment type t]], 0)</f>
        <v>Inert waste (including concrete, metal, plastic or glass)</v>
      </c>
      <c r="F24" s="19" cm="1">
        <f t="array" ref="F24">Common_InputFunctions.Utility_DisplayArrayInTable(WasteSolid_SourceData.Waste_EmissionFactorsForWasteTreatment_Data(), Table_SourceData_WasteSolid_WasteTreatmentEFs[[#Headers],[Treatment type t]], 0)</f>
        <v>0</v>
      </c>
      <c r="G24" s="19" t="str" cm="1">
        <f t="array" ref="G24">Common_InputFunctions.Utility_DisplayArrayInTable(WasteSolid_SourceData.Waste_EmissionFactorsForWasteTreatment_Data(), Table_SourceData_WasteSolid_WasteTreatmentEFs[[#Headers],[Treatment type t]], 0)</f>
        <v>NGAF 2025 table 15</v>
      </c>
      <c r="I24" s="19"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
      <c r="D25" s="1" t="str" cm="1">
        <f t="array" ref="D25">Common_InputFunctions.Utility_DisplayArrayInTable(WasteSolid_SourceData.Waste_EmissionFactorsForWasteTreatment_Data(), Table_SourceData_WasteSolid_WasteTreatmentEFs[[#Headers],[Treatment type t]], 0)</f>
        <v>Landfill</v>
      </c>
      <c r="E25" s="19" t="str" cm="1">
        <f t="array" ref="E25">Common_InputFunctions.Utility_DisplayArrayInTable(WasteSolid_SourceData.Waste_EmissionFactorsForWasteTreatment_Data(), Table_SourceData_WasteSolid_WasteTreatmentEFs[[#Headers],[Treatment type t]], 0)</f>
        <v>Municipal solid waste</v>
      </c>
      <c r="F25" s="19" cm="1">
        <f t="array" ref="F25">Common_InputFunctions.Utility_DisplayArrayInTable(WasteSolid_SourceData.Waste_EmissionFactorsForWasteTreatment_Data(), Table_SourceData_WasteSolid_WasteTreatmentEFs[[#Headers],[Treatment type t]], 0)</f>
        <v>1.6</v>
      </c>
      <c r="G25" s="19" t="str" cm="1">
        <f t="array" ref="G25">Common_InputFunctions.Utility_DisplayArrayInTable(WasteSolid_SourceData.Waste_EmissionFactorsForWasteTreatment_Data(), Table_SourceData_WasteSolid_WasteTreatmentEFs[[#Headers],[Treatment type t]], 0)</f>
        <v>NGAF 2025 table 15</v>
      </c>
      <c r="I25" s="19" t="str">
        <f>Table_SourceData_WasteSolid_WasteTreatmentEFs[[#This Row],[Waste type w]]</f>
        <v>Municipal solid waste</v>
      </c>
      <c r="K25" s="1" t="str">
        <f t="shared" si="0"/>
        <v>Municipal solid waste</v>
      </c>
    </row>
    <row r="26" spans="1:15" ht="20.100000000000001" customHeight="1" x14ac:dyDescent="0.2">
      <c r="A26" s="6" t="s">
        <v>2</v>
      </c>
      <c r="D26" s="1" t="str" cm="1">
        <f t="array" ref="D26">Common_InputFunctions.Utility_DisplayArrayInTable(WasteSolid_SourceData.Waste_EmissionFactorsForWasteTreatment_Data(), Table_SourceData_WasteSolid_WasteTreatmentEFs[[#Headers],[Treatment type t]], 0)</f>
        <v>Landfill</v>
      </c>
      <c r="E26" s="19" t="str" cm="1">
        <f t="array" ref="E26">Common_InputFunctions.Utility_DisplayArrayInTable(WasteSolid_SourceData.Waste_EmissionFactorsForWasteTreatment_Data(), Table_SourceData_WasteSolid_WasteTreatmentEFs[[#Headers],[Treatment type t]], 0)</f>
        <v>Commercial and industrial waste</v>
      </c>
      <c r="F26" s="19" cm="1">
        <f t="array" ref="F26">Common_InputFunctions.Utility_DisplayArrayInTable(WasteSolid_SourceData.Waste_EmissionFactorsForWasteTreatment_Data(), Table_SourceData_WasteSolid_WasteTreatmentEFs[[#Headers],[Treatment type t]], 0)</f>
        <v>1.3</v>
      </c>
      <c r="G26" s="19" t="str" cm="1">
        <f t="array" ref="G26">Common_InputFunctions.Utility_DisplayArrayInTable(WasteSolid_SourceData.Waste_EmissionFactorsForWasteTreatment_Data(), Table_SourceData_WasteSolid_WasteTreatmentEFs[[#Headers],[Treatment type t]], 0)</f>
        <v>NGAF 2025 table 15</v>
      </c>
      <c r="I26" s="19" t="str">
        <f>Table_SourceData_WasteSolid_WasteTreatmentEFs[[#This Row],[Waste type w]]</f>
        <v>Commercial and industrial waste</v>
      </c>
      <c r="K26" s="1" t="str">
        <f t="shared" si="0"/>
        <v>Commercial and industrial waste</v>
      </c>
    </row>
    <row r="27" spans="1:15" ht="20.100000000000001" customHeight="1" x14ac:dyDescent="0.2">
      <c r="A27" s="5" t="str">
        <f>HYPERLINK("#'4.6.1.1-2 Methane'!A1", "4.6.1.1-2 Manure Methane")</f>
        <v>4.6.1.1-2 Manure Methane</v>
      </c>
      <c r="D27" s="1" t="str" cm="1">
        <f t="array" ref="D27">Common_InputFunctions.Utility_DisplayArrayInTable(WasteSolid_SourceData.Waste_EmissionFactorsForWasteTreatment_Data(), Table_SourceData_WasteSolid_WasteTreatmentEFs[[#Headers],[Treatment type t]], 0)</f>
        <v>Landfill</v>
      </c>
      <c r="E27" s="19" t="str" cm="1">
        <f t="array" ref="E27">Common_InputFunctions.Utility_DisplayArrayInTable(WasteSolid_SourceData.Waste_EmissionFactorsForWasteTreatment_Data(), Table_SourceData_WasteSolid_WasteTreatmentEFs[[#Headers],[Treatment type t]], 0)</f>
        <v>Construction and demolition waste</v>
      </c>
      <c r="F27" s="19" cm="1">
        <f t="array" ref="F27">Common_InputFunctions.Utility_DisplayArrayInTable(WasteSolid_SourceData.Waste_EmissionFactorsForWasteTreatment_Data(), Table_SourceData_WasteSolid_WasteTreatmentEFs[[#Headers],[Treatment type t]], 0)</f>
        <v>0.2</v>
      </c>
      <c r="G27" s="19" t="str" cm="1">
        <f t="array" ref="G27">Common_InputFunctions.Utility_DisplayArrayInTable(WasteSolid_SourceData.Waste_EmissionFactorsForWasteTreatment_Data(), Table_SourceData_WasteSolid_WasteTreatmentEFs[[#Headers],[Treatment type t]], 0)</f>
        <v>NGAF 2025 table 15</v>
      </c>
      <c r="I27" s="19" t="str">
        <f>Table_SourceData_WasteSolid_WasteTreatmentEFs[[#This Row],[Waste type w]]</f>
        <v>Construction and demolition waste</v>
      </c>
    </row>
    <row r="28" spans="1:15" ht="20.100000000000001" customHeight="1" x14ac:dyDescent="0.2">
      <c r="A28" s="5" t="str">
        <f>HYPERLINK("#'4.6.1.3-4 Direct N20'!A1", "4.6.1.3-4 Manure Direct N2O")</f>
        <v>4.6.1.3-4 Manure Direct N2O</v>
      </c>
      <c r="D28" s="1" t="str" cm="1">
        <f t="array" ref="D28">Common_InputFunctions.Utility_DisplayArrayInTable(WasteSolid_SourceData.Waste_EmissionFactorsForWasteTreatment_Data(), Table_SourceData_WasteSolid_WasteTreatmentEFs[[#Headers],[Treatment type t]], 0)</f>
        <v>Incineration</v>
      </c>
      <c r="E28" s="19" t="str" cm="1">
        <f t="array" ref="E28">Common_InputFunctions.Utility_DisplayArrayInTable(WasteSolid_SourceData.Waste_EmissionFactorsForWasteTreatment_Data(), Table_SourceData_WasteSolid_WasteTreatmentEFs[[#Headers],[Treatment type t]], 0)</f>
        <v>Food waste, green waste, wood, sludge</v>
      </c>
      <c r="F28" s="19" cm="1">
        <f t="array" ref="F28">Common_InputFunctions.Utility_DisplayArrayInTable(WasteSolid_SourceData.Waste_EmissionFactorsForWasteTreatment_Data(), Table_SourceData_WasteSolid_WasteTreatmentEFs[[#Headers],[Treatment type t]], 0)</f>
        <v>0</v>
      </c>
      <c r="G28" s="19"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
      <c r="A29" s="5" t="str">
        <f>HYPERLINK("#'4.6.1.5-6 Atmos Dep'!A1", "4.6.1.5-6 Manure Atmos Dep")</f>
        <v>4.6.1.5-6 Manure Atmos Dep</v>
      </c>
      <c r="D29" s="1" t="str" cm="1">
        <f t="array" ref="D29">Common_InputFunctions.Utility_DisplayArrayInTable(WasteSolid_SourceData.Waste_EmissionFactorsForWasteTreatment_Data(), Table_SourceData_WasteSolid_WasteTreatmentEFs[[#Headers],[Treatment type t]], 0)</f>
        <v>Incineration</v>
      </c>
      <c r="E29" s="19"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19" cm="1">
        <f t="array" ref="F29">Common_InputFunctions.Utility_DisplayArrayInTable(WasteSolid_SourceData.Waste_EmissionFactorsForWasteTreatment_Data(), Table_SourceData_WasteSolid_WasteTreatmentEFs[[#Headers],[Treatment type t]], 0)</f>
        <v>0</v>
      </c>
      <c r="G29" s="19"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
      <c r="A30" s="5" t="str">
        <f>HYPERLINK("#'4.6.1.7-8 Leaching and runoff'!A1", "4.6.1.7-8 Manure Leaching and runoff")</f>
        <v>4.6.1.7-8 Manure Leaching and runoff</v>
      </c>
      <c r="D30" s="1" t="str" cm="1">
        <f t="array" ref="D30">Common_InputFunctions.Utility_DisplayArrayInTable(WasteSolid_SourceData.Waste_EmissionFactorsForWasteTreatment_Data(), Table_SourceData_WasteSolid_WasteTreatmentEFs[[#Headers],[Treatment type t]], 0)</f>
        <v>Incineration</v>
      </c>
      <c r="E30" s="19" t="str" cm="1">
        <f t="array" ref="E30">Common_InputFunctions.Utility_DisplayArrayInTable(WasteSolid_SourceData.Waste_EmissionFactorsForWasteTreatment_Data(), Table_SourceData_WasteSolid_WasteTreatmentEFs[[#Headers],[Treatment type t]], 0)</f>
        <v>Green waste (including crop residues or prunings)</v>
      </c>
      <c r="F30" s="19" cm="1">
        <f t="array" ref="F30">Common_InputFunctions.Utility_DisplayArrayInTable(WasteSolid_SourceData.Waste_EmissionFactorsForWasteTreatment_Data(), Table_SourceData_WasteSolid_WasteTreatmentEFs[[#Headers],[Treatment type t]], 0)</f>
        <v>0</v>
      </c>
      <c r="G30" s="19"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
      <c r="A31" s="5" t="str">
        <f>HYPERLINK("#'4.6.1.9 Manure applied to soils'!A1", "4.6.1.9 Manure applied to soils")</f>
        <v>4.6.1.9 Manure applied to soils</v>
      </c>
      <c r="D31" s="1" t="str" cm="1">
        <f t="array" ref="D31">Common_InputFunctions.Utility_DisplayArrayInTable(WasteSolid_SourceData.Waste_EmissionFactorsForWasteTreatment_Data(), Table_SourceData_WasteSolid_WasteTreatmentEFs[[#Headers],[Treatment type t]], 0)</f>
        <v>Incineration</v>
      </c>
      <c r="E31" s="19" t="str" cm="1">
        <f t="array" ref="E31">Common_InputFunctions.Utility_DisplayArrayInTable(WasteSolid_SourceData.Waste_EmissionFactorsForWasteTreatment_Data(), Table_SourceData_WasteSolid_WasteTreatmentEFs[[#Headers],[Treatment type t]], 0)</f>
        <v>Wood</v>
      </c>
      <c r="F31" s="19" cm="1">
        <f t="array" ref="F31">Common_InputFunctions.Utility_DisplayArrayInTable(WasteSolid_SourceData.Waste_EmissionFactorsForWasteTreatment_Data(), Table_SourceData_WasteSolid_WasteTreatmentEFs[[#Headers],[Treatment type t]], 0)</f>
        <v>0</v>
      </c>
      <c r="G31" s="19"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
      <c r="A32" s="5" t="str">
        <f>HYPERLINK("#'4.6.1.10-11 Soil direct N2O'!A1", "4.6.1.10-11 Soil direct N2O")</f>
        <v>4.6.1.10-11 Soil direct N2O</v>
      </c>
      <c r="D32" s="1" t="str" cm="1">
        <f t="array" ref="D32">Common_InputFunctions.Utility_DisplayArrayInTable(WasteSolid_SourceData.Waste_EmissionFactorsForWasteTreatment_Data(), Table_SourceData_WasteSolid_WasteTreatmentEFs[[#Headers],[Treatment type t]], 0)</f>
        <v>Incineration</v>
      </c>
      <c r="E32" s="19" t="str" cm="1">
        <f t="array" ref="E32">Common_InputFunctions.Utility_DisplayArrayInTable(WasteSolid_SourceData.Waste_EmissionFactorsForWasteTreatment_Data(), Table_SourceData_WasteSolid_WasteTreatmentEFs[[#Headers],[Treatment type t]], 0)</f>
        <v>Sludge</v>
      </c>
      <c r="F32" s="19" cm="1">
        <f t="array" ref="F32">Common_InputFunctions.Utility_DisplayArrayInTable(WasteSolid_SourceData.Waste_EmissionFactorsForWasteTreatment_Data(), Table_SourceData_WasteSolid_WasteTreatmentEFs[[#Headers],[Treatment type t]], 0)</f>
        <v>0</v>
      </c>
      <c r="G32" s="19" t="str" cm="1">
        <f t="array" ref="G32">Common_InputFunctions.Utility_DisplayArrayInTable(WasteSolid_SourceData.Waste_EmissionFactorsForWasteTreatment_Data(), Table_SourceData_WasteSolid_WasteTreatmentEFs[[#Headers],[Treatment type t]], 0)</f>
        <v/>
      </c>
    </row>
    <row r="33" spans="1:7" ht="20.100000000000001" customHeight="1" x14ac:dyDescent="0.2">
      <c r="A33" s="5" t="str">
        <f>HYPERLINK("#'4.6.1.12-13 Soil atmos dep'!A1", "4.6.1.12-13 Soil atmos dep")</f>
        <v>4.6.1.12-13 Soil atmos dep</v>
      </c>
      <c r="D33" s="1" t="str" cm="1">
        <f t="array" ref="D33">Common_InputFunctions.Utility_DisplayArrayInTable(WasteSolid_SourceData.Waste_EmissionFactorsForWasteTreatment_Data(), Table_SourceData_WasteSolid_WasteTreatmentEFs[[#Headers],[Treatment type t]], 0)</f>
        <v>Incineration</v>
      </c>
      <c r="E33" s="19" t="str" cm="1">
        <f t="array" ref="E33">Common_InputFunctions.Utility_DisplayArrayInTable(WasteSolid_SourceData.Waste_EmissionFactorsForWasteTreatment_Data(), Table_SourceData_WasteSolid_WasteTreatmentEFs[[#Headers],[Treatment type t]], 0)</f>
        <v>Paper and cardboard</v>
      </c>
      <c r="F33" s="19" cm="1">
        <f t="array" ref="F33">Common_InputFunctions.Utility_DisplayArrayInTable(WasteSolid_SourceData.Waste_EmissionFactorsForWasteTreatment_Data(), Table_SourceData_WasteSolid_WasteTreatmentEFs[[#Headers],[Treatment type t]], 0)</f>
        <v>1.6899999999999998E-2</v>
      </c>
      <c r="G33" s="19" t="str" cm="1">
        <f t="array" ref="G33">Common_InputFunctions.Utility_DisplayArrayInTable(WasteSolid_SourceData.Waste_EmissionFactorsForWasteTreatment_Data(), Table_SourceData_WasteSolid_WasteTreatmentEFs[[#Headers],[Treatment type t]], 0)</f>
        <v/>
      </c>
    </row>
    <row r="34" spans="1:7" ht="20.100000000000001" customHeight="1" x14ac:dyDescent="0.2">
      <c r="A34" s="5" t="str">
        <f>HYPERLINK("#'4.6.1.14-15 Soil leach runoff'!A1", "4.6.1.14-15 Soil leach runoff")</f>
        <v>4.6.1.14-15 Soil leach runoff</v>
      </c>
      <c r="D34" s="1" t="str" cm="1">
        <f t="array" ref="D34">Common_InputFunctions.Utility_DisplayArrayInTable(WasteSolid_SourceData.Waste_EmissionFactorsForWasteTreatment_Data(), Table_SourceData_WasteSolid_WasteTreatmentEFs[[#Headers],[Treatment type t]], 0)</f>
        <v>Incineration</v>
      </c>
      <c r="E34" s="19" t="str" cm="1">
        <f t="array" ref="E34">Common_InputFunctions.Utility_DisplayArrayInTable(WasteSolid_SourceData.Waste_EmissionFactorsForWasteTreatment_Data(), Table_SourceData_WasteSolid_WasteTreatmentEFs[[#Headers],[Treatment type t]], 0)</f>
        <v>Textiles</v>
      </c>
      <c r="F34" s="19" cm="1">
        <f t="array" ref="F34">Common_InputFunctions.Utility_DisplayArrayInTable(WasteSolid_SourceData.Waste_EmissionFactorsForWasteTreatment_Data(), Table_SourceData_WasteSolid_WasteTreatmentEFs[[#Headers],[Treatment type t]], 0)</f>
        <v>0.36670000000000003</v>
      </c>
      <c r="G34" s="19" t="str" cm="1">
        <f t="array" ref="G34">Common_InputFunctions.Utility_DisplayArrayInTable(WasteSolid_SourceData.Waste_EmissionFactorsForWasteTreatment_Data(), Table_SourceData_WasteSolid_WasteTreatmentEFs[[#Headers],[Treatment type t]], 0)</f>
        <v/>
      </c>
    </row>
    <row r="35" spans="1:7" ht="20.100000000000001" customHeight="1" x14ac:dyDescent="0.2">
      <c r="A35" s="5" t="str">
        <f>HYPERLINK("#'8.1.1.1-2 Transport fuel'!A1", "8.1.1.1-2 Transport fuel")</f>
        <v>8.1.1.1-2 Transport fuel</v>
      </c>
      <c r="D35" s="1" t="str" cm="1">
        <f t="array" ref="D35">Common_InputFunctions.Utility_DisplayArrayInTable(WasteSolid_SourceData.Waste_EmissionFactorsForWasteTreatment_Data(), Table_SourceData_WasteSolid_WasteTreatmentEFs[[#Headers],[Treatment type t]], 0)</f>
        <v>Incineration</v>
      </c>
      <c r="E35" s="19" t="str" cm="1">
        <f t="array" ref="E35">Common_InputFunctions.Utility_DisplayArrayInTable(WasteSolid_SourceData.Waste_EmissionFactorsForWasteTreatment_Data(), Table_SourceData_WasteSolid_WasteTreatmentEFs[[#Headers],[Treatment type t]], 0)</f>
        <v>Rubber and leather</v>
      </c>
      <c r="F35" s="19" cm="1">
        <f t="array" ref="F35">Common_InputFunctions.Utility_DisplayArrayInTable(WasteSolid_SourceData.Waste_EmissionFactorsForWasteTreatment_Data(), Table_SourceData_WasteSolid_WasteTreatmentEFs[[#Headers],[Treatment type t]], 0)</f>
        <v>0.4919</v>
      </c>
      <c r="G35" s="19" t="str" cm="1">
        <f t="array" ref="G35">Common_InputFunctions.Utility_DisplayArrayInTable(WasteSolid_SourceData.Waste_EmissionFactorsForWasteTreatment_Data(), Table_SourceData_WasteSolid_WasteTreatmentEFs[[#Headers],[Treatment type t]], 0)</f>
        <v/>
      </c>
    </row>
    <row r="36" spans="1:7" ht="20.100000000000001" customHeight="1" x14ac:dyDescent="0.2">
      <c r="A36" s="5" t="str">
        <f>HYPERLINK("#'8.2.1.1-2 Stationary fuel'!A1", "8.2.1.1-2 Stationary fuel")</f>
        <v>8.2.1.1-2 Stationary fuel</v>
      </c>
      <c r="D36" s="1" t="str" cm="1">
        <f t="array" ref="D36">Common_InputFunctions.Utility_DisplayArrayInTable(WasteSolid_SourceData.Waste_EmissionFactorsForWasteTreatment_Data(), Table_SourceData_WasteSolid_WasteTreatmentEFs[[#Headers],[Treatment type t]], 0)</f>
        <v>Incineration</v>
      </c>
      <c r="E36" s="19" t="str" cm="1">
        <f t="array" ref="E36">Common_InputFunctions.Utility_DisplayArrayInTable(WasteSolid_SourceData.Waste_EmissionFactorsForWasteTreatment_Data(), Table_SourceData_WasteSolid_WasteTreatmentEFs[[#Headers],[Treatment type t]], 0)</f>
        <v>Inert waste (including concrete, metal, plastic or glass)</v>
      </c>
      <c r="F36" s="19" cm="1">
        <f t="array" ref="F36">Common_InputFunctions.Utility_DisplayArrayInTable(WasteSolid_SourceData.Waste_EmissionFactorsForWasteTreatment_Data(), Table_SourceData_WasteSolid_WasteTreatmentEFs[[#Headers],[Treatment type t]], 0)</f>
        <v>0.11</v>
      </c>
      <c r="G36" s="19" t="str" cm="1">
        <f t="array" ref="G36">Common_InputFunctions.Utility_DisplayArrayInTable(WasteSolid_SourceData.Waste_EmissionFactorsForWasteTreatment_Data(), Table_SourceData_WasteSolid_WasteTreatmentEFs[[#Headers],[Treatment type t]], 0)</f>
        <v/>
      </c>
    </row>
    <row r="37" spans="1:7" ht="20.100000000000001" customHeight="1" x14ac:dyDescent="0.2">
      <c r="A37" s="5" t="str">
        <f>HYPERLINK("#'10.1.1-2 Solid waste treatment'!A1", "10.1.1.1-2 Solid waste")</f>
        <v>10.1.1.1-2 Solid waste</v>
      </c>
      <c r="D37" s="1" t="str" cm="1">
        <f t="array" ref="D37">Common_InputFunctions.Utility_DisplayArrayInTable(WasteSolid_SourceData.Waste_EmissionFactorsForWasteTreatment_Data(), Table_SourceData_WasteSolid_WasteTreatmentEFs[[#Headers],[Treatment type t]], 0)</f>
        <v>Incineration</v>
      </c>
      <c r="E37" s="19" t="str" cm="1">
        <f t="array" ref="E37">Common_InputFunctions.Utility_DisplayArrayInTable(WasteSolid_SourceData.Waste_EmissionFactorsForWasteTreatment_Data(), Table_SourceData_WasteSolid_WasteTreatmentEFs[[#Headers],[Treatment type t]], 0)</f>
        <v>Municipal solid waste</v>
      </c>
      <c r="F37" s="19" cm="1">
        <f t="array" ref="F37">Common_InputFunctions.Utility_DisplayArrayInTable(WasteSolid_SourceData.Waste_EmissionFactorsForWasteTreatment_Data(), Table_SourceData_WasteSolid_WasteTreatmentEFs[[#Headers],[Treatment type t]], 0)</f>
        <v>5.3699999999999998E-2</v>
      </c>
      <c r="G37" s="238" t="str" cm="1">
        <f t="array" ref="G37">Common_InputFunctions.Utility_DisplayArrayInTable(WasteSolid_SourceData.Waste_EmissionFactorsForWasteTreatment_Data(), Table_SourceData_WasteSolid_WasteTreatmentEFs[[#Headers],[Treatment type t]], 0)</f>
        <v>NGAF 2025 Table 18</v>
      </c>
    </row>
    <row r="38" spans="1:7" ht="20.100000000000001" customHeight="1" x14ac:dyDescent="0.2">
      <c r="A38" s="5" t="str">
        <f>HYPERLINK("#'14.1.1-2 Purchased electricity'!A1", "14.1.1-2 Purchased electricity")</f>
        <v>14.1.1-2 Purchased electricity</v>
      </c>
      <c r="D38" s="1" t="str" cm="1">
        <f t="array" ref="D38">Common_InputFunctions.Utility_DisplayArrayInTable(WasteSolid_SourceData.Waste_EmissionFactorsForWasteTreatment_Data(), Table_SourceData_WasteSolid_WasteTreatmentEFs[[#Headers],[Treatment type t]], 0)</f>
        <v>Incineration</v>
      </c>
      <c r="E38" s="19" t="str" cm="1">
        <f t="array" ref="E38">Common_InputFunctions.Utility_DisplayArrayInTable(WasteSolid_SourceData.Waste_EmissionFactorsForWasteTreatment_Data(), Table_SourceData_WasteSolid_WasteTreatmentEFs[[#Headers],[Treatment type t]], 0)</f>
        <v>Commercial and industrial waste</v>
      </c>
      <c r="F38" s="19" cm="1">
        <f t="array" ref="F38">Common_InputFunctions.Utility_DisplayArrayInTable(WasteSolid_SourceData.Waste_EmissionFactorsForWasteTreatment_Data(), Table_SourceData_WasteSolid_WasteTreatmentEFs[[#Headers],[Treatment type t]], 0)</f>
        <v>1.649</v>
      </c>
      <c r="G38" s="238" t="str" cm="1">
        <f t="array" ref="G38">Common_InputFunctions.Utility_DisplayArrayInTable(WasteSolid_SourceData.Waste_EmissionFactorsForWasteTreatment_Data(), Table_SourceData_WasteSolid_WasteTreatmentEFs[[#Headers],[Treatment type t]], 0)</f>
        <v>NGAF 2025 Table 18</v>
      </c>
    </row>
    <row r="39" spans="1:7" ht="20.100000000000001" customHeight="1" x14ac:dyDescent="0.2">
      <c r="A39" s="5" t="str">
        <f>HYPERLINK("#'15 Scope 3'!A1", "15 Scope 3")</f>
        <v>15 Scope 3</v>
      </c>
      <c r="D39" s="1" t="str" cm="1">
        <f t="array" ref="D39">Common_InputFunctions.Utility_DisplayArrayInTable(WasteSolid_SourceData.Waste_EmissionFactorsForWasteTreatment_Data(), Table_SourceData_WasteSolid_WasteTreatmentEFs[[#Headers],[Treatment type t]], 0)</f>
        <v>Composting</v>
      </c>
      <c r="E39" s="19" t="str" cm="1">
        <f t="array" ref="E39">Common_InputFunctions.Utility_DisplayArrayInTable(WasteSolid_SourceData.Waste_EmissionFactorsForWasteTreatment_Data(), Table_SourceData_WasteSolid_WasteTreatmentEFs[[#Headers],[Treatment type t]], 0)</f>
        <v>All organic waste</v>
      </c>
      <c r="F39" s="19" cm="1">
        <f t="array" ref="F39">Common_InputFunctions.Utility_DisplayArrayInTable(WasteSolid_SourceData.Waste_EmissionFactorsForWasteTreatment_Data(), Table_SourceData_WasteSolid_WasteTreatmentEFs[[#Headers],[Treatment type t]], 0)</f>
        <v>4.5999999999999999E-2</v>
      </c>
      <c r="G39" s="238" t="str" cm="1">
        <f t="array" ref="G39">Common_InputFunctions.Utility_DisplayArrayInTable(WasteSolid_SourceData.Waste_EmissionFactorsForWasteTreatment_Data(), Table_SourceData_WasteSolid_WasteTreatmentEFs[[#Headers],[Treatment type t]], 0)</f>
        <v>NGAF 2025 Table 19</v>
      </c>
    </row>
    <row r="40" spans="1:7" ht="20.100000000000001" customHeight="1" x14ac:dyDescent="0.2">
      <c r="A40" s="5" t="str">
        <f>HYPERLINK("#'Calcs - Manure sent off-site'!A1", "Calcs - Manure sent off-site")</f>
        <v>Calcs - Manure sent off-site</v>
      </c>
      <c r="D40" s="1" t="str" cm="1">
        <f t="array" ref="D40">Common_InputFunctions.Utility_DisplayArrayInTable(WasteSolid_SourceData.Waste_EmissionFactorsForWasteTreatment_Data(), Table_SourceData_WasteSolid_WasteTreatmentEFs[[#Headers],[Treatment type t]], 0)</f>
        <v>Composting</v>
      </c>
      <c r="E40" s="19"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19" cm="1">
        <f t="array" ref="F40">Common_InputFunctions.Utility_DisplayArrayInTable(WasteSolid_SourceData.Waste_EmissionFactorsForWasteTreatment_Data(), Table_SourceData_WasteSolid_WasteTreatmentEFs[[#Headers],[Treatment type t]], 0)</f>
        <v>4.5999999999999999E-2</v>
      </c>
      <c r="G40" s="238" t="str" cm="1">
        <f t="array" ref="G40">Common_InputFunctions.Utility_DisplayArrayInTable(WasteSolid_SourceData.Waste_EmissionFactorsForWasteTreatment_Data(), Table_SourceData_WasteSolid_WasteTreatmentEFs[[#Headers],[Treatment type t]], 0)</f>
        <v/>
      </c>
    </row>
    <row r="41" spans="1:7" ht="20.100000000000001" customHeight="1" x14ac:dyDescent="0.2">
      <c r="A41" s="5" t="str">
        <f>HYPERLINK("#'5.1.1.1-2 Inorganic fert N2O'!A1", "5.1.1.1-2 Inorganic fert N2O")</f>
        <v>5.1.1.1-2 Inorganic fert N2O</v>
      </c>
      <c r="D41" s="1" t="str" cm="1">
        <f t="array" ref="D41">Common_InputFunctions.Utility_DisplayArrayInTable(WasteSolid_SourceData.Waste_EmissionFactorsForWasteTreatment_Data(), Table_SourceData_WasteSolid_WasteTreatmentEFs[[#Headers],[Treatment type t]], 0)</f>
        <v>Composting</v>
      </c>
      <c r="E41" s="19" t="str" cm="1">
        <f t="array" ref="E41">Common_InputFunctions.Utility_DisplayArrayInTable(WasteSolid_SourceData.Waste_EmissionFactorsForWasteTreatment_Data(), Table_SourceData_WasteSolid_WasteTreatmentEFs[[#Headers],[Treatment type t]], 0)</f>
        <v>Green waste (including crop residues or prunings)</v>
      </c>
      <c r="F41" s="19" cm="1">
        <f t="array" ref="F41">Common_InputFunctions.Utility_DisplayArrayInTable(WasteSolid_SourceData.Waste_EmissionFactorsForWasteTreatment_Data(), Table_SourceData_WasteSolid_WasteTreatmentEFs[[#Headers],[Treatment type t]], 0)</f>
        <v>4.5999999999999999E-2</v>
      </c>
      <c r="G41" s="238" t="str" cm="1">
        <f t="array" ref="G41">Common_InputFunctions.Utility_DisplayArrayInTable(WasteSolid_SourceData.Waste_EmissionFactorsForWasteTreatment_Data(), Table_SourceData_WasteSolid_WasteTreatmentEFs[[#Headers],[Treatment type t]], 0)</f>
        <v/>
      </c>
    </row>
    <row r="42" spans="1:7" ht="20.100000000000001" customHeight="1" x14ac:dyDescent="0.2">
      <c r="A42" s="5" t="str">
        <f>HYPERLINK("#'5.1.1.3-4 Inorganic fert CO2'!A1", "5.1.1.3-4 Inorganic fert CO2")</f>
        <v>5.1.1.3-4 Inorganic fert CO2</v>
      </c>
      <c r="D42" s="1" t="str" cm="1">
        <f t="array" ref="D42">Common_InputFunctions.Utility_DisplayArrayInTable(WasteSolid_SourceData.Waste_EmissionFactorsForWasteTreatment_Data(), Table_SourceData_WasteSolid_WasteTreatmentEFs[[#Headers],[Treatment type t]], 0)</f>
        <v>Composting</v>
      </c>
      <c r="E42" s="19" t="str" cm="1">
        <f t="array" ref="E42">Common_InputFunctions.Utility_DisplayArrayInTable(WasteSolid_SourceData.Waste_EmissionFactorsForWasteTreatment_Data(), Table_SourceData_WasteSolid_WasteTreatmentEFs[[#Headers],[Treatment type t]], 0)</f>
        <v>Wood</v>
      </c>
      <c r="F42" s="19" cm="1">
        <f t="array" ref="F42">Common_InputFunctions.Utility_DisplayArrayInTable(WasteSolid_SourceData.Waste_EmissionFactorsForWasteTreatment_Data(), Table_SourceData_WasteSolid_WasteTreatmentEFs[[#Headers],[Treatment type t]], 0)</f>
        <v>4.5999999999999999E-2</v>
      </c>
      <c r="G42" s="238" t="str" cm="1">
        <f t="array" ref="G42">Common_InputFunctions.Utility_DisplayArrayInTable(WasteSolid_SourceData.Waste_EmissionFactorsForWasteTreatment_Data(), Table_SourceData_WasteSolid_WasteTreatmentEFs[[#Headers],[Treatment type t]], 0)</f>
        <v/>
      </c>
    </row>
    <row r="43" spans="1:7" ht="20.100000000000001" customHeight="1" x14ac:dyDescent="0.2">
      <c r="A43" s="5" t="str">
        <f>HYPERLINK("#'5.2.1.1-2 Organic Fert N2O'!A1", "5.2.1.1-2 Organic Fert N2O")</f>
        <v>5.2.1.1-2 Organic Fert N2O</v>
      </c>
      <c r="D43" s="1" t="str" cm="1">
        <f t="array" ref="D43">Common_InputFunctions.Utility_DisplayArrayInTable(WasteSolid_SourceData.Waste_EmissionFactorsForWasteTreatment_Data(), Table_SourceData_WasteSolid_WasteTreatmentEFs[[#Headers],[Treatment type t]], 0)</f>
        <v>Composting</v>
      </c>
      <c r="E43" s="19" t="str" cm="1">
        <f t="array" ref="E43">Common_InputFunctions.Utility_DisplayArrayInTable(WasteSolid_SourceData.Waste_EmissionFactorsForWasteTreatment_Data(), Table_SourceData_WasteSolid_WasteTreatmentEFs[[#Headers],[Treatment type t]], 0)</f>
        <v>Sludge</v>
      </c>
      <c r="F43" s="19" cm="1">
        <f t="array" ref="F43">Common_InputFunctions.Utility_DisplayArrayInTable(WasteSolid_SourceData.Waste_EmissionFactorsForWasteTreatment_Data(), Table_SourceData_WasteSolid_WasteTreatmentEFs[[#Headers],[Treatment type t]], 0)</f>
        <v>4.5999999999999999E-2</v>
      </c>
      <c r="G43" s="238" t="str" cm="1">
        <f t="array" ref="G43">Common_InputFunctions.Utility_DisplayArrayInTable(WasteSolid_SourceData.Waste_EmissionFactorsForWasteTreatment_Data(), Table_SourceData_WasteSolid_WasteTreatmentEFs[[#Headers],[Treatment type t]], 0)</f>
        <v/>
      </c>
    </row>
    <row r="44" spans="1:7" ht="20.100000000000001" customHeight="1" x14ac:dyDescent="0.2">
      <c r="A44" s="5" t="str">
        <f>HYPERLINK("#'5.3.1.1-2 Lime CO2'!A1", "5.3.1.1-2 Lime CO2")</f>
        <v>5.3.1.1-2 Lime CO2</v>
      </c>
      <c r="D44" s="1" t="str" cm="1">
        <f t="array" ref="D44">Common_InputFunctions.Utility_DisplayArrayInTable(WasteSolid_SourceData.Waste_EmissionFactorsForWasteTreatment_Data(), Table_SourceData_WasteSolid_WasteTreatmentEFs[[#Headers],[Treatment type t]], 0)</f>
        <v>Composting</v>
      </c>
      <c r="E44" s="19" t="str" cm="1">
        <f t="array" ref="E44">Common_InputFunctions.Utility_DisplayArrayInTable(WasteSolid_SourceData.Waste_EmissionFactorsForWasteTreatment_Data(), Table_SourceData_WasteSolid_WasteTreatmentEFs[[#Headers],[Treatment type t]], 0)</f>
        <v>Paper and cardboard</v>
      </c>
      <c r="F44" s="19" cm="1">
        <f t="array" ref="F44">Common_InputFunctions.Utility_DisplayArrayInTable(WasteSolid_SourceData.Waste_EmissionFactorsForWasteTreatment_Data(), Table_SourceData_WasteSolid_WasteTreatmentEFs[[#Headers],[Treatment type t]], 0)</f>
        <v>4.5999999999999999E-2</v>
      </c>
      <c r="G44" s="238" t="str" cm="1">
        <f t="array" ref="G44">Common_InputFunctions.Utility_DisplayArrayInTable(WasteSolid_SourceData.Waste_EmissionFactorsForWasteTreatment_Data(), Table_SourceData_WasteSolid_WasteTreatmentEFs[[#Headers],[Treatment type t]], 0)</f>
        <v/>
      </c>
    </row>
    <row r="45" spans="1:7" ht="20.100000000000001" customHeight="1" x14ac:dyDescent="0.2">
      <c r="A45" s="5" t="str">
        <f>HYPERLINK("#'5.4.1.1-4 Atmos deposition'!A1", "5.4.1.1-4 Atmos deposition")</f>
        <v>5.4.1.1-4 Atmos deposition</v>
      </c>
      <c r="D45" s="1" t="str" cm="1">
        <f t="array" ref="D45">Common_InputFunctions.Utility_DisplayArrayInTable(WasteSolid_SourceData.Waste_EmissionFactorsForWasteTreatment_Data(), Table_SourceData_WasteSolid_WasteTreatmentEFs[[#Headers],[Treatment type t]], 0)</f>
        <v>Anaerobic digestion</v>
      </c>
      <c r="E45" s="19" t="str" cm="1">
        <f t="array" ref="E45">Common_InputFunctions.Utility_DisplayArrayInTable(WasteSolid_SourceData.Waste_EmissionFactorsForWasteTreatment_Data(), Table_SourceData_WasteSolid_WasteTreatmentEFs[[#Headers],[Treatment type t]], 0)</f>
        <v>All organic waste</v>
      </c>
      <c r="F45" s="19" cm="1">
        <f t="array" ref="F45">Common_InputFunctions.Utility_DisplayArrayInTable(WasteSolid_SourceData.Waste_EmissionFactorsForWasteTreatment_Data(), Table_SourceData_WasteSolid_WasteTreatmentEFs[[#Headers],[Treatment type t]], 0)</f>
        <v>2.8000000000000001E-2</v>
      </c>
      <c r="G45" s="238" t="str" cm="1">
        <f t="array" ref="G45">Common_InputFunctions.Utility_DisplayArrayInTable(WasteSolid_SourceData.Waste_EmissionFactorsForWasteTreatment_Data(), Table_SourceData_WasteSolid_WasteTreatmentEFs[[#Headers],[Treatment type t]], 0)</f>
        <v>NGAF 2025 Table 19</v>
      </c>
    </row>
    <row r="46" spans="1:7" ht="20.100000000000001" customHeight="1" x14ac:dyDescent="0.2">
      <c r="A46" s="5" t="str">
        <f>HYPERLINK("#'5.5.1.1-2 Leaching and runoff'!A1", "5.5.1.1-2 Leaching and runoff")</f>
        <v>5.5.1.1-2 Leaching and runoff</v>
      </c>
      <c r="D46" s="1" t="str" cm="1">
        <f t="array" ref="D46">Common_InputFunctions.Utility_DisplayArrayInTable(WasteSolid_SourceData.Waste_EmissionFactorsForWasteTreatment_Data(), Table_SourceData_WasteSolid_WasteTreatmentEFs[[#Headers],[Treatment type t]], 0)</f>
        <v>Anaerobic digestion</v>
      </c>
      <c r="E46" s="19"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19" cm="1">
        <f t="array" ref="F46">Common_InputFunctions.Utility_DisplayArrayInTable(WasteSolid_SourceData.Waste_EmissionFactorsForWasteTreatment_Data(), Table_SourceData_WasteSolid_WasteTreatmentEFs[[#Headers],[Treatment type t]], 0)</f>
        <v>2.8000000000000001E-2</v>
      </c>
      <c r="G46" s="238" t="str" cm="1">
        <f t="array" ref="G46">Common_InputFunctions.Utility_DisplayArrayInTable(WasteSolid_SourceData.Waste_EmissionFactorsForWasteTreatment_Data(), Table_SourceData_WasteSolid_WasteTreatmentEFs[[#Headers],[Treatment type t]], 0)</f>
        <v/>
      </c>
    </row>
    <row r="47" spans="1:7" ht="20.100000000000001" customHeight="1" x14ac:dyDescent="0.2">
      <c r="D47" s="1" t="str" cm="1">
        <f t="array" ref="D47">Common_InputFunctions.Utility_DisplayArrayInTable(WasteSolid_SourceData.Waste_EmissionFactorsForWasteTreatment_Data(), Table_SourceData_WasteSolid_WasteTreatmentEFs[[#Headers],[Treatment type t]], 0)</f>
        <v>Anaerobic digestion</v>
      </c>
      <c r="E47" s="19" t="str" cm="1">
        <f t="array" ref="E47">Common_InputFunctions.Utility_DisplayArrayInTable(WasteSolid_SourceData.Waste_EmissionFactorsForWasteTreatment_Data(), Table_SourceData_WasteSolid_WasteTreatmentEFs[[#Headers],[Treatment type t]], 0)</f>
        <v>Green waste (including crop residues or prunings)</v>
      </c>
      <c r="F47" s="19" cm="1">
        <f t="array" ref="F47">Common_InputFunctions.Utility_DisplayArrayInTable(WasteSolid_SourceData.Waste_EmissionFactorsForWasteTreatment_Data(), Table_SourceData_WasteSolid_WasteTreatmentEFs[[#Headers],[Treatment type t]], 0)</f>
        <v>2.8000000000000001E-2</v>
      </c>
      <c r="G47" s="238" t="str" cm="1">
        <f t="array" ref="G47">Common_InputFunctions.Utility_DisplayArrayInTable(WasteSolid_SourceData.Waste_EmissionFactorsForWasteTreatment_Data(), Table_SourceData_WasteSolid_WasteTreatmentEFs[[#Headers],[Treatment type t]], 0)</f>
        <v/>
      </c>
    </row>
    <row r="48" spans="1:7" ht="20.100000000000001" customHeight="1" x14ac:dyDescent="0.2">
      <c r="D48" s="1" t="str" cm="1">
        <f t="array" ref="D48">Common_InputFunctions.Utility_DisplayArrayInTable(WasteSolid_SourceData.Waste_EmissionFactorsForWasteTreatment_Data(), Table_SourceData_WasteSolid_WasteTreatmentEFs[[#Headers],[Treatment type t]], 0)</f>
        <v>Anaerobic digestion</v>
      </c>
      <c r="E48" s="19" t="str" cm="1">
        <f t="array" ref="E48">Common_InputFunctions.Utility_DisplayArrayInTable(WasteSolid_SourceData.Waste_EmissionFactorsForWasteTreatment_Data(), Table_SourceData_WasteSolid_WasteTreatmentEFs[[#Headers],[Treatment type t]], 0)</f>
        <v>Wood</v>
      </c>
      <c r="F48" s="19" cm="1">
        <f t="array" ref="F48">Common_InputFunctions.Utility_DisplayArrayInTable(WasteSolid_SourceData.Waste_EmissionFactorsForWasteTreatment_Data(), Table_SourceData_WasteSolid_WasteTreatmentEFs[[#Headers],[Treatment type t]], 0)</f>
        <v>2.8000000000000001E-2</v>
      </c>
      <c r="G48" s="238" t="str" cm="1">
        <f t="array" ref="G48">Common_InputFunctions.Utility_DisplayArrayInTable(WasteSolid_SourceData.Waste_EmissionFactorsForWasteTreatment_Data(), Table_SourceData_WasteSolid_WasteTreatmentEFs[[#Headers],[Treatment type t]], 0)</f>
        <v/>
      </c>
    </row>
    <row r="49" spans="1:7" ht="20.100000000000001" customHeight="1" x14ac:dyDescent="0.2">
      <c r="A49" s="80" t="s">
        <v>1</v>
      </c>
      <c r="D49" s="1" t="str" cm="1">
        <f t="array" ref="D49">Common_InputFunctions.Utility_DisplayArrayInTable(WasteSolid_SourceData.Waste_EmissionFactorsForWasteTreatment_Data(), Table_SourceData_WasteSolid_WasteTreatmentEFs[[#Headers],[Treatment type t]], 0)</f>
        <v>Anaerobic digestion</v>
      </c>
      <c r="E49" s="19" t="str" cm="1">
        <f t="array" ref="E49">Common_InputFunctions.Utility_DisplayArrayInTable(WasteSolid_SourceData.Waste_EmissionFactorsForWasteTreatment_Data(), Table_SourceData_WasteSolid_WasteTreatmentEFs[[#Headers],[Treatment type t]], 0)</f>
        <v>Sludge</v>
      </c>
      <c r="F49" s="19" cm="1">
        <f t="array" ref="F49">Common_InputFunctions.Utility_DisplayArrayInTable(WasteSolid_SourceData.Waste_EmissionFactorsForWasteTreatment_Data(), Table_SourceData_WasteSolid_WasteTreatmentEFs[[#Headers],[Treatment type t]], 0)</f>
        <v>2.8000000000000001E-2</v>
      </c>
      <c r="G49" s="238" t="str" cm="1">
        <f t="array" ref="G49">Common_InputFunctions.Utility_DisplayArrayInTable(WasteSolid_SourceData.Waste_EmissionFactorsForWasteTreatment_Data(), Table_SourceData_WasteSolid_WasteTreatmentEFs[[#Headers],[Treatment type t]], 0)</f>
        <v/>
      </c>
    </row>
    <row r="50" spans="1:7" ht="20.100000000000001" customHeight="1" x14ac:dyDescent="0.2">
      <c r="A50" s="5" t="str">
        <f>HYPERLINK("#'Constants - Poultry'!A1", "Constants - Poultry")</f>
        <v>Constants - Poultry</v>
      </c>
      <c r="D50" s="1" t="str" cm="1">
        <f t="array" ref="D50">Common_InputFunctions.Utility_DisplayArrayInTable(WasteSolid_SourceData.Waste_EmissionFactorsForWasteTreatment_Data(), Table_SourceData_WasteSolid_WasteTreatmentEFs[[#Headers],[Treatment type t]], 0)</f>
        <v>Anaerobic digestion</v>
      </c>
      <c r="E50" s="19" t="str" cm="1">
        <f t="array" ref="E50">Common_InputFunctions.Utility_DisplayArrayInTable(WasteSolid_SourceData.Waste_EmissionFactorsForWasteTreatment_Data(), Table_SourceData_WasteSolid_WasteTreatmentEFs[[#Headers],[Treatment type t]], 0)</f>
        <v>Paper and cardboard</v>
      </c>
      <c r="F50" s="19" cm="1">
        <f t="array" ref="F50">Common_InputFunctions.Utility_DisplayArrayInTable(WasteSolid_SourceData.Waste_EmissionFactorsForWasteTreatment_Data(), Table_SourceData_WasteSolid_WasteTreatmentEFs[[#Headers],[Treatment type t]], 0)</f>
        <v>2.8000000000000001E-2</v>
      </c>
      <c r="G50" s="238" t="str" cm="1">
        <f t="array" ref="G50">Common_InputFunctions.Utility_DisplayArrayInTable(WasteSolid_SourceData.Waste_EmissionFactorsForWasteTreatment_Data(), Table_SourceData_WasteSolid_WasteTreatmentEFs[[#Headers],[Treatment type t]], 0)</f>
        <v/>
      </c>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2" t="str" cm="1">
        <f t="array" ref="D52">WasteSolid_SourceData.Waste_WasteVolumeToMassConversion_Title()</f>
        <v>Volume to mass conversion factor for various waste types</v>
      </c>
    </row>
    <row r="53" spans="1:7" ht="20.100000000000001" customHeight="1" x14ac:dyDescent="0.2">
      <c r="A53" s="5" t="str">
        <f>HYPERLINK("#'Constants - Fertiliser'!A1", "Constants - Fertiliser")</f>
        <v>Constants - Fertiliser</v>
      </c>
      <c r="D53" s="17" t="str" cm="1">
        <f t="array" ref="D53">WasteSolid_SourceData.Waste_WasteVolumeToMassConversion_Source()</f>
        <v>VEERG 2026: Table A.4.1.2</v>
      </c>
    </row>
    <row r="54" spans="1:7" ht="20.100000000000001" customHeight="1" x14ac:dyDescent="0.2">
      <c r="A54" s="5" t="str">
        <f>HYPERLINK("#'Constants - Fuel'!A1", "Constants - Fuel")</f>
        <v>Constants - Fuel</v>
      </c>
      <c r="D54" s="25" t="str" cm="1">
        <f t="array" ref="D54">WasteSolid_SourceData.Waste_WasteVolumeToMassConversion_Variation()</f>
        <v>VARIATION OF SOURCE: Changed column header CFw to VTMw to match title variable.</v>
      </c>
    </row>
    <row r="55" spans="1:7" ht="20.100000000000001" customHeight="1" x14ac:dyDescent="0.2">
      <c r="A55" s="5" t="str">
        <f>HYPERLINK("#'Constants - Scope 3'!A1", "Constants - Scope 3")</f>
        <v>Constants - Scope 3</v>
      </c>
      <c r="D55" s="1" t="str" cm="1">
        <f t="array" ref="D55">WasteSolid_SourceData.Waste_WasteVolumeToMassConversion_Variable()</f>
        <v>VTMw</v>
      </c>
    </row>
    <row r="56" spans="1:7" ht="20.100000000000001" customHeight="1" x14ac:dyDescent="0.2">
      <c r="A56" s="81" t="str">
        <f>HYPERLINK("#'Constants - Solid Waste'!A1", "Constants - Solid Waste")</f>
        <v>Constants - Solid Waste</v>
      </c>
      <c r="D56" s="9" t="str" cm="1">
        <f t="array" ref="D56">WasteSolid_SourceData.Waste_WasteVolumeToMassConversion_Unit()</f>
        <v>t/m3</v>
      </c>
    </row>
    <row r="57" spans="1:7" ht="20.100000000000001" customHeight="1" x14ac:dyDescent="0.2">
      <c r="A57" s="5" t="str">
        <f>HYPERLINK("#'Constants - Common'!A1", "Constants - Common")</f>
        <v>Constants - Common</v>
      </c>
      <c r="D57" s="19" t="s">
        <v>937</v>
      </c>
      <c r="E57" s="19" t="s">
        <v>940</v>
      </c>
    </row>
    <row r="58" spans="1:7" ht="20.100000000000001" customHeight="1" x14ac:dyDescent="0.2">
      <c r="D58" s="19"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19" cm="1">
        <f t="array" ref="E58">Common_InputFunctions.Utility_DisplayArrayInTable(WasteSolid_SourceData.Waste_WasteVolumeToMassConversion_Data(), Table_SourceData_WasteSolid_VolumeToMassConversion[[#Headers],[Waste type w]], 0)</f>
        <v>0.5</v>
      </c>
    </row>
    <row r="59" spans="1:7" ht="20.100000000000001" customHeight="1" x14ac:dyDescent="0.2">
      <c r="D59" s="1" t="str" cm="1">
        <f t="array" ref="D59">Common_InputFunctions.Utility_DisplayArrayInTable(WasteSolid_SourceData.Waste_WasteVolumeToMassConversion_Data(), Table_SourceData_WasteSolid_VolumeToMassConversion[[#Headers],[Waste type w]], 0)</f>
        <v>Paper and cardboard</v>
      </c>
      <c r="E59" s="19" cm="1">
        <f t="array" ref="E59">Common_InputFunctions.Utility_DisplayArrayInTable(WasteSolid_SourceData.Waste_WasteVolumeToMassConversion_Data(), Table_SourceData_WasteSolid_VolumeToMassConversion[[#Headers],[Waste type w]], 0)</f>
        <v>0.09</v>
      </c>
    </row>
    <row r="60" spans="1:7" ht="20.100000000000001" customHeight="1" x14ac:dyDescent="0.2">
      <c r="D60" s="1" t="str" cm="1">
        <f t="array" ref="D60">Common_InputFunctions.Utility_DisplayArrayInTable(WasteSolid_SourceData.Waste_WasteVolumeToMassConversion_Data(), Table_SourceData_WasteSolid_VolumeToMassConversion[[#Headers],[Waste type w]], 0)</f>
        <v>Green waste (including crop residues or prunings)</v>
      </c>
      <c r="E60" s="19" cm="1">
        <f t="array" ref="E60">Common_InputFunctions.Utility_DisplayArrayInTable(WasteSolid_SourceData.Waste_WasteVolumeToMassConversion_Data(), Table_SourceData_WasteSolid_VolumeToMassConversion[[#Headers],[Waste type w]], 0)</f>
        <v>0.24</v>
      </c>
    </row>
    <row r="61" spans="1:7" ht="20.100000000000001" customHeight="1" x14ac:dyDescent="0.2">
      <c r="D61" s="1" t="str" cm="1">
        <f t="array" ref="D61">Common_InputFunctions.Utility_DisplayArrayInTable(WasteSolid_SourceData.Waste_WasteVolumeToMassConversion_Data(), Table_SourceData_WasteSolid_VolumeToMassConversion[[#Headers],[Waste type w]], 0)</f>
        <v>Wood</v>
      </c>
      <c r="E61" s="19" cm="1">
        <f t="array" ref="E61">Common_InputFunctions.Utility_DisplayArrayInTable(WasteSolid_SourceData.Waste_WasteVolumeToMassConversion_Data(), Table_SourceData_WasteSolid_VolumeToMassConversion[[#Headers],[Waste type w]], 0)</f>
        <v>0.15</v>
      </c>
    </row>
    <row r="62" spans="1:7" ht="20.100000000000001" customHeight="1" x14ac:dyDescent="0.2">
      <c r="D62" s="1" t="str" cm="1">
        <f t="array" ref="D62">Common_InputFunctions.Utility_DisplayArrayInTable(WasteSolid_SourceData.Waste_WasteVolumeToMassConversion_Data(), Table_SourceData_WasteSolid_VolumeToMassConversion[[#Headers],[Waste type w]], 0)</f>
        <v>Textiles</v>
      </c>
      <c r="E62" s="19" cm="1">
        <f t="array" ref="E62">Common_InputFunctions.Utility_DisplayArrayInTable(WasteSolid_SourceData.Waste_WasteVolumeToMassConversion_Data(), Table_SourceData_WasteSolid_VolumeToMassConversion[[#Headers],[Waste type w]], 0)</f>
        <v>0.14000000000000001</v>
      </c>
    </row>
    <row r="63" spans="1:7" ht="20.100000000000001" customHeight="1" x14ac:dyDescent="0.2">
      <c r="D63" s="1" t="str" cm="1">
        <f t="array" ref="D63">Common_InputFunctions.Utility_DisplayArrayInTable(WasteSolid_SourceData.Waste_WasteVolumeToMassConversion_Data(), Table_SourceData_WasteSolid_VolumeToMassConversion[[#Headers],[Waste type w]], 0)</f>
        <v>Sludge</v>
      </c>
      <c r="E63" s="19" cm="1">
        <f t="array" ref="E63">Common_InputFunctions.Utility_DisplayArrayInTable(WasteSolid_SourceData.Waste_WasteVolumeToMassConversion_Data(), Table_SourceData_WasteSolid_VolumeToMassConversion[[#Headers],[Waste type w]], 0)</f>
        <v>0.72</v>
      </c>
    </row>
    <row r="64" spans="1:7" ht="20.100000000000001" customHeight="1" x14ac:dyDescent="0.2">
      <c r="D64" s="1" t="str" cm="1">
        <f t="array" ref="D64">Common_InputFunctions.Utility_DisplayArrayInTable(WasteSolid_SourceData.Waste_WasteVolumeToMassConversion_Data(), Table_SourceData_WasteSolid_VolumeToMassConversion[[#Headers],[Waste type w]], 0)</f>
        <v>Rubber and leather</v>
      </c>
      <c r="E64" s="19" cm="1">
        <f t="array" ref="E64">Common_InputFunctions.Utility_DisplayArrayInTable(WasteSolid_SourceData.Waste_WasteVolumeToMassConversion_Data(), Table_SourceData_WasteSolid_VolumeToMassConversion[[#Headers],[Waste type w]], 0)</f>
        <v>0.14000000000000001</v>
      </c>
    </row>
    <row r="65" spans="1:5" ht="20.100000000000001" customHeight="1" x14ac:dyDescent="0.2">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19" cm="1">
        <f t="array" ref="E65">Common_InputFunctions.Utility_DisplayArrayInTable(WasteSolid_SourceData.Waste_WasteVolumeToMassConversion_Data(), Table_SourceData_WasteSolid_VolumeToMassConversion[[#Headers],[Waste type w]], 0)</f>
        <v>0.42</v>
      </c>
    </row>
    <row r="66" spans="1:5" ht="20.100000000000001" customHeight="1" x14ac:dyDescent="0.2">
      <c r="D66" s="1" t="str" cm="1">
        <f t="array" ref="D66">Common_InputFunctions.Utility_DisplayArrayInTable(WasteSolid_SourceData.Waste_WasteVolumeToMassConversion_Data(), Table_SourceData_WasteSolid_VolumeToMassConversion[[#Headers],[Waste type w]], 0)</f>
        <v>Municipal solid waste</v>
      </c>
      <c r="E66" s="19" cm="1">
        <f t="array" ref="E66">Common_InputFunctions.Utility_DisplayArrayInTable(WasteSolid_SourceData.Waste_WasteVolumeToMassConversion_Data(), Table_SourceData_WasteSolid_VolumeToMassConversion[[#Headers],[Waste type w]], 0)</f>
        <v>0.36</v>
      </c>
    </row>
    <row r="67" spans="1:5" ht="20.100000000000001" customHeight="1" x14ac:dyDescent="0.2">
      <c r="D67" s="1" t="str" cm="1">
        <f t="array" ref="D67">Common_InputFunctions.Utility_DisplayArrayInTable(WasteSolid_SourceData.Waste_WasteVolumeToMassConversion_Data(), Table_SourceData_WasteSolid_VolumeToMassConversion[[#Headers],[Waste type w]], 0)</f>
        <v>Commercial and industrial waste</v>
      </c>
      <c r="E67" s="19" cm="1">
        <f t="array" ref="E67">Common_InputFunctions.Utility_DisplayArrayInTable(WasteSolid_SourceData.Waste_WasteVolumeToMassConversion_Data(), Table_SourceData_WasteSolid_VolumeToMassConversion[[#Headers],[Waste type w]], 0)</f>
        <v>0.33</v>
      </c>
    </row>
    <row r="68" spans="1:5" ht="20.100000000000001" customHeight="1" x14ac:dyDescent="0.2">
      <c r="A68" s="79" t="str">
        <f>HYPERLINK("#A1", "▲ Back to top")</f>
        <v>▲ Back to top</v>
      </c>
      <c r="D68" s="1" t="str" cm="1">
        <f t="array" ref="D68">Common_InputFunctions.Utility_DisplayArrayInTable(WasteSolid_SourceData.Waste_WasteVolumeToMassConversion_Data(), Table_SourceData_WasteSolid_VolumeToMassConversion[[#Headers],[Waste type w]], 0)</f>
        <v>Construction and demolition waste</v>
      </c>
      <c r="E68" s="19" cm="1">
        <f t="array" ref="E68">Common_InputFunctions.Utility_DisplayArrayInTable(WasteSolid_SourceData.Waste_WasteVolumeToMassConversion_Data(), Table_SourceData_WasteSolid_VolumeToMassConversion[[#Headers],[Waste type w]], 0)</f>
        <v>0.39</v>
      </c>
    </row>
  </sheetData>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D3DE85-228C-483C-8D62-5D3027BF032E}">
  <sheetPr>
    <tabColor theme="2" tint="-0.499984740745262"/>
  </sheetPr>
  <dimension ref="A1:BY332"/>
  <sheetViews>
    <sheetView showGridLines="0" workbookViewId="0" zoomScale="100" zoomScaleNormal="100">
      <pane xSplit="1" topLeftCell="B1" activePane="topRight" state="frozenSplit"/>
      <selection pane="topRight" activeCell="A56" sqref="A56"/>
    </sheetView>
  </sheetViews>
  <sheetFormatPr defaultColWidth="9.140625" defaultRowHeight="20.100000000000001" customHeight="1" x14ac:dyDescent="0.2"/>
  <cols>
    <col min="1" max="1" width="36.7109375" style="21" customWidth="1"/>
    <col min="2" max="2" width="2.7109375" style="21"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21" customWidth="1"/>
    <col min="34" max="39" width="21.85546875" style="21" customWidth="1"/>
    <col min="40" max="44" width="20.7109375" style="21" customWidth="1"/>
    <col min="45" max="65" width="9.140625" style="21"/>
    <col min="66" max="16384" width="9.140625" style="24"/>
  </cols>
  <sheetData>
    <row r="1" spans="1:65" s="20" customFormat="1" ht="30" customHeight="1" x14ac:dyDescent="0.35">
      <c r="A1" s="10" t="e" vm="1">
        <v>#VALUE!</v>
      </c>
      <c r="C1" s="20" t="s">
        <v>20</v>
      </c>
    </row>
    <row r="2" spans="1:65" s="3" customFormat="1" ht="20.100000000000001" customHeight="1" x14ac:dyDescent="0.2">
      <c r="A2"/>
    </row>
    <row r="3" spans="1:65" ht="20.100000000000001" customHeight="1" x14ac:dyDescent="0.2">
      <c r="A3" s="5" t="str">
        <f>HYPERLINK("#'Home'!A1", "Home")</f>
        <v>Home</v>
      </c>
      <c r="C3" s="22"/>
      <c r="D3" s="22"/>
      <c r="E3" s="22"/>
      <c r="F3" s="22"/>
      <c r="G3" s="22"/>
      <c r="H3" s="22"/>
      <c r="I3" s="22"/>
      <c r="J3" s="22"/>
      <c r="K3" s="22"/>
      <c r="L3" s="22"/>
      <c r="M3" s="22"/>
      <c r="N3" s="22"/>
      <c r="O3" s="22"/>
      <c r="P3" s="22"/>
      <c r="Q3" s="22"/>
      <c r="R3" s="22"/>
      <c r="S3" s="22"/>
      <c r="T3" s="22"/>
      <c r="U3" s="22"/>
      <c r="V3" s="23"/>
      <c r="W3" s="23"/>
    </row>
    <row r="4" spans="1:65" ht="20.100000000000001" customHeight="1" x14ac:dyDescent="0.2">
      <c r="A4" s="5" t="str">
        <f>HYPERLINK("#'Results - Activity period'!A1", "Results - Activity period")</f>
        <v>Results - Activity period</v>
      </c>
      <c r="BM4" s="24"/>
    </row>
    <row r="5" spans="1:65" ht="20.100000000000001" customHeight="1" x14ac:dyDescent="0.2">
      <c r="A5" s="5" t="str">
        <f>HYPERLINK("#'Results - Product EI'!A1", "Results - Product Emissions Intensity")</f>
        <v>Results - Product Emissions Intensity</v>
      </c>
      <c r="D5" s="2" t="str" cm="1">
        <f t="array" ref="D5">Common_SourceData.Common_SourceData_AustralianStatesTerritories_Title()</f>
        <v>Australian states and territories</v>
      </c>
      <c r="BM5" s="24"/>
    </row>
    <row r="6" spans="1:65" ht="20.100000000000001" customHeight="1" x14ac:dyDescent="0.2">
      <c r="A6"/>
      <c r="D6" s="19" t="s">
        <v>21</v>
      </c>
      <c r="E6" s="19" t="s">
        <v>22</v>
      </c>
      <c r="F6" s="19" t="s">
        <v>23</v>
      </c>
    </row>
    <row r="7" spans="1:65" ht="20.100000000000001" customHeight="1" x14ac:dyDescent="0.2">
      <c r="A7"/>
      <c r="D7" s="19" t="str" cm="1">
        <f t="array" ref="D7">Common_InputFunctions.Utility_DisplayArrayInTable(Common_SourceData.Common_SourceData_AustralianStatesTerritories_Data(),Table_AustralianStates[[#Headers],[State/Territory]],0)</f>
        <v>New South Wales</v>
      </c>
      <c r="E7" s="19" t="str" cm="1">
        <f t="array" ref="E7">Common_InputFunctions.Utility_DisplayArrayInTable(Common_SourceData.Common_SourceData_AustralianStatesTerritories_Data(),Table_AustralianStates[[#Headers],[State/Territory]],0)</f>
        <v>New South Wales</v>
      </c>
      <c r="F7" s="19" t="str" cm="1">
        <f t="array" ref="F7">Common_InputFunctions.Utility_DisplayArrayInTable(Common_SourceData.Common_SourceData_AustralianStatesTerritories_Data(),Table_AustralianStates[[#Headers],[State/Territory]],0)</f>
        <v>NSW</v>
      </c>
    </row>
    <row r="8" spans="1:65" ht="20.100000000000001" customHeight="1" x14ac:dyDescent="0.2">
      <c r="A8" s="7" t="s">
        <v>0</v>
      </c>
      <c r="D8" s="19" t="str" cm="1">
        <f t="array" ref="D8">Common_InputFunctions.Utility_DisplayArrayInTable(Common_SourceData.Common_SourceData_AustralianStatesTerritories_Data(),Table_AustralianStates[[#Headers],[State/Territory]],0)</f>
        <v>Australian Capital Territory</v>
      </c>
      <c r="E8" s="19" t="str" cm="1">
        <f t="array" ref="E8">Common_InputFunctions.Utility_DisplayArrayInTable(Common_SourceData.Common_SourceData_AustralianStatesTerritories_Data(),Table_AustralianStates[[#Headers],[State/Territory]],0)</f>
        <v>ACT</v>
      </c>
      <c r="F8" s="19" t="str" cm="1">
        <f t="array" ref="F8">Common_InputFunctions.Utility_DisplayArrayInTable(Common_SourceData.Common_SourceData_AustralianStatesTerritories_Data(),Table_AustralianStates[[#Headers],[State/Territory]],0)</f>
        <v>ACT</v>
      </c>
    </row>
    <row r="9" spans="1:65" ht="20.100000000000001" customHeight="1" x14ac:dyDescent="0.2">
      <c r="A9" s="5" t="str">
        <f>HYPERLINK("#'Input - Enterprise'!A1", "Enterprise")</f>
        <v>Enterprise</v>
      </c>
      <c r="D9" s="19" t="str" cm="1">
        <f t="array" ref="D9">Common_InputFunctions.Utility_DisplayArrayInTable(Common_SourceData.Common_SourceData_AustralianStatesTerritories_Data(),Table_AustralianStates[[#Headers],[State/Territory]],0)</f>
        <v>Victoria</v>
      </c>
      <c r="E9" s="19" t="str" cm="1">
        <f t="array" ref="E9">Common_InputFunctions.Utility_DisplayArrayInTable(Common_SourceData.Common_SourceData_AustralianStatesTerritories_Data(),Table_AustralianStates[[#Headers],[State/Territory]],0)</f>
        <v>Victoria</v>
      </c>
      <c r="F9" s="19" t="str" cm="1">
        <f t="array" ref="F9">Common_InputFunctions.Utility_DisplayArrayInTable(Common_SourceData.Common_SourceData_AustralianStatesTerritories_Data(),Table_AustralianStates[[#Headers],[State/Territory]],0)</f>
        <v>VIC</v>
      </c>
    </row>
    <row r="10" spans="1:65" ht="20.100000000000001" customHeight="1" x14ac:dyDescent="0.2">
      <c r="A10" s="5" t="str">
        <f>HYPERLINK("#'Input - Site'!A1", "Site")</f>
        <v>Site</v>
      </c>
      <c r="D10" s="19" t="str" cm="1">
        <f t="array" ref="D10">Common_InputFunctions.Utility_DisplayArrayInTable(Common_SourceData.Common_SourceData_AustralianStatesTerritories_Data(),Table_AustralianStates[[#Headers],[State/Territory]],0)</f>
        <v>Queensland</v>
      </c>
      <c r="E10" s="19" t="str" cm="1">
        <f t="array" ref="E10">Common_InputFunctions.Utility_DisplayArrayInTable(Common_SourceData.Common_SourceData_AustralianStatesTerritories_Data(),Table_AustralianStates[[#Headers],[State/Territory]],0)</f>
        <v>Queensland</v>
      </c>
      <c r="F10" s="19" t="str" cm="1">
        <f t="array" ref="F10">Common_InputFunctions.Utility_DisplayArrayInTable(Common_SourceData.Common_SourceData_AustralianStatesTerritories_Data(),Table_AustralianStates[[#Headers],[State/Territory]],0)</f>
        <v>QLD</v>
      </c>
    </row>
    <row r="11" spans="1:65" ht="20.100000000000001" customHeight="1" x14ac:dyDescent="0.2">
      <c r="A11" s="5" t="str">
        <f>HYPERLINK("#'Input - Poultry'!A1", "Poultry")</f>
        <v>Poultry</v>
      </c>
      <c r="D11" s="19" t="str" cm="1">
        <f t="array" ref="D11">Common_InputFunctions.Utility_DisplayArrayInTable(Common_SourceData.Common_SourceData_AustralianStatesTerritories_Data(),Table_AustralianStates[[#Headers],[State/Territory]],0)</f>
        <v>South Australia</v>
      </c>
      <c r="E11" s="19" t="str" cm="1">
        <f t="array" ref="E11">Common_InputFunctions.Utility_DisplayArrayInTable(Common_SourceData.Common_SourceData_AustralianStatesTerritories_Data(),Table_AustralianStates[[#Headers],[State/Territory]],0)</f>
        <v>South Australia</v>
      </c>
      <c r="F11" s="19" t="str" cm="1">
        <f t="array" ref="F11">Common_InputFunctions.Utility_DisplayArrayInTable(Common_SourceData.Common_SourceData_AustralianStatesTerritories_Data(),Table_AustralianStates[[#Headers],[State/Territory]],0)</f>
        <v>SA</v>
      </c>
      <c r="BM11" s="24"/>
    </row>
    <row r="12" spans="1:65" ht="20.100000000000001" customHeight="1" x14ac:dyDescent="0.2">
      <c r="A12" s="5" t="str">
        <f>HYPERLINK("#'Input - Livestock sales'!A1", "Livestock sales")</f>
        <v>Livestock sales</v>
      </c>
      <c r="D12" s="19" t="str" cm="1">
        <f t="array" ref="D12">Common_InputFunctions.Utility_DisplayArrayInTable(Common_SourceData.Common_SourceData_AustralianStatesTerritories_Data(),Table_AustralianStates[[#Headers],[State/Territory]],0)</f>
        <v>Western Australia</v>
      </c>
      <c r="E12" s="19" t="str" cm="1">
        <f t="array" ref="E12">Common_InputFunctions.Utility_DisplayArrayInTable(Common_SourceData.Common_SourceData_AustralianStatesTerritories_Data(),Table_AustralianStates[[#Headers],[State/Territory]],0)</f>
        <v>Western Australia</v>
      </c>
      <c r="F12" s="19" t="str" cm="1">
        <f t="array" ref="F12">Common_InputFunctions.Utility_DisplayArrayInTable(Common_SourceData.Common_SourceData_AustralianStatesTerritories_Data(),Table_AustralianStates[[#Headers],[State/Territory]],0)</f>
        <v>WA</v>
      </c>
      <c r="BM12" s="24"/>
    </row>
    <row r="13" spans="1:65" ht="20.100000000000001" customHeight="1" x14ac:dyDescent="0.2">
      <c r="A13" s="5" t="str">
        <f>HYPERLINK("#'Input - Poultry purchases'!A1", "Poultry purchases")</f>
        <v>Poultry purchases</v>
      </c>
      <c r="D13" s="19" t="str" cm="1">
        <f t="array" ref="D13">Common_InputFunctions.Utility_DisplayArrayInTable(Common_SourceData.Common_SourceData_AustralianStatesTerritories_Data(),Table_AustralianStates[[#Headers],[State/Territory]],0)</f>
        <v>Tasmania</v>
      </c>
      <c r="E13" s="19" t="str" cm="1">
        <f t="array" ref="E13">Common_InputFunctions.Utility_DisplayArrayInTable(Common_SourceData.Common_SourceData_AustralianStatesTerritories_Data(),Table_AustralianStates[[#Headers],[State/Territory]],0)</f>
        <v>Tasmania</v>
      </c>
      <c r="F13" s="19" t="str" cm="1">
        <f t="array" ref="F13">Common_InputFunctions.Utility_DisplayArrayInTable(Common_SourceData.Common_SourceData_AustralianStatesTerritories_Data(),Table_AustralianStates[[#Headers],[State/Territory]],0)</f>
        <v>TAS</v>
      </c>
    </row>
    <row r="14" spans="1:65" ht="20.100000000000001" customHeight="1" x14ac:dyDescent="0.2">
      <c r="A14" s="5" t="str">
        <f>HYPERLINK("#'Input - Fuel'!A1", "Fuel")</f>
        <v>Fuel</v>
      </c>
      <c r="D14" s="19" t="str" cm="1">
        <f t="array" ref="D14">Common_InputFunctions.Utility_DisplayArrayInTable(Common_SourceData.Common_SourceData_AustralianStatesTerritories_Data(),Table_AustralianStates[[#Headers],[State/Territory]],0)</f>
        <v>Northern Territory</v>
      </c>
      <c r="E14" s="19" t="str" cm="1">
        <f t="array" ref="E14">Common_InputFunctions.Utility_DisplayArrayInTable(Common_SourceData.Common_SourceData_AustralianStatesTerritories_Data(),Table_AustralianStates[[#Headers],[State/Territory]],0)</f>
        <v>Northern Territory</v>
      </c>
      <c r="F14" s="19" t="str" cm="1">
        <f t="array" ref="F14">Common_InputFunctions.Utility_DisplayArrayInTable(Common_SourceData.Common_SourceData_AustralianStatesTerritories_Data(),Table_AustralianStates[[#Headers],[State/Territory]],0)</f>
        <v>NT</v>
      </c>
    </row>
    <row r="15" spans="1:65" ht="20.100000000000001" customHeight="1" x14ac:dyDescent="0.2">
      <c r="A15" s="5" t="str">
        <f>HYPERLINK("#'Input - Electricity'!A1", "Electricity")</f>
        <v>Electricity</v>
      </c>
    </row>
    <row r="16" spans="1:65" ht="20.100000000000001" customHeight="1" x14ac:dyDescent="0.2">
      <c r="A16" s="5" t="str">
        <f>HYPERLINK("#'Input - Common farm inputs'!A1", "Common farm inputs")</f>
        <v>Common farm inputs</v>
      </c>
    </row>
    <row r="17" spans="1:4" ht="20.100000000000001" customHeight="1" x14ac:dyDescent="0.2">
      <c r="A17" s="5" t="str">
        <f>HYPERLINK("#'Input - Livestock farm Inputs'!A1", "Livestock farm Inputs")</f>
        <v>Livestock farm Inputs</v>
      </c>
    </row>
    <row r="18" spans="1:4" ht="20.100000000000001" customHeight="1" x14ac:dyDescent="0.2">
      <c r="A18" s="5" t="str">
        <f>HYPERLINK("#'Input - Freight'!A1", "Freight")</f>
        <v>Freight</v>
      </c>
      <c r="D18" s="2" t="str" cm="1">
        <f t="array" ref="D18">Common_SourceData.Common_SourceData_WASA4Areas_Title()</f>
        <v>ABS Statistcal Areas Level 4 - Western Australia</v>
      </c>
    </row>
    <row r="19" spans="1:4" ht="20.100000000000001" customHeight="1" x14ac:dyDescent="0.2">
      <c r="A19" s="5" t="str">
        <f>HYPERLINK("#'Input - Solid waste'!A1", "Solid waste")</f>
        <v>Solid waste</v>
      </c>
      <c r="D19" s="17" t="str" cm="1">
        <f t="array" ref="D19">Common_SourceData.Common_SourceData_WASA4Areas_Source()</f>
        <v>Australian Bureau of Statistics (ABS) - Statistical Areas Level 2 - 2021 - Shapefile</v>
      </c>
    </row>
    <row r="20" spans="1:4" ht="20.100000000000001" customHeight="1" x14ac:dyDescent="0.2">
      <c r="A20" s="5" t="str">
        <f>HYPERLINK("#'Input - Manure sent off-site'!A1", "Manure sent off-site")</f>
        <v>Manure sent off-site</v>
      </c>
      <c r="D20" s="19" t="s">
        <v>24</v>
      </c>
    </row>
    <row r="21" spans="1:4" ht="20.100000000000001" customHeight="1" x14ac:dyDescent="0.2">
      <c r="A21" s="5" t="str">
        <f>HYPERLINK("#'Input - Data quality'!A1", "Data quality")</f>
        <v>Data quality</v>
      </c>
      <c r="D21" s="19" t="str" cm="1">
        <f t="array" ref="D21">Common_InputFunctions.Utility_DisplayArrayInTable(Common_SourceData.Common_SourceData_WASA4Areas_Data(), Table_WASA4Areas[[#Headers],[SA 4 Name]], 0)</f>
        <v>Bunbury</v>
      </c>
    </row>
    <row r="22" spans="1:4" ht="20.100000000000001" customHeight="1" x14ac:dyDescent="0.2">
      <c r="A22" s="5" t="str">
        <f>HYPERLINK("#'Input - Fert Prod System'!A1", "Fert Prod System")</f>
        <v>Fert Prod System</v>
      </c>
      <c r="D22" s="19" t="str" cm="1">
        <f t="array" ref="D22">Common_InputFunctions.Utility_DisplayArrayInTable(Common_SourceData.Common_SourceData_WASA4Areas_Data(), Table_WASA4Areas[[#Headers],[SA 4 Name]], 0)</f>
        <v>Mandurah</v>
      </c>
    </row>
    <row r="23" spans="1:4" ht="20.100000000000001" customHeight="1" x14ac:dyDescent="0.2">
      <c r="A23" s="5" t="str">
        <f>HYPERLINK("#'Input - Fertiliser'!A1", "Fertiliser")</f>
        <v>Fertiliser</v>
      </c>
      <c r="D23" s="19" t="str" cm="1">
        <f t="array" ref="D23">Common_InputFunctions.Utility_DisplayArrayInTable(Common_SourceData.Common_SourceData_WASA4Areas_Data(), Table_WASA4Areas[[#Headers],[SA 4 Name]], 0)</f>
        <v>Perth - Inner</v>
      </c>
    </row>
    <row r="24" spans="1:4" ht="20.100000000000001" customHeight="1" x14ac:dyDescent="0.2">
      <c r="A24"/>
      <c r="D24" s="19" t="str" cm="1">
        <f t="array" ref="D24">Common_InputFunctions.Utility_DisplayArrayInTable(Common_SourceData.Common_SourceData_WASA4Areas_Data(), Table_WASA4Areas[[#Headers],[SA 4 Name]], 0)</f>
        <v>Perth - North East</v>
      </c>
    </row>
    <row r="25" spans="1:4" ht="20.100000000000001" customHeight="1" x14ac:dyDescent="0.2">
      <c r="A25"/>
      <c r="D25" s="19" t="str" cm="1">
        <f t="array" ref="D25">Common_InputFunctions.Utility_DisplayArrayInTable(Common_SourceData.Common_SourceData_WASA4Areas_Data(), Table_WASA4Areas[[#Headers],[SA 4 Name]], 0)</f>
        <v>Perth - North West</v>
      </c>
    </row>
    <row r="26" spans="1:4" ht="20.100000000000001" customHeight="1" x14ac:dyDescent="0.2">
      <c r="A26" s="6" t="s">
        <v>2</v>
      </c>
      <c r="D26" s="19" t="str" cm="1">
        <f t="array" ref="D26">Common_InputFunctions.Utility_DisplayArrayInTable(Common_SourceData.Common_SourceData_WASA4Areas_Data(), Table_WASA4Areas[[#Headers],[SA 4 Name]], 0)</f>
        <v>Perth - South East</v>
      </c>
    </row>
    <row r="27" spans="1:4" ht="20.100000000000001" customHeight="1" x14ac:dyDescent="0.2">
      <c r="A27" s="5" t="str">
        <f>HYPERLINK("#'4.6.1.1-2 Methane'!A1", "4.6.1.1-2 Manure Methane")</f>
        <v>4.6.1.1-2 Manure Methane</v>
      </c>
      <c r="D27" s="19" t="str" cm="1">
        <f t="array" ref="D27">Common_InputFunctions.Utility_DisplayArrayInTable(Common_SourceData.Common_SourceData_WASA4Areas_Data(), Table_WASA4Areas[[#Headers],[SA 4 Name]], 0)</f>
        <v>Perth - South West</v>
      </c>
    </row>
    <row r="28" spans="1:4" ht="20.100000000000001" customHeight="1" x14ac:dyDescent="0.2">
      <c r="A28" s="5" t="str">
        <f>HYPERLINK("#'4.6.1.3-4 Direct N20'!A1", "4.6.1.3-4 Manure Direct N2O")</f>
        <v>4.6.1.3-4 Manure Direct N2O</v>
      </c>
      <c r="D28" s="19" t="str" cm="1">
        <f t="array" ref="D28">Common_InputFunctions.Utility_DisplayArrayInTable(Common_SourceData.Common_SourceData_WASA4Areas_Data(), Table_WASA4Areas[[#Headers],[SA 4 Name]], 0)</f>
        <v>Western Australia - Wheat Belt</v>
      </c>
    </row>
    <row r="29" spans="1:4" ht="20.100000000000001" customHeight="1" x14ac:dyDescent="0.2">
      <c r="A29" s="5" t="str">
        <f>HYPERLINK("#'4.6.1.5-6 Atmos Dep'!A1", "4.6.1.5-6 Manure Atmos Dep")</f>
        <v>4.6.1.5-6 Manure Atmos Dep</v>
      </c>
      <c r="D29" s="19" t="str" cm="1">
        <f t="array" ref="D29">Common_InputFunctions.Utility_DisplayArrayInTable(Common_SourceData.Common_SourceData_WASA4Areas_Data(), Table_WASA4Areas[[#Headers],[SA 4 Name]], 0)</f>
        <v>Western Australia - Outback (North)</v>
      </c>
    </row>
    <row r="30" spans="1:4" ht="20.100000000000001" customHeight="1" x14ac:dyDescent="0.2">
      <c r="A30" s="5" t="str">
        <f>HYPERLINK("#'4.6.1.7-8 Leaching and runoff'!A1", "4.6.1.7-8 Manure Leaching and runoff")</f>
        <v>4.6.1.7-8 Manure Leaching and runoff</v>
      </c>
      <c r="D30" s="19" t="str" cm="1">
        <f t="array" ref="D30">Common_InputFunctions.Utility_DisplayArrayInTable(Common_SourceData.Common_SourceData_WASA4Areas_Data(), Table_WASA4Areas[[#Headers],[SA 4 Name]], 0)</f>
        <v>Western Australia - Outback (South)</v>
      </c>
    </row>
    <row r="31" spans="1:4" ht="20.100000000000001" customHeight="1" x14ac:dyDescent="0.2">
      <c r="A31" s="5" t="str">
        <f>HYPERLINK("#'4.6.1.9 Manure applied to soils'!A1", "4.6.1.9 Manure applied to soils")</f>
        <v>4.6.1.9 Manure applied to soils</v>
      </c>
    </row>
    <row r="32" spans="1:4" ht="20.100000000000001" customHeight="1" x14ac:dyDescent="0.2">
      <c r="A32" s="5" t="str">
        <f>HYPERLINK("#'4.6.1.10-11 Soil direct N2O'!A1", "4.6.1.10-11 Soil direct N2O")</f>
        <v>4.6.1.10-11 Soil direct N2O</v>
      </c>
    </row>
    <row r="33" spans="1:8" ht="20.100000000000001" customHeight="1" x14ac:dyDescent="0.2">
      <c r="A33" s="5" t="str">
        <f>HYPERLINK("#'4.6.1.12-13 Soil atmos dep'!A1", "4.6.1.12-13 Soil atmos dep")</f>
        <v>4.6.1.12-13 Soil atmos dep</v>
      </c>
    </row>
    <row r="34" spans="1:8" ht="20.100000000000001" customHeight="1" x14ac:dyDescent="0.2">
      <c r="A34" s="5" t="str">
        <f>HYPERLINK("#'4.6.1.14-15 Soil leach runoff'!A1", "4.6.1.14-15 Soil leach runoff")</f>
        <v>4.6.1.14-15 Soil leach runoff</v>
      </c>
      <c r="D34" s="2" t="str" cm="1">
        <f t="array" ref="D34">Common_SourceData.Common_SourceData_GWP_Title()</f>
        <v>Global warming potential for greenhouse gases</v>
      </c>
    </row>
    <row r="35" spans="1:8" ht="20.100000000000001" customHeight="1" x14ac:dyDescent="0.2">
      <c r="A35" s="5" t="str">
        <f>HYPERLINK("#'8.1.1.1-2 Transport fuel'!A1", "8.1.1.1-2 Transport fuel")</f>
        <v>8.1.1.1-2 Transport fuel</v>
      </c>
      <c r="D35" s="17" t="str" cm="1">
        <f t="array" ref="D35">Common_SourceData.Common_SourceData_GWP_Source()</f>
        <v>XXXXXXX</v>
      </c>
    </row>
    <row r="36" spans="1:8" ht="20.100000000000001" customHeight="1" x14ac:dyDescent="0.2">
      <c r="A36" s="5" t="str">
        <f>HYPERLINK("#'8.2.1.1-2 Stationary fuel'!A1", "8.2.1.1-2 Stationary fuel")</f>
        <v>8.2.1.1-2 Stationary fuel</v>
      </c>
      <c r="D36" s="19" t="s">
        <v>25</v>
      </c>
      <c r="E36" s="19" t="s">
        <v>26</v>
      </c>
    </row>
    <row r="37" spans="1:8" ht="20.100000000000001" customHeight="1" x14ac:dyDescent="0.2">
      <c r="A37" s="5" t="str">
        <f>HYPERLINK("#'10.1.1-2 Solid waste treatment'!A1", "10.1.1.1-2 Solid waste")</f>
        <v>10.1.1.1-2 Solid waste</v>
      </c>
      <c r="D37" s="19" t="str" cm="1">
        <f t="array" ref="D37">Common_InputFunctions.Utility_DisplayArrayInTable(Common_SourceData.Common_SourceData_GWP_Data(), Table_GWPData[[#Headers],[Gas]], 0)</f>
        <v>CO2</v>
      </c>
      <c r="E37" s="19" cm="1">
        <f t="array" ref="E37">Common_InputFunctions.Utility_DisplayArrayInTable(Common_SourceData.Common_SourceData_GWP_Data(), Table_GWPData[[#Headers],[Gas]], 0)</f>
        <v>1</v>
      </c>
    </row>
    <row r="38" spans="1:8" ht="20.100000000000001" customHeight="1" x14ac:dyDescent="0.2">
      <c r="A38" s="5" t="str">
        <f>HYPERLINK("#'14.1.1-2 Purchased electricity'!A1", "14.1.1-2 Purchased electricity")</f>
        <v>14.1.1-2 Purchased electricity</v>
      </c>
      <c r="D38" s="19" t="str" cm="1">
        <f t="array" ref="D38">Common_InputFunctions.Utility_DisplayArrayInTable(Common_SourceData.Common_SourceData_GWP_Data(), Table_GWPData[[#Headers],[Gas]], 0)</f>
        <v>CH4</v>
      </c>
      <c r="E38" s="19" cm="1">
        <f t="array" ref="E38">Common_InputFunctions.Utility_DisplayArrayInTable(Common_SourceData.Common_SourceData_GWP_Data(), Table_GWPData[[#Headers],[Gas]], 0)</f>
        <v>28</v>
      </c>
    </row>
    <row r="39" spans="1:8" ht="20.100000000000001" customHeight="1" x14ac:dyDescent="0.2">
      <c r="A39" s="5" t="str">
        <f>HYPERLINK("#'15 Scope 3'!A1", "15 Scope 3")</f>
        <v>15 Scope 3</v>
      </c>
      <c r="D39" s="19" t="str" cm="1">
        <f t="array" ref="D39">Common_InputFunctions.Utility_DisplayArrayInTable(Common_SourceData.Common_SourceData_GWP_Data(), Table_GWPData[[#Headers],[Gas]], 0)</f>
        <v>N2O</v>
      </c>
      <c r="E39" s="19" cm="1">
        <f t="array" ref="E39">Common_InputFunctions.Utility_DisplayArrayInTable(Common_SourceData.Common_SourceData_GWP_Data(), Table_GWPData[[#Headers],[Gas]], 0)</f>
        <v>265</v>
      </c>
    </row>
    <row r="40" spans="1:8" ht="20.100000000000001" customHeight="1" x14ac:dyDescent="0.2">
      <c r="A40" s="5" t="str">
        <f>HYPERLINK("#'Calcs - Manure sent off-site'!A1", "Calcs - Manure sent off-site")</f>
        <v>Calcs - Manure sent off-site</v>
      </c>
      <c r="D40" s="19" t="str" cm="1">
        <f t="array" ref="D40">Common_InputFunctions.Utility_DisplayArrayInTable(Common_SourceData.Common_SourceData_GWP_Data(), Table_GWPData[[#Headers],[Gas]], 0)</f>
        <v>CF4</v>
      </c>
      <c r="E40" s="19" cm="1">
        <f t="array" ref="E40">Common_InputFunctions.Utility_DisplayArrayInTable(Common_SourceData.Common_SourceData_GWP_Data(), Table_GWPData[[#Headers],[Gas]], 0)</f>
        <v>6630</v>
      </c>
    </row>
    <row r="41" spans="1:8" ht="20.100000000000001" customHeight="1" x14ac:dyDescent="0.2">
      <c r="A41" s="5" t="str">
        <f>HYPERLINK("#'5.1.1.1-2 Inorganic fert N2O'!A1", "5.1.1.1-2 Inorganic fert N2O")</f>
        <v>5.1.1.1-2 Inorganic fert N2O</v>
      </c>
      <c r="D41" s="19" t="str" cm="1">
        <f t="array" ref="D41">Common_InputFunctions.Utility_DisplayArrayInTable(Common_SourceData.Common_SourceData_GWP_Data(), Table_GWPData[[#Headers],[Gas]], 0)</f>
        <v>C2F6</v>
      </c>
      <c r="E41" s="19" cm="1">
        <f t="array" ref="E41">Common_InputFunctions.Utility_DisplayArrayInTable(Common_SourceData.Common_SourceData_GWP_Data(), Table_GWPData[[#Headers],[Gas]], 0)</f>
        <v>12200</v>
      </c>
    </row>
    <row r="42" spans="1:8" ht="20.100000000000001" customHeight="1" x14ac:dyDescent="0.2">
      <c r="A42" s="5" t="str">
        <f>HYPERLINK("#'5.1.1.3-4 Inorganic fert CO2'!A1", "5.1.1.3-4 Inorganic fert CO2")</f>
        <v>5.1.1.3-4 Inorganic fert CO2</v>
      </c>
      <c r="D42" s="19" t="str" cm="1">
        <f t="array" ref="D42">Common_InputFunctions.Utility_DisplayArrayInTable(Common_SourceData.Common_SourceData_GWP_Data(), Table_GWPData[[#Headers],[Gas]], 0)</f>
        <v>SF6</v>
      </c>
      <c r="E42" s="19" cm="1">
        <f t="array" ref="E42">Common_InputFunctions.Utility_DisplayArrayInTable(Common_SourceData.Common_SourceData_GWP_Data(), Table_GWPData[[#Headers],[Gas]], 0)</f>
        <v>22800</v>
      </c>
    </row>
    <row r="43" spans="1:8" ht="20.100000000000001" customHeight="1" x14ac:dyDescent="0.2">
      <c r="A43" s="5" t="str">
        <f>HYPERLINK("#'5.2.1.1-2 Organic Fert N2O'!A1", "5.2.1.1-2 Organic Fert N2O")</f>
        <v>5.2.1.1-2 Organic Fert N2O</v>
      </c>
      <c r="D43" s="19" t="str" cm="1">
        <f t="array" ref="D43">Common_InputFunctions.Utility_DisplayArrayInTable(Common_SourceData.Common_SourceData_GWP_Data(), Table_GWPData[[#Headers],[Gas]], 0)</f>
        <v>NF3</v>
      </c>
      <c r="E43" s="19" cm="1">
        <f t="array" ref="E43">Common_InputFunctions.Utility_DisplayArrayInTable(Common_SourceData.Common_SourceData_GWP_Data(), Table_GWPData[[#Headers],[Gas]], 0)</f>
        <v>17200</v>
      </c>
    </row>
    <row r="44" spans="1:8" ht="20.100000000000001" customHeight="1" x14ac:dyDescent="0.2">
      <c r="A44" s="5" t="str">
        <f>HYPERLINK("#'5.3.1.1-2 Lime CO2'!A1", "5.3.1.1-2 Lime CO2")</f>
        <v>5.3.1.1-2 Lime CO2</v>
      </c>
    </row>
    <row r="45" spans="1:8" ht="20.100000000000001" customHeight="1" x14ac:dyDescent="0.2">
      <c r="A45" s="5" t="str">
        <f>HYPERLINK("#'5.4.1.1-4 Atmos deposition'!A1", "5.4.1.1-4 Atmos deposition")</f>
        <v>5.4.1.1-4 Atmos deposition</v>
      </c>
      <c r="D45" s="2" t="str" cm="1">
        <f t="array" ref="D45">Common_SourceData.Common_SourceData_ConvertGasElementalToMolecular_Title()</f>
        <v>Factor to convert elemental mass of gas to molecular mass</v>
      </c>
    </row>
    <row r="46" spans="1:8" ht="20.100000000000001" customHeight="1" x14ac:dyDescent="0.2">
      <c r="A46" s="5" t="str">
        <f>HYPERLINK("#'5.5.1.1-2 Leaching and runoff'!A1", "5.5.1.1-2 Leaching and runoff")</f>
        <v>5.5.1.1-2 Leaching and runoff</v>
      </c>
      <c r="D46" s="17" t="str" cm="1">
        <f t="array" ref="D46">Common_SourceData.Common_SourceData_ConvertGasElementalToMolecular_Source()</f>
        <v>XXXXXXX</v>
      </c>
    </row>
    <row r="47" spans="1:8" ht="20.100000000000001" customHeight="1" x14ac:dyDescent="0.2">
      <c r="A47"/>
      <c r="D47" s="19" t="s">
        <v>25</v>
      </c>
      <c r="E47" s="19" t="s">
        <v>27</v>
      </c>
      <c r="F47" s="19" t="s">
        <v>28</v>
      </c>
      <c r="G47" s="19" t="s">
        <v>29</v>
      </c>
      <c r="H47" s="19" t="s">
        <v>30</v>
      </c>
    </row>
    <row r="48" spans="1:8" ht="20.100000000000001" customHeight="1" x14ac:dyDescent="0.2">
      <c r="A48"/>
      <c r="D48" s="19" t="str" cm="1">
        <f t="array" ref="D48">Common_InputFunctions.Utility_DisplayArrayInTable(Common_SourceData.Common_SourceData_ConvertGasElementalToMolecular_Data(),Table_GasToMolecularConversionFactor[[#Headers],[Gas]], 0)</f>
        <v>CO2</v>
      </c>
      <c r="E48" s="19" t="str" cm="1">
        <f t="array" ref="E48">Common_InputFunctions.Utility_DisplayArrayInTable(Common_SourceData.Common_SourceData_ConvertGasElementalToMolecular_Data(),Table_GasToMolecularConversionFactor[[#Headers],[Gas]], 0)</f>
        <v>44/12</v>
      </c>
      <c r="F48" s="19" cm="1">
        <f t="array" ref="F48">Common_InputFunctions.Utility_DisplayArrayInTable(Common_SourceData.Common_SourceData_ConvertGasElementalToMolecular_Data(),Table_GasToMolecularConversionFactor[[#Headers],[Gas]], 0)</f>
        <v>44</v>
      </c>
      <c r="G48" s="19" cm="1">
        <f t="array" ref="G48">Common_InputFunctions.Utility_DisplayArrayInTable(Common_SourceData.Common_SourceData_ConvertGasElementalToMolecular_Data(),Table_GasToMolecularConversionFactor[[#Headers],[Gas]], 0)</f>
        <v>12</v>
      </c>
      <c r="H48" s="19">
        <f>Table_GasToMolecularConversionFactor[[#This Row],[Conversion factor 1]]/Table_GasToMolecularConversionFactor[[#This Row],[Conversion factor 2]]</f>
        <v>3.6666666666666665</v>
      </c>
    </row>
    <row r="49" spans="1:8" ht="20.100000000000001" customHeight="1" x14ac:dyDescent="0.2">
      <c r="A49" s="80" t="s">
        <v>1</v>
      </c>
      <c r="D49" s="19" t="str" cm="1">
        <f t="array" ref="D49">Common_InputFunctions.Utility_DisplayArrayInTable(Common_SourceData.Common_SourceData_ConvertGasElementalToMolecular_Data(),Table_GasToMolecularConversionFactor[[#Headers],[Gas]], 0)</f>
        <v>CH4</v>
      </c>
      <c r="E49" s="19" t="str" cm="1">
        <f t="array" ref="E49">Common_InputFunctions.Utility_DisplayArrayInTable(Common_SourceData.Common_SourceData_ConvertGasElementalToMolecular_Data(),Table_GasToMolecularConversionFactor[[#Headers],[Gas]], 0)</f>
        <v>16/12</v>
      </c>
      <c r="F49" s="19" cm="1">
        <f t="array" ref="F49">Common_InputFunctions.Utility_DisplayArrayInTable(Common_SourceData.Common_SourceData_ConvertGasElementalToMolecular_Data(),Table_GasToMolecularConversionFactor[[#Headers],[Gas]], 0)</f>
        <v>16</v>
      </c>
      <c r="G49" s="19" cm="1">
        <f t="array" ref="G49">Common_InputFunctions.Utility_DisplayArrayInTable(Common_SourceData.Common_SourceData_ConvertGasElementalToMolecular_Data(),Table_GasToMolecularConversionFactor[[#Headers],[Gas]], 0)</f>
        <v>12</v>
      </c>
      <c r="H49" s="19">
        <f>Table_GasToMolecularConversionFactor[[#This Row],[Conversion factor 1]]/Table_GasToMolecularConversionFactor[[#This Row],[Conversion factor 2]]</f>
        <v>1.3333333333333333</v>
      </c>
    </row>
    <row r="50" spans="1:8" ht="20.100000000000001" customHeight="1" x14ac:dyDescent="0.2">
      <c r="A50" s="5" t="str">
        <f>HYPERLINK("#'Constants - Poultry'!A1", "Constants - Poultry")</f>
        <v>Constants - Poultry</v>
      </c>
      <c r="D50" s="19" t="str" cm="1">
        <f t="array" ref="D50">Common_InputFunctions.Utility_DisplayArrayInTable(Common_SourceData.Common_SourceData_ConvertGasElementalToMolecular_Data(),Table_GasToMolecularConversionFactor[[#Headers],[Gas]], 0)</f>
        <v>N2O</v>
      </c>
      <c r="E50" s="19" t="str" cm="1">
        <f t="array" ref="E50">Common_InputFunctions.Utility_DisplayArrayInTable(Common_SourceData.Common_SourceData_ConvertGasElementalToMolecular_Data(),Table_GasToMolecularConversionFactor[[#Headers],[Gas]], 0)</f>
        <v>44/28</v>
      </c>
      <c r="F50" s="19" cm="1">
        <f t="array" ref="F50">Common_InputFunctions.Utility_DisplayArrayInTable(Common_SourceData.Common_SourceData_ConvertGasElementalToMolecular_Data(),Table_GasToMolecularConversionFactor[[#Headers],[Gas]], 0)</f>
        <v>44</v>
      </c>
      <c r="G50" s="19" cm="1">
        <f t="array" ref="G50">Common_InputFunctions.Utility_DisplayArrayInTable(Common_SourceData.Common_SourceData_ConvertGasElementalToMolecular_Data(),Table_GasToMolecularConversionFactor[[#Headers],[Gas]], 0)</f>
        <v>28</v>
      </c>
      <c r="H50" s="19">
        <f>Table_GasToMolecularConversionFactor[[#This Row],[Conversion factor 1]]/Table_GasToMolecularConversionFactor[[#This Row],[Conversion factor 2]]</f>
        <v>1.5714285714285714</v>
      </c>
    </row>
    <row r="51" spans="1:8" ht="20.100000000000001" customHeight="1" x14ac:dyDescent="0.2">
      <c r="A51" s="5" t="str">
        <f>HYPERLINK("#'Constants - Common livestock'!A1", "Constants - Common Livestock")</f>
        <v>Constants - Common Livestock</v>
      </c>
      <c r="D51" s="19" t="str" cm="1">
        <f t="array" ref="D51">Common_InputFunctions.Utility_DisplayArrayInTable(Common_SourceData.Common_SourceData_ConvertGasElementalToMolecular_Data(),Table_GasToMolecularConversionFactor[[#Headers],[Gas]], 0)</f>
        <v>Nox</v>
      </c>
      <c r="E51" s="19" t="str" cm="1">
        <f t="array" ref="E51">Common_InputFunctions.Utility_DisplayArrayInTable(Common_SourceData.Common_SourceData_ConvertGasElementalToMolecular_Data(),Table_GasToMolecularConversionFactor[[#Headers],[Gas]], 0)</f>
        <v>46/14</v>
      </c>
      <c r="F51" s="19" cm="1">
        <f t="array" ref="F51">Common_InputFunctions.Utility_DisplayArrayInTable(Common_SourceData.Common_SourceData_ConvertGasElementalToMolecular_Data(),Table_GasToMolecularConversionFactor[[#Headers],[Gas]], 0)</f>
        <v>46</v>
      </c>
      <c r="G51" s="19" cm="1">
        <f t="array" ref="G51">Common_InputFunctions.Utility_DisplayArrayInTable(Common_SourceData.Common_SourceData_ConvertGasElementalToMolecular_Data(),Table_GasToMolecularConversionFactor[[#Headers],[Gas]], 0)</f>
        <v>14</v>
      </c>
      <c r="H51" s="19">
        <f>Table_GasToMolecularConversionFactor[[#This Row],[Conversion factor 1]]/Table_GasToMolecularConversionFactor[[#This Row],[Conversion factor 2]]</f>
        <v>3.2857142857142856</v>
      </c>
    </row>
    <row r="52" spans="1:8" ht="20.100000000000001" customHeight="1" x14ac:dyDescent="0.2">
      <c r="A52" s="5" t="str">
        <f>HYPERLINK("#'Constants - Electricity'!A1", "Constants - Electricity")</f>
        <v>Constants - Electricity</v>
      </c>
      <c r="D52" s="19" t="str" cm="1">
        <f t="array" ref="D52">Common_InputFunctions.Utility_DisplayArrayInTable(Common_SourceData.Common_SourceData_ConvertGasElementalToMolecular_Data(),Table_GasToMolecularConversionFactor[[#Headers],[Gas]], 0)</f>
        <v>CO</v>
      </c>
      <c r="E52" s="19" t="str" cm="1">
        <f t="array" ref="E52">Common_InputFunctions.Utility_DisplayArrayInTable(Common_SourceData.Common_SourceData_ConvertGasElementalToMolecular_Data(),Table_GasToMolecularConversionFactor[[#Headers],[Gas]], 0)</f>
        <v>28/12</v>
      </c>
      <c r="F52" s="19" cm="1">
        <f t="array" ref="F52">Common_InputFunctions.Utility_DisplayArrayInTable(Common_SourceData.Common_SourceData_ConvertGasElementalToMolecular_Data(),Table_GasToMolecularConversionFactor[[#Headers],[Gas]], 0)</f>
        <v>28</v>
      </c>
      <c r="G52" s="19" cm="1">
        <f t="array" ref="G52">Common_InputFunctions.Utility_DisplayArrayInTable(Common_SourceData.Common_SourceData_ConvertGasElementalToMolecular_Data(),Table_GasToMolecularConversionFactor[[#Headers],[Gas]], 0)</f>
        <v>12</v>
      </c>
      <c r="H52" s="19">
        <f>Table_GasToMolecularConversionFactor[[#This Row],[Conversion factor 1]]/Table_GasToMolecularConversionFactor[[#This Row],[Conversion factor 2]]</f>
        <v>2.3333333333333335</v>
      </c>
    </row>
    <row r="53" spans="1:8" ht="20.100000000000001" customHeight="1" x14ac:dyDescent="0.2">
      <c r="A53" s="5" t="str">
        <f>HYPERLINK("#'Constants - Fertiliser'!A1", "Constants - Fertiliser")</f>
        <v>Constants - Fertiliser</v>
      </c>
      <c r="D53" s="19" t="str" cm="1">
        <f t="array" ref="D53">Common_InputFunctions.Utility_DisplayArrayInTable(Common_SourceData.Common_SourceData_ConvertGasElementalToMolecular_Data(),Table_GasToMolecularConversionFactor[[#Headers],[Gas]], 0)</f>
        <v>CO2 Lime</v>
      </c>
      <c r="E53" s="19" t="str" cm="1">
        <f t="array" ref="E53">Common_InputFunctions.Utility_DisplayArrayInTable(Common_SourceData.Common_SourceData_ConvertGasElementalToMolecular_Data(),Table_GasToMolecularConversionFactor[[#Headers],[Gas]], 0)</f>
        <v>44/12</v>
      </c>
      <c r="F53" s="19" cm="1">
        <f t="array" ref="F53">Common_InputFunctions.Utility_DisplayArrayInTable(Common_SourceData.Common_SourceData_ConvertGasElementalToMolecular_Data(),Table_GasToMolecularConversionFactor[[#Headers],[Gas]], 0)</f>
        <v>44</v>
      </c>
      <c r="G53" s="19" cm="1">
        <f t="array" ref="G53">Common_InputFunctions.Utility_DisplayArrayInTable(Common_SourceData.Common_SourceData_ConvertGasElementalToMolecular_Data(),Table_GasToMolecularConversionFactor[[#Headers],[Gas]], 0)</f>
        <v>12</v>
      </c>
      <c r="H53" s="19">
        <f>Table_GasToMolecularConversionFactor[[#This Row],[Conversion factor 1]]/Table_GasToMolecularConversionFactor[[#This Row],[Conversion factor 2]]</f>
        <v>3.6666666666666665</v>
      </c>
    </row>
    <row r="54" spans="1:8" ht="20.100000000000001" customHeight="1" x14ac:dyDescent="0.2">
      <c r="A54" s="5" t="str">
        <f>HYPERLINK("#'Constants - Fuel'!A1", "Constants - Fuel")</f>
        <v>Constants - Fuel</v>
      </c>
      <c r="D54" s="19" t="str" cm="1">
        <f t="array" ref="D54">Common_InputFunctions.Utility_DisplayArrayInTable(Common_SourceData.Common_SourceData_ConvertGasElementalToMolecular_Data(),Table_GasToMolecularConversionFactor[[#Headers],[Gas]], 0)</f>
        <v>NMVOC</v>
      </c>
      <c r="E54" s="19" t="str" cm="1">
        <f t="array" ref="E54">Common_InputFunctions.Utility_DisplayArrayInTable(Common_SourceData.Common_SourceData_ConvertGasElementalToMolecular_Data(),Table_GasToMolecularConversionFactor[[#Headers],[Gas]], 0)</f>
        <v>14/12</v>
      </c>
      <c r="F54" s="19" cm="1">
        <f t="array" ref="F54">Common_InputFunctions.Utility_DisplayArrayInTable(Common_SourceData.Common_SourceData_ConvertGasElementalToMolecular_Data(),Table_GasToMolecularConversionFactor[[#Headers],[Gas]], 0)</f>
        <v>14</v>
      </c>
      <c r="G54" s="19" cm="1">
        <f t="array" ref="G54">Common_InputFunctions.Utility_DisplayArrayInTable(Common_SourceData.Common_SourceData_ConvertGasElementalToMolecular_Data(),Table_GasToMolecularConversionFactor[[#Headers],[Gas]], 0)</f>
        <v>12</v>
      </c>
      <c r="H54" s="19">
        <f>Table_GasToMolecularConversionFactor[[#This Row],[Conversion factor 1]]/Table_GasToMolecularConversionFactor[[#This Row],[Conversion factor 2]]</f>
        <v>1.1666666666666667</v>
      </c>
    </row>
    <row r="55" spans="1:8" ht="20.100000000000001" customHeight="1" x14ac:dyDescent="0.2">
      <c r="A55" s="5" t="str">
        <f>HYPERLINK("#'Constants - Scope 3'!A1", "Constants - Scope 3")</f>
        <v>Constants - Scope 3</v>
      </c>
    </row>
    <row r="56" spans="1:8" ht="20.100000000000001" customHeight="1" x14ac:dyDescent="0.2">
      <c r="A56" s="5" t="str">
        <f>HYPERLINK("#'Constants - Solid Waste'!A1", "Constants - Solid Waste")</f>
        <v>Constants - Solid Waste</v>
      </c>
    </row>
    <row r="57" spans="1:8" ht="20.100000000000001" customHeight="1" x14ac:dyDescent="0.2">
      <c r="A57" s="81" t="str">
        <f>HYPERLINK("#'Constants - Common'!A1", "Constants - Common")</f>
        <v>Constants - Common</v>
      </c>
      <c r="D57" s="2" t="str" cm="1">
        <f t="array" ref="D57">Common_SourceData.Common_SourceData_WetAndDryZones_Title()</f>
        <v>VEERG Australian wet and dry zones</v>
      </c>
    </row>
    <row r="58" spans="1:8" ht="20.100000000000001" customHeight="1" x14ac:dyDescent="0.2">
      <c r="A58"/>
      <c r="D58" s="17" t="str" cm="1">
        <f t="array" ref="D58">Common_SourceData.Common_SourceData_WetAndDryZones_Source()</f>
        <v>VEERG 2026: Table 1.2: Translating climate zones to wet and dry zones</v>
      </c>
    </row>
    <row r="59" spans="1:8" ht="20.100000000000001" customHeight="1" x14ac:dyDescent="0.2">
      <c r="A59"/>
      <c r="D59" s="25" t="str" cm="1">
        <f t="array" ref="D59:D61">"⚠️" &amp; Common_SourceData.Common_SourceData_WetAndDryZones_Variation()</f>
        <v>⚠️VARIATION OF SOURCE DATA:</v>
      </c>
    </row>
    <row r="60" spans="1:8" ht="20.100000000000001" customHeight="1" x14ac:dyDescent="0.2">
      <c r="A60"/>
      <c r="D60" s="25" t="str">
        <v>⚠️Added warm / cool temperate moist / dry - low frost and high temp classes to accommodate climate scenarios excluded by VEERG criteria.</v>
      </c>
    </row>
    <row r="61" spans="1:8" ht="20.100000000000001" customHeight="1" x14ac:dyDescent="0.2">
      <c r="A61"/>
      <c r="D61" s="25" t="str">
        <v>⚠️Fixed typo - Changed 'Fry' to 'Dry'.</v>
      </c>
    </row>
    <row r="62" spans="1:8" ht="20.100000000000001" customHeight="1" x14ac:dyDescent="0.2">
      <c r="A62"/>
    </row>
    <row r="63" spans="1:8" ht="20.100000000000001" customHeight="1" x14ac:dyDescent="0.2">
      <c r="A63"/>
      <c r="D63" s="19" t="s">
        <v>31</v>
      </c>
      <c r="E63" s="19" t="s">
        <v>32</v>
      </c>
    </row>
    <row r="64" spans="1:8" ht="20.100000000000001" customHeight="1" x14ac:dyDescent="0.2">
      <c r="A64"/>
      <c r="D64" s="19" t="str" cm="1">
        <f t="array" ref="D64">Common_InputFunctions.Utility_DisplayArrayInTable(Common_SourceData.Common_SourceData_WetAndDryZones_Data(), Table_SourceData_WetDryZones[[#Headers],[Climate zone]], 0)</f>
        <v>Tropical montane</v>
      </c>
      <c r="E64" s="19" t="str" cm="1">
        <f t="array" ref="E64">Common_InputFunctions.Utility_DisplayArrayInTable(Common_SourceData.Common_SourceData_WetAndDryZones_Data(), Table_SourceData_WetDryZones[[#Headers],[Climate zone]], 0)</f>
        <v>Wet climate zone</v>
      </c>
    </row>
    <row r="65" spans="1:5" ht="20.100000000000001" customHeight="1" x14ac:dyDescent="0.2">
      <c r="A65"/>
      <c r="D65" s="19" t="str" cm="1">
        <f t="array" ref="D65">Common_InputFunctions.Utility_DisplayArrayInTable(Common_SourceData.Common_SourceData_WetAndDryZones_Data(), Table_SourceData_WetDryZones[[#Headers],[Climate zone]], 0)</f>
        <v>Tropical wet</v>
      </c>
      <c r="E65" s="19" t="str" cm="1">
        <f t="array" ref="E65">Common_InputFunctions.Utility_DisplayArrayInTable(Common_SourceData.Common_SourceData_WetAndDryZones_Data(), Table_SourceData_WetDryZones[[#Headers],[Climate zone]], 0)</f>
        <v>Wet climate zone</v>
      </c>
    </row>
    <row r="66" spans="1:5" ht="20.100000000000001" customHeight="1" x14ac:dyDescent="0.2">
      <c r="A66"/>
      <c r="D66" s="19" t="str" cm="1">
        <f t="array" ref="D66">Common_InputFunctions.Utility_DisplayArrayInTable(Common_SourceData.Common_SourceData_WetAndDryZones_Data(), Table_SourceData_WetDryZones[[#Headers],[Climate zone]], 0)</f>
        <v>Tropical moist</v>
      </c>
      <c r="E66" s="19" t="str" cm="1">
        <f t="array" ref="E66">Common_InputFunctions.Utility_DisplayArrayInTable(Common_SourceData.Common_SourceData_WetAndDryZones_Data(), Table_SourceData_WetDryZones[[#Headers],[Climate zone]], 0)</f>
        <v>Wet climate zone</v>
      </c>
    </row>
    <row r="67" spans="1:5" ht="20.100000000000001" customHeight="1" x14ac:dyDescent="0.2">
      <c r="A67"/>
      <c r="D67" s="19" t="str" cm="1">
        <f t="array" ref="D67">Common_InputFunctions.Utility_DisplayArrayInTable(Common_SourceData.Common_SourceData_WetAndDryZones_Data(), Table_SourceData_WetDryZones[[#Headers],[Climate zone]], 0)</f>
        <v>Tropical dry</v>
      </c>
      <c r="E67" s="19" t="str" cm="1">
        <f t="array" ref="E67">Common_InputFunctions.Utility_DisplayArrayInTable(Common_SourceData.Common_SourceData_WetAndDryZones_Data(), Table_SourceData_WetDryZones[[#Headers],[Climate zone]], 0)</f>
        <v>Dry climate zone</v>
      </c>
    </row>
    <row r="68" spans="1:5" ht="20.100000000000001" customHeight="1" x14ac:dyDescent="0.2">
      <c r="A68" s="79" t="str">
        <f>HYPERLINK("#A1", "▲ Back to top")</f>
        <v>▲ Back to top</v>
      </c>
      <c r="D68" s="19" t="str" cm="1">
        <f t="array" ref="D68">Common_InputFunctions.Utility_DisplayArrayInTable(Common_SourceData.Common_SourceData_WetAndDryZones_Data(), Table_SourceData_WetDryZones[[#Headers],[Climate zone]], 0)</f>
        <v>Warm temperate moist</v>
      </c>
      <c r="E68" s="19" t="str" cm="1">
        <f t="array" ref="E68">Common_InputFunctions.Utility_DisplayArrayInTable(Common_SourceData.Common_SourceData_WetAndDryZones_Data(), Table_SourceData_WetDryZones[[#Headers],[Climate zone]], 0)</f>
        <v>Wet climate zone</v>
      </c>
    </row>
    <row r="69" spans="1:5" ht="20.100000000000001" customHeight="1" x14ac:dyDescent="0.2">
      <c r="A69"/>
      <c r="D69" s="19" t="str" cm="1">
        <f t="array" ref="D69">Common_InputFunctions.Utility_DisplayArrayInTable(Common_SourceData.Common_SourceData_WetAndDryZones_Data(), Table_SourceData_WetDryZones[[#Headers],[Climate zone]], 0)</f>
        <v>Warm temperate dry</v>
      </c>
      <c r="E69" s="19" t="str" cm="1">
        <f t="array" ref="E69">Common_InputFunctions.Utility_DisplayArrayInTable(Common_SourceData.Common_SourceData_WetAndDryZones_Data(), Table_SourceData_WetDryZones[[#Headers],[Climate zone]], 0)</f>
        <v>Dry climate zone</v>
      </c>
    </row>
    <row r="70" spans="1:5" ht="20.100000000000001" customHeight="1" x14ac:dyDescent="0.2">
      <c r="A70"/>
      <c r="D70" s="19" t="str" cm="1">
        <f t="array" ref="D70">Common_InputFunctions.Utility_DisplayArrayInTable(Common_SourceData.Common_SourceData_WetAndDryZones_Data(), Table_SourceData_WetDryZones[[#Headers],[Climate zone]], 0)</f>
        <v>Cool temperate moist</v>
      </c>
      <c r="E70" s="19" t="str" cm="1">
        <f t="array" ref="E70">Common_InputFunctions.Utility_DisplayArrayInTable(Common_SourceData.Common_SourceData_WetAndDryZones_Data(), Table_SourceData_WetDryZones[[#Headers],[Climate zone]], 0)</f>
        <v>Wet climate zone</v>
      </c>
    </row>
    <row r="71" spans="1:5" ht="20.100000000000001" customHeight="1" x14ac:dyDescent="0.2">
      <c r="A71"/>
      <c r="D71" s="19" t="str" cm="1">
        <f t="array" ref="D71">Common_InputFunctions.Utility_DisplayArrayInTable(Common_SourceData.Common_SourceData_WetAndDryZones_Data(), Table_SourceData_WetDryZones[[#Headers],[Climate zone]], 0)</f>
        <v>Cool temperate dry</v>
      </c>
      <c r="E71" s="19" t="str" cm="1">
        <f t="array" ref="E71">Common_InputFunctions.Utility_DisplayArrayInTable(Common_SourceData.Common_SourceData_WetAndDryZones_Data(), Table_SourceData_WetDryZones[[#Headers],[Climate zone]], 0)</f>
        <v>Dry climate zone</v>
      </c>
    </row>
    <row r="72" spans="1:5" ht="20.100000000000001" customHeight="1" x14ac:dyDescent="0.2">
      <c r="A72"/>
      <c r="D72" s="19" t="str" cm="1">
        <f t="array" ref="D72">Common_InputFunctions.Utility_DisplayArrayInTable(Common_SourceData.Common_SourceData_WetAndDryZones_Data(), Table_SourceData_WetDryZones[[#Headers],[Climate zone]], 0)</f>
        <v>Warm temperate moist - low frost</v>
      </c>
      <c r="E72" s="19" t="str" cm="1">
        <f t="array" ref="E72">Common_InputFunctions.Utility_DisplayArrayInTable(Common_SourceData.Common_SourceData_WetAndDryZones_Data(), Table_SourceData_WetDryZones[[#Headers],[Climate zone]], 0)</f>
        <v>Wet climate zone</v>
      </c>
    </row>
    <row r="73" spans="1:5" ht="20.100000000000001" customHeight="1" x14ac:dyDescent="0.2">
      <c r="A73"/>
      <c r="D73" s="19" t="str" cm="1">
        <f t="array" ref="D73">Common_InputFunctions.Utility_DisplayArrayInTable(Common_SourceData.Common_SourceData_WetAndDryZones_Data(), Table_SourceData_WetDryZones[[#Headers],[Climate zone]], 0)</f>
        <v>Warm temperate dry - low frost</v>
      </c>
      <c r="E73" s="19" t="str" cm="1">
        <f t="array" ref="E73">Common_InputFunctions.Utility_DisplayArrayInTable(Common_SourceData.Common_SourceData_WetAndDryZones_Data(), Table_SourceData_WetDryZones[[#Headers],[Climate zone]], 0)</f>
        <v>Dry climate zone</v>
      </c>
    </row>
    <row r="74" spans="1:5" ht="20.100000000000001" customHeight="1" x14ac:dyDescent="0.2">
      <c r="A74"/>
      <c r="D74" s="19" t="str" cm="1">
        <f t="array" ref="D74">Common_InputFunctions.Utility_DisplayArrayInTable(Common_SourceData.Common_SourceData_WetAndDryZones_Data(), Table_SourceData_WetDryZones[[#Headers],[Climate zone]], 0)</f>
        <v>Warm temperate moist - high temp</v>
      </c>
      <c r="E74" s="19" t="str" cm="1">
        <f t="array" ref="E74">Common_InputFunctions.Utility_DisplayArrayInTable(Common_SourceData.Common_SourceData_WetAndDryZones_Data(), Table_SourceData_WetDryZones[[#Headers],[Climate zone]], 0)</f>
        <v>Wet climate zone</v>
      </c>
    </row>
    <row r="75" spans="1:5" ht="20.100000000000001" customHeight="1" x14ac:dyDescent="0.2">
      <c r="A75"/>
      <c r="D75" s="19" t="str" cm="1">
        <f t="array" ref="D75">Common_InputFunctions.Utility_DisplayArrayInTable(Common_SourceData.Common_SourceData_WetAndDryZones_Data(), Table_SourceData_WetDryZones[[#Headers],[Climate zone]], 0)</f>
        <v>Warm temperate dry - high temp</v>
      </c>
      <c r="E75" s="19" t="str" cm="1">
        <f t="array" ref="E75">Common_InputFunctions.Utility_DisplayArrayInTable(Common_SourceData.Common_SourceData_WetAndDryZones_Data(), Table_SourceData_WetDryZones[[#Headers],[Climate zone]], 0)</f>
        <v>Dry climate zone</v>
      </c>
    </row>
    <row r="76" spans="1:5" ht="20.100000000000001" customHeight="1" x14ac:dyDescent="0.2">
      <c r="A76"/>
      <c r="D76" s="19" t="str" cm="1">
        <f t="array" ref="D76">Common_InputFunctions.Utility_DisplayArrayInTable(Common_SourceData.Common_SourceData_WetAndDryZones_Data(), Table_SourceData_WetDryZones[[#Headers],[Climate zone]], 0)</f>
        <v>Cool temperate moist - low frost</v>
      </c>
      <c r="E76" s="19" t="str" cm="1">
        <f t="array" ref="E76">Common_InputFunctions.Utility_DisplayArrayInTable(Common_SourceData.Common_SourceData_WetAndDryZones_Data(), Table_SourceData_WetDryZones[[#Headers],[Climate zone]], 0)</f>
        <v>Wet climate zone</v>
      </c>
    </row>
    <row r="77" spans="1:5" ht="20.100000000000001" customHeight="1" x14ac:dyDescent="0.2">
      <c r="A77"/>
      <c r="D77" s="19" t="str" cm="1">
        <f t="array" ref="D77">Common_InputFunctions.Utility_DisplayArrayInTable(Common_SourceData.Common_SourceData_WetAndDryZones_Data(), Table_SourceData_WetDryZones[[#Headers],[Climate zone]], 0)</f>
        <v>Cool temperate dry - low frost</v>
      </c>
      <c r="E77" s="19" t="str" cm="1">
        <f t="array" ref="E77">Common_InputFunctions.Utility_DisplayArrayInTable(Common_SourceData.Common_SourceData_WetAndDryZones_Data(), Table_SourceData_WetDryZones[[#Headers],[Climate zone]], 0)</f>
        <v>Dry climate zone</v>
      </c>
    </row>
    <row r="78" spans="1:5" ht="20.100000000000001" customHeight="1" x14ac:dyDescent="0.2">
      <c r="A78"/>
    </row>
    <row r="79" spans="1:5" ht="20.100000000000001" customHeight="1" x14ac:dyDescent="0.2">
      <c r="A79"/>
    </row>
    <row r="80" spans="1:5" ht="20.100000000000001" customHeight="1" x14ac:dyDescent="0.2">
      <c r="A80"/>
    </row>
    <row r="81" spans="1:20" ht="20.100000000000001" customHeight="1" x14ac:dyDescent="0.2">
      <c r="A81"/>
      <c r="D81" s="2" t="str" cm="1">
        <f t="array" ref="D81">Common_SourceData.Common_SourceData_ClimateZones_Title()</f>
        <v>VEERG Australian climate zones</v>
      </c>
    </row>
    <row r="82" spans="1:20" ht="20.100000000000001" customHeight="1" x14ac:dyDescent="0.2">
      <c r="A82"/>
      <c r="D82" s="17" t="str" cm="1">
        <f t="array" ref="D82">Common_SourceData.Common_SourceData_ClimateZones_Source()</f>
        <v>VEERG 2026: Table 1.3: Climate and Rainfall zone classifications and definitions</v>
      </c>
    </row>
    <row r="83" spans="1:20" ht="20.100000000000001" customHeight="1" x14ac:dyDescent="0.2">
      <c r="A83"/>
      <c r="D83" s="25" t="str" cm="1">
        <f t="array" ref="D83:D87">"⚠️" &amp; Common_SourceData.Common_SourceData_ClimateZones_Variation()</f>
        <v>⚠️VARIATION OF SOURCE DATA:</v>
      </c>
    </row>
    <row r="84" spans="1:20" ht="20.100000000000001" customHeight="1" x14ac:dyDescent="0.2">
      <c r="A84"/>
      <c r="D84" s="25" t="str">
        <v>⚠️Added warm / cool temperate moist / dry - low frost and high temp classes to accommodate climate scenarios excluded by VEERG criteria.</v>
      </c>
    </row>
    <row r="85" spans="1:20" ht="20.100000000000001" customHeight="1" x14ac:dyDescent="0.2">
      <c r="A85"/>
      <c r="D85" s="25" t="str">
        <v>⚠️Fixed typo in MAT value for warm temperate dry - changed 10 to 11.</v>
      </c>
    </row>
    <row r="86" spans="1:20" ht="20.100000000000001" customHeight="1" x14ac:dyDescent="0.2">
      <c r="A86"/>
      <c r="D86" s="25" t="str">
        <v>⚠️Added min and max columns for MAT, MAP, frost days per year, elevation, MAP:PET to calculate zones from real climate data.</v>
      </c>
    </row>
    <row r="87" spans="1:20" ht="20.100000000000001" customHeight="1" x14ac:dyDescent="0.2">
      <c r="A87"/>
      <c r="D87" s="25" t="str">
        <v>⚠️GAF accepts rainfall as a proxy for precipitation.</v>
      </c>
    </row>
    <row r="88" spans="1:20" ht="20.100000000000001" customHeight="1" x14ac:dyDescent="0.2">
      <c r="A88"/>
    </row>
    <row r="89" spans="1:20" ht="20.100000000000001" customHeight="1" x14ac:dyDescent="0.2">
      <c r="A89"/>
      <c r="D89" s="19" t="s">
        <v>31</v>
      </c>
      <c r="E89" s="19" t="s">
        <v>33</v>
      </c>
      <c r="F89" s="19" t="s">
        <v>34</v>
      </c>
      <c r="G89" s="19" t="s">
        <v>35</v>
      </c>
      <c r="H89" s="19" t="s">
        <v>36</v>
      </c>
      <c r="I89" s="19" t="s">
        <v>37</v>
      </c>
      <c r="J89" s="19" t="s">
        <v>38</v>
      </c>
      <c r="K89" s="19" t="s">
        <v>39</v>
      </c>
      <c r="L89" s="19" t="s">
        <v>40</v>
      </c>
      <c r="M89" s="19" t="s">
        <v>41</v>
      </c>
      <c r="N89" s="19" t="s">
        <v>42</v>
      </c>
      <c r="O89" s="19" t="s">
        <v>43</v>
      </c>
      <c r="P89" s="19" t="s">
        <v>44</v>
      </c>
      <c r="Q89" s="19" t="s">
        <v>45</v>
      </c>
      <c r="R89" s="19" t="s">
        <v>46</v>
      </c>
      <c r="S89" s="19" t="s">
        <v>47</v>
      </c>
      <c r="T89" s="19"/>
    </row>
    <row r="90" spans="1:20" ht="20.100000000000001" customHeight="1" x14ac:dyDescent="0.2">
      <c r="A90"/>
      <c r="D90" s="19" t="str" cm="1">
        <f t="array" ref="D90">Common_InputFunctions.Utility_DisplayArrayInTable(Common_SourceData.Common_SourceData_ClimateZones_Data(), Table_SourceData_ClimateZones[[#Headers],[Climate zone]], 0)</f>
        <v>Tropical montane</v>
      </c>
      <c r="E90" s="19" t="str" cm="1">
        <f t="array" ref="E90">Common_InputFunctions.Utility_DisplayArrayInTable(Common_SourceData.Common_SourceData_ClimateZones_Data(), Table_SourceData_ClimateZones[[#Headers],[Climate zone]], 0)</f>
        <v>&gt; 18 C</v>
      </c>
      <c r="F90" s="19" t="str" cm="1">
        <f t="array" ref="F90">Common_InputFunctions.Utility_DisplayArrayInTable(Common_SourceData.Common_SourceData_ClimateZones_Data(), Table_SourceData_ClimateZones[[#Headers],[Climate zone]], 0)</f>
        <v>Any</v>
      </c>
      <c r="G90" s="19" t="str" cm="1">
        <f t="array" ref="G90">Common_InputFunctions.Utility_DisplayArrayInTable(Common_SourceData.Common_SourceData_ClimateZones_Data(), Table_SourceData_ClimateZones[[#Headers],[Climate zone]], 0)</f>
        <v>≤ 7</v>
      </c>
      <c r="H90" s="19" t="str" cm="1">
        <f t="array" ref="H90">Common_InputFunctions.Utility_DisplayArrayInTable(Common_SourceData.Common_SourceData_ClimateZones_Data(), Table_SourceData_ClimateZones[[#Headers],[Climate zone]], 0)</f>
        <v>&gt; 1000 m</v>
      </c>
      <c r="I90" s="19" t="str" cm="1">
        <f t="array" ref="I90">Common_InputFunctions.Utility_DisplayArrayInTable(Common_SourceData.Common_SourceData_ClimateZones_Data(), Table_SourceData_ClimateZones[[#Headers],[Climate zone]], 0)</f>
        <v>Any</v>
      </c>
      <c r="J90" s="19" cm="1">
        <f t="array" ref="J90">Common_InputFunctions.Utility_DisplayArrayInTable(Common_SourceData.Common_SourceData_ClimateZones_Data(), Table_SourceData_ClimateZones[[#Headers],[Climate zone]], 0)</f>
        <v>18.001000000000001</v>
      </c>
      <c r="K90" s="19" cm="1">
        <f t="array" ref="K90">Common_InputFunctions.Utility_DisplayArrayInTable(Common_SourceData.Common_SourceData_ClimateZones_Data(), Table_SourceData_ClimateZones[[#Headers],[Climate zone]], 0)</f>
        <v>999999</v>
      </c>
      <c r="L90" s="19" cm="1">
        <f t="array" ref="L90">Common_InputFunctions.Utility_DisplayArrayInTable(Common_SourceData.Common_SourceData_ClimateZones_Data(), Table_SourceData_ClimateZones[[#Headers],[Climate zone]], 0)</f>
        <v>-999999</v>
      </c>
      <c r="M90" s="19" cm="1">
        <f t="array" ref="M90">Common_InputFunctions.Utility_DisplayArrayInTable(Common_SourceData.Common_SourceData_ClimateZones_Data(), Table_SourceData_ClimateZones[[#Headers],[Climate zone]], 0)</f>
        <v>999999</v>
      </c>
      <c r="N90" s="19" cm="1">
        <f t="array" ref="N90">Common_InputFunctions.Utility_DisplayArrayInTable(Common_SourceData.Common_SourceData_ClimateZones_Data(), Table_SourceData_ClimateZones[[#Headers],[Climate zone]], 0)</f>
        <v>-999999</v>
      </c>
      <c r="O90" s="19" cm="1">
        <f t="array" ref="O90">Common_InputFunctions.Utility_DisplayArrayInTable(Common_SourceData.Common_SourceData_ClimateZones_Data(), Table_SourceData_ClimateZones[[#Headers],[Climate zone]], 0)</f>
        <v>7</v>
      </c>
      <c r="P90" s="19" cm="1">
        <f t="array" ref="P90">Common_InputFunctions.Utility_DisplayArrayInTable(Common_SourceData.Common_SourceData_ClimateZones_Data(), Table_SourceData_ClimateZones[[#Headers],[Climate zone]], 0)</f>
        <v>1000</v>
      </c>
      <c r="Q90" s="19" cm="1">
        <f t="array" ref="Q90">Common_InputFunctions.Utility_DisplayArrayInTable(Common_SourceData.Common_SourceData_ClimateZones_Data(), Table_SourceData_ClimateZones[[#Headers],[Climate zone]], 0)</f>
        <v>999999</v>
      </c>
      <c r="R90" s="19" cm="1">
        <f t="array" ref="R90">Common_InputFunctions.Utility_DisplayArrayInTable(Common_SourceData.Common_SourceData_ClimateZones_Data(), Table_SourceData_ClimateZones[[#Headers],[Climate zone]], 0)</f>
        <v>-999999</v>
      </c>
      <c r="S90" s="19" cm="1">
        <f t="array" ref="S90">Common_InputFunctions.Utility_DisplayArrayInTable(Common_SourceData.Common_SourceData_ClimateZones_Data(), Table_SourceData_ClimateZones[[#Headers],[Climate zone]], 0)</f>
        <v>999999</v>
      </c>
      <c r="T90" s="19"/>
    </row>
    <row r="91" spans="1:20" ht="20.100000000000001" customHeight="1" x14ac:dyDescent="0.2">
      <c r="A91"/>
      <c r="D91" s="19" t="str" cm="1">
        <f t="array" ref="D91">Common_InputFunctions.Utility_DisplayArrayInTable(Common_SourceData.Common_SourceData_ClimateZones_Data(), Table_SourceData_ClimateZones[[#Headers],[Climate zone]], 0)</f>
        <v>Tropical wet</v>
      </c>
      <c r="E91" s="19" t="str" cm="1">
        <f t="array" ref="E91">Common_InputFunctions.Utility_DisplayArrayInTable(Common_SourceData.Common_SourceData_ClimateZones_Data(), Table_SourceData_ClimateZones[[#Headers],[Climate zone]], 0)</f>
        <v>&gt; 18 C</v>
      </c>
      <c r="F91" s="19" t="str" cm="1">
        <f t="array" ref="F91">Common_InputFunctions.Utility_DisplayArrayInTable(Common_SourceData.Common_SourceData_ClimateZones_Data(), Table_SourceData_ClimateZones[[#Headers],[Climate zone]], 0)</f>
        <v>&gt; 2000 mm</v>
      </c>
      <c r="G91" s="19" t="str" cm="1">
        <f t="array" ref="G91">Common_InputFunctions.Utility_DisplayArrayInTable(Common_SourceData.Common_SourceData_ClimateZones_Data(), Table_SourceData_ClimateZones[[#Headers],[Climate zone]], 0)</f>
        <v>≤ 7</v>
      </c>
      <c r="H91" s="19" t="str" cm="1">
        <f t="array" ref="H91">Common_InputFunctions.Utility_DisplayArrayInTable(Common_SourceData.Common_SourceData_ClimateZones_Data(), Table_SourceData_ClimateZones[[#Headers],[Climate zone]], 0)</f>
        <v>≤ 1000 m</v>
      </c>
      <c r="I91" s="19" t="str" cm="1">
        <f t="array" ref="I91">Common_InputFunctions.Utility_DisplayArrayInTable(Common_SourceData.Common_SourceData_ClimateZones_Data(), Table_SourceData_ClimateZones[[#Headers],[Climate zone]], 0)</f>
        <v>Any</v>
      </c>
      <c r="J91" s="19" cm="1">
        <f t="array" ref="J91">Common_InputFunctions.Utility_DisplayArrayInTable(Common_SourceData.Common_SourceData_ClimateZones_Data(), Table_SourceData_ClimateZones[[#Headers],[Climate zone]], 0)</f>
        <v>18.001000000000001</v>
      </c>
      <c r="K91" s="19" cm="1">
        <f t="array" ref="K91">Common_InputFunctions.Utility_DisplayArrayInTable(Common_SourceData.Common_SourceData_ClimateZones_Data(), Table_SourceData_ClimateZones[[#Headers],[Climate zone]], 0)</f>
        <v>999999</v>
      </c>
      <c r="L91" s="19" cm="1">
        <f t="array" ref="L91">Common_InputFunctions.Utility_DisplayArrayInTable(Common_SourceData.Common_SourceData_ClimateZones_Data(), Table_SourceData_ClimateZones[[#Headers],[Climate zone]], 0)</f>
        <v>2000.001</v>
      </c>
      <c r="M91" s="19" cm="1">
        <f t="array" ref="M91">Common_InputFunctions.Utility_DisplayArrayInTable(Common_SourceData.Common_SourceData_ClimateZones_Data(), Table_SourceData_ClimateZones[[#Headers],[Climate zone]], 0)</f>
        <v>999999</v>
      </c>
      <c r="N91" s="19" cm="1">
        <f t="array" ref="N91">Common_InputFunctions.Utility_DisplayArrayInTable(Common_SourceData.Common_SourceData_ClimateZones_Data(), Table_SourceData_ClimateZones[[#Headers],[Climate zone]], 0)</f>
        <v>-999999</v>
      </c>
      <c r="O91" s="19" cm="1">
        <f t="array" ref="O91">Common_InputFunctions.Utility_DisplayArrayInTable(Common_SourceData.Common_SourceData_ClimateZones_Data(), Table_SourceData_ClimateZones[[#Headers],[Climate zone]], 0)</f>
        <v>7</v>
      </c>
      <c r="P91" s="19" cm="1">
        <f t="array" ref="P91">Common_InputFunctions.Utility_DisplayArrayInTable(Common_SourceData.Common_SourceData_ClimateZones_Data(), Table_SourceData_ClimateZones[[#Headers],[Climate zone]], 0)</f>
        <v>-999999</v>
      </c>
      <c r="Q91" s="19" cm="1">
        <f t="array" ref="Q91">Common_InputFunctions.Utility_DisplayArrayInTable(Common_SourceData.Common_SourceData_ClimateZones_Data(), Table_SourceData_ClimateZones[[#Headers],[Climate zone]], 0)</f>
        <v>999.99900000000002</v>
      </c>
      <c r="R91" s="19" cm="1">
        <f t="array" ref="R91">Common_InputFunctions.Utility_DisplayArrayInTable(Common_SourceData.Common_SourceData_ClimateZones_Data(), Table_SourceData_ClimateZones[[#Headers],[Climate zone]], 0)</f>
        <v>-999999</v>
      </c>
      <c r="S91" s="19" cm="1">
        <f t="array" ref="S91">Common_InputFunctions.Utility_DisplayArrayInTable(Common_SourceData.Common_SourceData_ClimateZones_Data(), Table_SourceData_ClimateZones[[#Headers],[Climate zone]], 0)</f>
        <v>999999</v>
      </c>
      <c r="T91" s="19"/>
    </row>
    <row r="92" spans="1:20" ht="20.100000000000001" customHeight="1" x14ac:dyDescent="0.2">
      <c r="A92"/>
      <c r="D92" s="19" t="str" cm="1">
        <f t="array" ref="D92">Common_InputFunctions.Utility_DisplayArrayInTable(Common_SourceData.Common_SourceData_ClimateZones_Data(), Table_SourceData_ClimateZones[[#Headers],[Climate zone]], 0)</f>
        <v>Tropical moist</v>
      </c>
      <c r="E92" s="19" t="str" cm="1">
        <f t="array" ref="E92">Common_InputFunctions.Utility_DisplayArrayInTable(Common_SourceData.Common_SourceData_ClimateZones_Data(), Table_SourceData_ClimateZones[[#Headers],[Climate zone]], 0)</f>
        <v>&gt; 18 C</v>
      </c>
      <c r="F92" s="19" t="str" cm="1">
        <f t="array" ref="F92">Common_InputFunctions.Utility_DisplayArrayInTable(Common_SourceData.Common_SourceData_ClimateZones_Data(), Table_SourceData_ClimateZones[[#Headers],[Climate zone]], 0)</f>
        <v>&gt; 1000 mm - ≤ 2000 mm</v>
      </c>
      <c r="G92" s="19" t="str" cm="1">
        <f t="array" ref="G92">Common_InputFunctions.Utility_DisplayArrayInTable(Common_SourceData.Common_SourceData_ClimateZones_Data(), Table_SourceData_ClimateZones[[#Headers],[Climate zone]], 0)</f>
        <v>≤ 7</v>
      </c>
      <c r="H92" s="19" t="str" cm="1">
        <f t="array" ref="H92">Common_InputFunctions.Utility_DisplayArrayInTable(Common_SourceData.Common_SourceData_ClimateZones_Data(), Table_SourceData_ClimateZones[[#Headers],[Climate zone]], 0)</f>
        <v>≤ 1000 m</v>
      </c>
      <c r="I92" s="19" t="str" cm="1">
        <f t="array" ref="I92">Common_InputFunctions.Utility_DisplayArrayInTable(Common_SourceData.Common_SourceData_ClimateZones_Data(), Table_SourceData_ClimateZones[[#Headers],[Climate zone]], 0)</f>
        <v>Any</v>
      </c>
      <c r="J92" s="19" cm="1">
        <f t="array" ref="J92">Common_InputFunctions.Utility_DisplayArrayInTable(Common_SourceData.Common_SourceData_ClimateZones_Data(), Table_SourceData_ClimateZones[[#Headers],[Climate zone]], 0)</f>
        <v>18.001000000000001</v>
      </c>
      <c r="K92" s="19" cm="1">
        <f t="array" ref="K92">Common_InputFunctions.Utility_DisplayArrayInTable(Common_SourceData.Common_SourceData_ClimateZones_Data(), Table_SourceData_ClimateZones[[#Headers],[Climate zone]], 0)</f>
        <v>999999</v>
      </c>
      <c r="L92" s="19" cm="1">
        <f t="array" ref="L92">Common_InputFunctions.Utility_DisplayArrayInTable(Common_SourceData.Common_SourceData_ClimateZones_Data(), Table_SourceData_ClimateZones[[#Headers],[Climate zone]], 0)</f>
        <v>1000.001</v>
      </c>
      <c r="M92" s="19" cm="1">
        <f t="array" ref="M92">Common_InputFunctions.Utility_DisplayArrayInTable(Common_SourceData.Common_SourceData_ClimateZones_Data(), Table_SourceData_ClimateZones[[#Headers],[Climate zone]], 0)</f>
        <v>2000</v>
      </c>
      <c r="N92" s="19" cm="1">
        <f t="array" ref="N92">Common_InputFunctions.Utility_DisplayArrayInTable(Common_SourceData.Common_SourceData_ClimateZones_Data(), Table_SourceData_ClimateZones[[#Headers],[Climate zone]], 0)</f>
        <v>-999999</v>
      </c>
      <c r="O92" s="19" cm="1">
        <f t="array" ref="O92">Common_InputFunctions.Utility_DisplayArrayInTable(Common_SourceData.Common_SourceData_ClimateZones_Data(), Table_SourceData_ClimateZones[[#Headers],[Climate zone]], 0)</f>
        <v>7</v>
      </c>
      <c r="P92" s="19" cm="1">
        <f t="array" ref="P92">Common_InputFunctions.Utility_DisplayArrayInTable(Common_SourceData.Common_SourceData_ClimateZones_Data(), Table_SourceData_ClimateZones[[#Headers],[Climate zone]], 0)</f>
        <v>-999999</v>
      </c>
      <c r="Q92" s="19" cm="1">
        <f t="array" ref="Q92">Common_InputFunctions.Utility_DisplayArrayInTable(Common_SourceData.Common_SourceData_ClimateZones_Data(), Table_SourceData_ClimateZones[[#Headers],[Climate zone]], 0)</f>
        <v>999.99900000000002</v>
      </c>
      <c r="R92" s="19" cm="1">
        <f t="array" ref="R92">Common_InputFunctions.Utility_DisplayArrayInTable(Common_SourceData.Common_SourceData_ClimateZones_Data(), Table_SourceData_ClimateZones[[#Headers],[Climate zone]], 0)</f>
        <v>-999999</v>
      </c>
      <c r="S92" s="19" cm="1">
        <f t="array" ref="S92">Common_InputFunctions.Utility_DisplayArrayInTable(Common_SourceData.Common_SourceData_ClimateZones_Data(), Table_SourceData_ClimateZones[[#Headers],[Climate zone]], 0)</f>
        <v>999999</v>
      </c>
      <c r="T92" s="19"/>
    </row>
    <row r="93" spans="1:20" ht="20.100000000000001" customHeight="1" x14ac:dyDescent="0.2">
      <c r="A93"/>
      <c r="D93" s="19" t="str" cm="1">
        <f t="array" ref="D93">Common_InputFunctions.Utility_DisplayArrayInTable(Common_SourceData.Common_SourceData_ClimateZones_Data(), Table_SourceData_ClimateZones[[#Headers],[Climate zone]], 0)</f>
        <v>Tropical dry</v>
      </c>
      <c r="E93" s="19" t="str" cm="1">
        <f t="array" ref="E93">Common_InputFunctions.Utility_DisplayArrayInTable(Common_SourceData.Common_SourceData_ClimateZones_Data(), Table_SourceData_ClimateZones[[#Headers],[Climate zone]], 0)</f>
        <v>&gt; 18 C</v>
      </c>
      <c r="F93" s="19" t="str" cm="1">
        <f t="array" ref="F93">Common_InputFunctions.Utility_DisplayArrayInTable(Common_SourceData.Common_SourceData_ClimateZones_Data(), Table_SourceData_ClimateZones[[#Headers],[Climate zone]], 0)</f>
        <v>≤ 1000 mm</v>
      </c>
      <c r="G93" s="19" t="str" cm="1">
        <f t="array" ref="G93">Common_InputFunctions.Utility_DisplayArrayInTable(Common_SourceData.Common_SourceData_ClimateZones_Data(), Table_SourceData_ClimateZones[[#Headers],[Climate zone]], 0)</f>
        <v>≤ 7</v>
      </c>
      <c r="H93" s="19" t="str" cm="1">
        <f t="array" ref="H93">Common_InputFunctions.Utility_DisplayArrayInTable(Common_SourceData.Common_SourceData_ClimateZones_Data(), Table_SourceData_ClimateZones[[#Headers],[Climate zone]], 0)</f>
        <v>≤ 1000 m</v>
      </c>
      <c r="I93" s="19" t="str" cm="1">
        <f t="array" ref="I93">Common_InputFunctions.Utility_DisplayArrayInTable(Common_SourceData.Common_SourceData_ClimateZones_Data(), Table_SourceData_ClimateZones[[#Headers],[Climate zone]], 0)</f>
        <v>Any</v>
      </c>
      <c r="J93" s="19" cm="1">
        <f t="array" ref="J93">Common_InputFunctions.Utility_DisplayArrayInTable(Common_SourceData.Common_SourceData_ClimateZones_Data(), Table_SourceData_ClimateZones[[#Headers],[Climate zone]], 0)</f>
        <v>18.001000000000001</v>
      </c>
      <c r="K93" s="19" cm="1">
        <f t="array" ref="K93">Common_InputFunctions.Utility_DisplayArrayInTable(Common_SourceData.Common_SourceData_ClimateZones_Data(), Table_SourceData_ClimateZones[[#Headers],[Climate zone]], 0)</f>
        <v>999999</v>
      </c>
      <c r="L93" s="19" cm="1">
        <f t="array" ref="L93">Common_InputFunctions.Utility_DisplayArrayInTable(Common_SourceData.Common_SourceData_ClimateZones_Data(), Table_SourceData_ClimateZones[[#Headers],[Climate zone]], 0)</f>
        <v>-999999</v>
      </c>
      <c r="M93" s="19" cm="1">
        <f t="array" ref="M93">Common_InputFunctions.Utility_DisplayArrayInTable(Common_SourceData.Common_SourceData_ClimateZones_Data(), Table_SourceData_ClimateZones[[#Headers],[Climate zone]], 0)</f>
        <v>1000</v>
      </c>
      <c r="N93" s="19" cm="1">
        <f t="array" ref="N93">Common_InputFunctions.Utility_DisplayArrayInTable(Common_SourceData.Common_SourceData_ClimateZones_Data(), Table_SourceData_ClimateZones[[#Headers],[Climate zone]], 0)</f>
        <v>-999999</v>
      </c>
      <c r="O93" s="19" cm="1">
        <f t="array" ref="O93">Common_InputFunctions.Utility_DisplayArrayInTable(Common_SourceData.Common_SourceData_ClimateZones_Data(), Table_SourceData_ClimateZones[[#Headers],[Climate zone]], 0)</f>
        <v>7</v>
      </c>
      <c r="P93" s="19" cm="1">
        <f t="array" ref="P93">Common_InputFunctions.Utility_DisplayArrayInTable(Common_SourceData.Common_SourceData_ClimateZones_Data(), Table_SourceData_ClimateZones[[#Headers],[Climate zone]], 0)</f>
        <v>-999999</v>
      </c>
      <c r="Q93" s="19" cm="1">
        <f t="array" ref="Q93">Common_InputFunctions.Utility_DisplayArrayInTable(Common_SourceData.Common_SourceData_ClimateZones_Data(), Table_SourceData_ClimateZones[[#Headers],[Climate zone]], 0)</f>
        <v>999.99900000000002</v>
      </c>
      <c r="R93" s="19" cm="1">
        <f t="array" ref="R93">Common_InputFunctions.Utility_DisplayArrayInTable(Common_SourceData.Common_SourceData_ClimateZones_Data(), Table_SourceData_ClimateZones[[#Headers],[Climate zone]], 0)</f>
        <v>-999999</v>
      </c>
      <c r="S93" s="19" cm="1">
        <f t="array" ref="S93">Common_InputFunctions.Utility_DisplayArrayInTable(Common_SourceData.Common_SourceData_ClimateZones_Data(), Table_SourceData_ClimateZones[[#Headers],[Climate zone]], 0)</f>
        <v>999999</v>
      </c>
      <c r="T93" s="19"/>
    </row>
    <row r="94" spans="1:20" ht="20.100000000000001" customHeight="1" x14ac:dyDescent="0.2">
      <c r="A94"/>
      <c r="D94" s="19" t="str" cm="1">
        <f t="array" ref="D94">Common_InputFunctions.Utility_DisplayArrayInTable(Common_SourceData.Common_SourceData_ClimateZones_Data(), Table_SourceData_ClimateZones[[#Headers],[Climate zone]], 0)</f>
        <v>Warm temperate moist</v>
      </c>
      <c r="E94" s="19" t="str" cm="1">
        <f t="array" ref="E94">Common_InputFunctions.Utility_DisplayArrayInTable(Common_SourceData.Common_SourceData_ClimateZones_Data(), Table_SourceData_ClimateZones[[#Headers],[Climate zone]], 0)</f>
        <v>&gt; 10 C</v>
      </c>
      <c r="F94" s="19" t="str" cm="1">
        <f t="array" ref="F94">Common_InputFunctions.Utility_DisplayArrayInTable(Common_SourceData.Common_SourceData_ClimateZones_Data(), Table_SourceData_ClimateZones[[#Headers],[Climate zone]], 0)</f>
        <v>Any</v>
      </c>
      <c r="G94" s="19" t="str" cm="1">
        <f t="array" ref="G94">Common_InputFunctions.Utility_DisplayArrayInTable(Common_SourceData.Common_SourceData_ClimateZones_Data(), Table_SourceData_ClimateZones[[#Headers],[Climate zone]], 0)</f>
        <v>Any</v>
      </c>
      <c r="H94" s="19" t="str" cm="1">
        <f t="array" ref="H94">Common_InputFunctions.Utility_DisplayArrayInTable(Common_SourceData.Common_SourceData_ClimateZones_Data(), Table_SourceData_ClimateZones[[#Headers],[Climate zone]], 0)</f>
        <v>Any</v>
      </c>
      <c r="I94" s="19" t="str" cm="1">
        <f t="array" ref="I94">Common_InputFunctions.Utility_DisplayArrayInTable(Common_SourceData.Common_SourceData_ClimateZones_Data(), Table_SourceData_ClimateZones[[#Headers],[Climate zone]], 0)</f>
        <v>&gt; 1</v>
      </c>
      <c r="J94" s="19" cm="1">
        <f t="array" ref="J94">Common_InputFunctions.Utility_DisplayArrayInTable(Common_SourceData.Common_SourceData_ClimateZones_Data(), Table_SourceData_ClimateZones[[#Headers],[Climate zone]], 0)</f>
        <v>10.000999999999999</v>
      </c>
      <c r="K94" s="19" cm="1">
        <f t="array" ref="K94">Common_InputFunctions.Utility_DisplayArrayInTable(Common_SourceData.Common_SourceData_ClimateZones_Data(), Table_SourceData_ClimateZones[[#Headers],[Climate zone]], 0)</f>
        <v>999999</v>
      </c>
      <c r="L94" s="19" cm="1">
        <f t="array" ref="L94">Common_InputFunctions.Utility_DisplayArrayInTable(Common_SourceData.Common_SourceData_ClimateZones_Data(), Table_SourceData_ClimateZones[[#Headers],[Climate zone]], 0)</f>
        <v>-999999</v>
      </c>
      <c r="M94" s="19" cm="1">
        <f t="array" ref="M94">Common_InputFunctions.Utility_DisplayArrayInTable(Common_SourceData.Common_SourceData_ClimateZones_Data(), Table_SourceData_ClimateZones[[#Headers],[Climate zone]], 0)</f>
        <v>999999</v>
      </c>
      <c r="N94" s="19" cm="1">
        <f t="array" ref="N94">Common_InputFunctions.Utility_DisplayArrayInTable(Common_SourceData.Common_SourceData_ClimateZones_Data(), Table_SourceData_ClimateZones[[#Headers],[Climate zone]], 0)</f>
        <v>-999999</v>
      </c>
      <c r="O94" s="19" cm="1">
        <f t="array" ref="O94">Common_InputFunctions.Utility_DisplayArrayInTable(Common_SourceData.Common_SourceData_ClimateZones_Data(), Table_SourceData_ClimateZones[[#Headers],[Climate zone]], 0)</f>
        <v>999999</v>
      </c>
      <c r="P94" s="19" cm="1">
        <f t="array" ref="P94">Common_InputFunctions.Utility_DisplayArrayInTable(Common_SourceData.Common_SourceData_ClimateZones_Data(), Table_SourceData_ClimateZones[[#Headers],[Climate zone]], 0)</f>
        <v>-999999</v>
      </c>
      <c r="Q94" s="19" cm="1">
        <f t="array" ref="Q94">Common_InputFunctions.Utility_DisplayArrayInTable(Common_SourceData.Common_SourceData_ClimateZones_Data(), Table_SourceData_ClimateZones[[#Headers],[Climate zone]], 0)</f>
        <v>999999</v>
      </c>
      <c r="R94" s="19" cm="1">
        <f t="array" ref="R94">Common_InputFunctions.Utility_DisplayArrayInTable(Common_SourceData.Common_SourceData_ClimateZones_Data(), Table_SourceData_ClimateZones[[#Headers],[Climate zone]], 0)</f>
        <v>1.0009999999999999</v>
      </c>
      <c r="S94" s="19" cm="1">
        <f t="array" ref="S94">Common_InputFunctions.Utility_DisplayArrayInTable(Common_SourceData.Common_SourceData_ClimateZones_Data(), Table_SourceData_ClimateZones[[#Headers],[Climate zone]], 0)</f>
        <v>999999</v>
      </c>
      <c r="T94" s="19"/>
    </row>
    <row r="95" spans="1:20" ht="20.100000000000001" customHeight="1" x14ac:dyDescent="0.2">
      <c r="A95"/>
      <c r="D95" s="19" t="str" cm="1">
        <f t="array" ref="D95">Common_InputFunctions.Utility_DisplayArrayInTable(Common_SourceData.Common_SourceData_ClimateZones_Data(), Table_SourceData_ClimateZones[[#Headers],[Climate zone]], 0)</f>
        <v>Warm temperate dry</v>
      </c>
      <c r="E95" s="19" t="str" cm="1">
        <f t="array" ref="E95">Common_InputFunctions.Utility_DisplayArrayInTable(Common_SourceData.Common_SourceData_ClimateZones_Data(), Table_SourceData_ClimateZones[[#Headers],[Climate zone]], 0)</f>
        <v>&gt; 10 C</v>
      </c>
      <c r="F95" s="19" t="str" cm="1">
        <f t="array" ref="F95">Common_InputFunctions.Utility_DisplayArrayInTable(Common_SourceData.Common_SourceData_ClimateZones_Data(), Table_SourceData_ClimateZones[[#Headers],[Climate zone]], 0)</f>
        <v>Any</v>
      </c>
      <c r="G95" s="19" t="str" cm="1">
        <f t="array" ref="G95">Common_InputFunctions.Utility_DisplayArrayInTable(Common_SourceData.Common_SourceData_ClimateZones_Data(), Table_SourceData_ClimateZones[[#Headers],[Climate zone]], 0)</f>
        <v>Any</v>
      </c>
      <c r="H95" s="19" t="str" cm="1">
        <f t="array" ref="H95">Common_InputFunctions.Utility_DisplayArrayInTable(Common_SourceData.Common_SourceData_ClimateZones_Data(), Table_SourceData_ClimateZones[[#Headers],[Climate zone]], 0)</f>
        <v>Any</v>
      </c>
      <c r="I95" s="19" t="str" cm="1">
        <f t="array" ref="I95">Common_InputFunctions.Utility_DisplayArrayInTable(Common_SourceData.Common_SourceData_ClimateZones_Data(), Table_SourceData_ClimateZones[[#Headers],[Climate zone]], 0)</f>
        <v>≤ 1</v>
      </c>
      <c r="J95" s="19" cm="1">
        <f t="array" ref="J95">Common_InputFunctions.Utility_DisplayArrayInTable(Common_SourceData.Common_SourceData_ClimateZones_Data(), Table_SourceData_ClimateZones[[#Headers],[Climate zone]], 0)</f>
        <v>10.000999999999999</v>
      </c>
      <c r="K95" s="19" cm="1">
        <f t="array" ref="K95">Common_InputFunctions.Utility_DisplayArrayInTable(Common_SourceData.Common_SourceData_ClimateZones_Data(), Table_SourceData_ClimateZones[[#Headers],[Climate zone]], 0)</f>
        <v>999999</v>
      </c>
      <c r="L95" s="19" cm="1">
        <f t="array" ref="L95">Common_InputFunctions.Utility_DisplayArrayInTable(Common_SourceData.Common_SourceData_ClimateZones_Data(), Table_SourceData_ClimateZones[[#Headers],[Climate zone]], 0)</f>
        <v>-999999</v>
      </c>
      <c r="M95" s="19" cm="1">
        <f t="array" ref="M95">Common_InputFunctions.Utility_DisplayArrayInTable(Common_SourceData.Common_SourceData_ClimateZones_Data(), Table_SourceData_ClimateZones[[#Headers],[Climate zone]], 0)</f>
        <v>999999</v>
      </c>
      <c r="N95" s="19" cm="1">
        <f t="array" ref="N95">Common_InputFunctions.Utility_DisplayArrayInTable(Common_SourceData.Common_SourceData_ClimateZones_Data(), Table_SourceData_ClimateZones[[#Headers],[Climate zone]], 0)</f>
        <v>-999999</v>
      </c>
      <c r="O95" s="19" cm="1">
        <f t="array" ref="O95">Common_InputFunctions.Utility_DisplayArrayInTable(Common_SourceData.Common_SourceData_ClimateZones_Data(), Table_SourceData_ClimateZones[[#Headers],[Climate zone]], 0)</f>
        <v>999999</v>
      </c>
      <c r="P95" s="19" cm="1">
        <f t="array" ref="P95">Common_InputFunctions.Utility_DisplayArrayInTable(Common_SourceData.Common_SourceData_ClimateZones_Data(), Table_SourceData_ClimateZones[[#Headers],[Climate zone]], 0)</f>
        <v>-999999</v>
      </c>
      <c r="Q95" s="19" cm="1">
        <f t="array" ref="Q95">Common_InputFunctions.Utility_DisplayArrayInTable(Common_SourceData.Common_SourceData_ClimateZones_Data(), Table_SourceData_ClimateZones[[#Headers],[Climate zone]], 0)</f>
        <v>999999</v>
      </c>
      <c r="R95" s="19" cm="1">
        <f t="array" ref="R95">Common_InputFunctions.Utility_DisplayArrayInTable(Common_SourceData.Common_SourceData_ClimateZones_Data(), Table_SourceData_ClimateZones[[#Headers],[Climate zone]], 0)</f>
        <v>-999999</v>
      </c>
      <c r="S95" s="19" cm="1">
        <f t="array" ref="S95">Common_InputFunctions.Utility_DisplayArrayInTable(Common_SourceData.Common_SourceData_ClimateZones_Data(), Table_SourceData_ClimateZones[[#Headers],[Climate zone]], 0)</f>
        <v>1</v>
      </c>
      <c r="T95" s="19"/>
    </row>
    <row r="96" spans="1:20" ht="20.100000000000001" customHeight="1" x14ac:dyDescent="0.2">
      <c r="A96"/>
      <c r="D96" s="19" t="str" cm="1">
        <f t="array" ref="D96">Common_InputFunctions.Utility_DisplayArrayInTable(Common_SourceData.Common_SourceData_ClimateZones_Data(), Table_SourceData_ClimateZones[[#Headers],[Climate zone]], 0)</f>
        <v>Cool temperate moist</v>
      </c>
      <c r="E96" s="19" t="str" cm="1">
        <f t="array" ref="E96">Common_InputFunctions.Utility_DisplayArrayInTable(Common_SourceData.Common_SourceData_ClimateZones_Data(), Table_SourceData_ClimateZones[[#Headers],[Climate zone]], 0)</f>
        <v>&gt; 0 C - ≤ 10 C</v>
      </c>
      <c r="F96" s="19" t="str" cm="1">
        <f t="array" ref="F96">Common_InputFunctions.Utility_DisplayArrayInTable(Common_SourceData.Common_SourceData_ClimateZones_Data(), Table_SourceData_ClimateZones[[#Headers],[Climate zone]], 0)</f>
        <v>Any</v>
      </c>
      <c r="G96" s="19" t="str" cm="1">
        <f t="array" ref="G96">Common_InputFunctions.Utility_DisplayArrayInTable(Common_SourceData.Common_SourceData_ClimateZones_Data(), Table_SourceData_ClimateZones[[#Headers],[Climate zone]], 0)</f>
        <v>Any</v>
      </c>
      <c r="H96" s="19" t="str" cm="1">
        <f t="array" ref="H96">Common_InputFunctions.Utility_DisplayArrayInTable(Common_SourceData.Common_SourceData_ClimateZones_Data(), Table_SourceData_ClimateZones[[#Headers],[Climate zone]], 0)</f>
        <v>Any</v>
      </c>
      <c r="I96" s="19" t="str" cm="1">
        <f t="array" ref="I96">Common_InputFunctions.Utility_DisplayArrayInTable(Common_SourceData.Common_SourceData_ClimateZones_Data(), Table_SourceData_ClimateZones[[#Headers],[Climate zone]], 0)</f>
        <v>&gt; 1</v>
      </c>
      <c r="J96" s="19" cm="1">
        <f t="array" ref="J96">Common_InputFunctions.Utility_DisplayArrayInTable(Common_SourceData.Common_SourceData_ClimateZones_Data(), Table_SourceData_ClimateZones[[#Headers],[Climate zone]], 0)</f>
        <v>-999999</v>
      </c>
      <c r="K96" s="19" cm="1">
        <f t="array" ref="K96">Common_InputFunctions.Utility_DisplayArrayInTable(Common_SourceData.Common_SourceData_ClimateZones_Data(), Table_SourceData_ClimateZones[[#Headers],[Climate zone]], 0)</f>
        <v>10</v>
      </c>
      <c r="L96" s="19" cm="1">
        <f t="array" ref="L96">Common_InputFunctions.Utility_DisplayArrayInTable(Common_SourceData.Common_SourceData_ClimateZones_Data(), Table_SourceData_ClimateZones[[#Headers],[Climate zone]], 0)</f>
        <v>-999999</v>
      </c>
      <c r="M96" s="19" cm="1">
        <f t="array" ref="M96">Common_InputFunctions.Utility_DisplayArrayInTable(Common_SourceData.Common_SourceData_ClimateZones_Data(), Table_SourceData_ClimateZones[[#Headers],[Climate zone]], 0)</f>
        <v>999999</v>
      </c>
      <c r="N96" s="19" cm="1">
        <f t="array" ref="N96">Common_InputFunctions.Utility_DisplayArrayInTable(Common_SourceData.Common_SourceData_ClimateZones_Data(), Table_SourceData_ClimateZones[[#Headers],[Climate zone]], 0)</f>
        <v>-999999</v>
      </c>
      <c r="O96" s="19" cm="1">
        <f t="array" ref="O96">Common_InputFunctions.Utility_DisplayArrayInTable(Common_SourceData.Common_SourceData_ClimateZones_Data(), Table_SourceData_ClimateZones[[#Headers],[Climate zone]], 0)</f>
        <v>999999</v>
      </c>
      <c r="P96" s="19" cm="1">
        <f t="array" ref="P96">Common_InputFunctions.Utility_DisplayArrayInTable(Common_SourceData.Common_SourceData_ClimateZones_Data(), Table_SourceData_ClimateZones[[#Headers],[Climate zone]], 0)</f>
        <v>-999999</v>
      </c>
      <c r="Q96" s="19" cm="1">
        <f t="array" ref="Q96">Common_InputFunctions.Utility_DisplayArrayInTable(Common_SourceData.Common_SourceData_ClimateZones_Data(), Table_SourceData_ClimateZones[[#Headers],[Climate zone]], 0)</f>
        <v>999999</v>
      </c>
      <c r="R96" s="19" cm="1">
        <f t="array" ref="R96">Common_InputFunctions.Utility_DisplayArrayInTable(Common_SourceData.Common_SourceData_ClimateZones_Data(), Table_SourceData_ClimateZones[[#Headers],[Climate zone]], 0)</f>
        <v>1.0009999999999999</v>
      </c>
      <c r="S96" s="19" cm="1">
        <f t="array" ref="S96">Common_InputFunctions.Utility_DisplayArrayInTable(Common_SourceData.Common_SourceData_ClimateZones_Data(), Table_SourceData_ClimateZones[[#Headers],[Climate zone]], 0)</f>
        <v>999999</v>
      </c>
      <c r="T96" s="19"/>
    </row>
    <row r="97" spans="1:20" ht="20.100000000000001" customHeight="1" x14ac:dyDescent="0.2">
      <c r="A97"/>
      <c r="D97" s="19" t="str" cm="1">
        <f t="array" ref="D97">Common_InputFunctions.Utility_DisplayArrayInTable(Common_SourceData.Common_SourceData_ClimateZones_Data(), Table_SourceData_ClimateZones[[#Headers],[Climate zone]], 0)</f>
        <v>Cool temperate dry</v>
      </c>
      <c r="E97" s="19" t="str" cm="1">
        <f t="array" ref="E97">Common_InputFunctions.Utility_DisplayArrayInTable(Common_SourceData.Common_SourceData_ClimateZones_Data(), Table_SourceData_ClimateZones[[#Headers],[Climate zone]], 0)</f>
        <v>&gt; 0 C - ≤ 10 C</v>
      </c>
      <c r="F97" s="19" t="str" cm="1">
        <f t="array" ref="F97">Common_InputFunctions.Utility_DisplayArrayInTable(Common_SourceData.Common_SourceData_ClimateZones_Data(), Table_SourceData_ClimateZones[[#Headers],[Climate zone]], 0)</f>
        <v>Any</v>
      </c>
      <c r="G97" s="19" t="str" cm="1">
        <f t="array" ref="G97">Common_InputFunctions.Utility_DisplayArrayInTable(Common_SourceData.Common_SourceData_ClimateZones_Data(), Table_SourceData_ClimateZones[[#Headers],[Climate zone]], 0)</f>
        <v>Any</v>
      </c>
      <c r="H97" s="19" t="str" cm="1">
        <f t="array" ref="H97">Common_InputFunctions.Utility_DisplayArrayInTable(Common_SourceData.Common_SourceData_ClimateZones_Data(), Table_SourceData_ClimateZones[[#Headers],[Climate zone]], 0)</f>
        <v>Any</v>
      </c>
      <c r="I97" s="19" t="str" cm="1">
        <f t="array" ref="I97">Common_InputFunctions.Utility_DisplayArrayInTable(Common_SourceData.Common_SourceData_ClimateZones_Data(), Table_SourceData_ClimateZones[[#Headers],[Climate zone]], 0)</f>
        <v>≤ 1</v>
      </c>
      <c r="J97" s="19" cm="1">
        <f t="array" ref="J97">Common_InputFunctions.Utility_DisplayArrayInTable(Common_SourceData.Common_SourceData_ClimateZones_Data(), Table_SourceData_ClimateZones[[#Headers],[Climate zone]], 0)</f>
        <v>-999999</v>
      </c>
      <c r="K97" s="19" cm="1">
        <f t="array" ref="K97">Common_InputFunctions.Utility_DisplayArrayInTable(Common_SourceData.Common_SourceData_ClimateZones_Data(), Table_SourceData_ClimateZones[[#Headers],[Climate zone]], 0)</f>
        <v>10</v>
      </c>
      <c r="L97" s="19" cm="1">
        <f t="array" ref="L97">Common_InputFunctions.Utility_DisplayArrayInTable(Common_SourceData.Common_SourceData_ClimateZones_Data(), Table_SourceData_ClimateZones[[#Headers],[Climate zone]], 0)</f>
        <v>-999999</v>
      </c>
      <c r="M97" s="19" cm="1">
        <f t="array" ref="M97">Common_InputFunctions.Utility_DisplayArrayInTable(Common_SourceData.Common_SourceData_ClimateZones_Data(), Table_SourceData_ClimateZones[[#Headers],[Climate zone]], 0)</f>
        <v>999999</v>
      </c>
      <c r="N97" s="19" cm="1">
        <f t="array" ref="N97">Common_InputFunctions.Utility_DisplayArrayInTable(Common_SourceData.Common_SourceData_ClimateZones_Data(), Table_SourceData_ClimateZones[[#Headers],[Climate zone]], 0)</f>
        <v>-999999</v>
      </c>
      <c r="O97" s="19" cm="1">
        <f t="array" ref="O97">Common_InputFunctions.Utility_DisplayArrayInTable(Common_SourceData.Common_SourceData_ClimateZones_Data(), Table_SourceData_ClimateZones[[#Headers],[Climate zone]], 0)</f>
        <v>999999</v>
      </c>
      <c r="P97" s="19" cm="1">
        <f t="array" ref="P97">Common_InputFunctions.Utility_DisplayArrayInTable(Common_SourceData.Common_SourceData_ClimateZones_Data(), Table_SourceData_ClimateZones[[#Headers],[Climate zone]], 0)</f>
        <v>-999999</v>
      </c>
      <c r="Q97" s="19" cm="1">
        <f t="array" ref="Q97">Common_InputFunctions.Utility_DisplayArrayInTable(Common_SourceData.Common_SourceData_ClimateZones_Data(), Table_SourceData_ClimateZones[[#Headers],[Climate zone]], 0)</f>
        <v>999999</v>
      </c>
      <c r="R97" s="19" cm="1">
        <f t="array" ref="R97">Common_InputFunctions.Utility_DisplayArrayInTable(Common_SourceData.Common_SourceData_ClimateZones_Data(), Table_SourceData_ClimateZones[[#Headers],[Climate zone]], 0)</f>
        <v>-999999</v>
      </c>
      <c r="S97" s="19" cm="1">
        <f t="array" ref="S97">Common_InputFunctions.Utility_DisplayArrayInTable(Common_SourceData.Common_SourceData_ClimateZones_Data(), Table_SourceData_ClimateZones[[#Headers],[Climate zone]], 0)</f>
        <v>1</v>
      </c>
      <c r="T97" s="19"/>
    </row>
    <row r="98" spans="1:20" ht="20.100000000000001" customHeight="1" x14ac:dyDescent="0.2">
      <c r="A98" s="79" t="str">
        <f>HYPERLINK("#A1", "▲ Back to top")</f>
        <v>▲ Back to top</v>
      </c>
    </row>
    <row r="99" spans="1:20" ht="20.100000000000001" customHeight="1" x14ac:dyDescent="0.2">
      <c r="A99"/>
      <c r="D99" s="9" t="str" cm="1">
        <f t="array" ref="D99:D102">Common_SourceData.Common_SourceData_ClimateZones_Appendices()</f>
        <v>Note:</v>
      </c>
    </row>
    <row r="100" spans="1:20" ht="20.100000000000001" customHeight="1" x14ac:dyDescent="0.2">
      <c r="A100"/>
      <c r="D100" s="9" t="str">
        <v>MAT = mean annual temperature</v>
      </c>
    </row>
    <row r="101" spans="1:20" ht="20.100000000000001" customHeight="1" x14ac:dyDescent="0.2">
      <c r="A101"/>
      <c r="D101" s="9" t="str">
        <v>MAP = mean annual precipitation</v>
      </c>
    </row>
    <row r="102" spans="1:20" ht="20.100000000000001" customHeight="1" x14ac:dyDescent="0.2">
      <c r="A102"/>
      <c r="D102" s="9" t="str">
        <v>PET = potential evapotranspiration</v>
      </c>
    </row>
    <row r="103" spans="1:20" ht="20.100000000000001" customHeight="1" x14ac:dyDescent="0.2">
      <c r="A103"/>
      <c r="D103" s="9"/>
    </row>
    <row r="104" spans="1:20" ht="20.100000000000001" customHeight="1" x14ac:dyDescent="0.2">
      <c r="A104"/>
    </row>
    <row r="105" spans="1:20" ht="20.100000000000001" customHeight="1" x14ac:dyDescent="0.2">
      <c r="A105"/>
      <c r="D105" s="2" t="str" cm="1">
        <f t="array" ref="D105">Common_SourceData.Common_SourceData_TemperatureZones_Title()</f>
        <v>VEERG Australian temperature zones</v>
      </c>
    </row>
    <row r="106" spans="1:20" ht="20.100000000000001" customHeight="1" x14ac:dyDescent="0.2">
      <c r="A106"/>
      <c r="D106" s="17" t="str" cm="1">
        <f t="array" ref="D106">Common_SourceData.Common_SourceData_TemperatureZones_Source()</f>
        <v>VEERG 2026: Table 1.3: Climate and Rainfall zone classifications and definitions</v>
      </c>
    </row>
    <row r="107" spans="1:20" ht="20.100000000000001" customHeight="1" x14ac:dyDescent="0.2">
      <c r="A107"/>
      <c r="D107" s="25"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
      <c r="A108"/>
    </row>
    <row r="109" spans="1:20" ht="20.100000000000001" customHeight="1" x14ac:dyDescent="0.2">
      <c r="A109"/>
      <c r="D109" s="19" t="s">
        <v>48</v>
      </c>
      <c r="E109" s="19" t="s">
        <v>33</v>
      </c>
      <c r="F109" s="19" t="s">
        <v>49</v>
      </c>
      <c r="G109" s="19" t="s">
        <v>50</v>
      </c>
    </row>
    <row r="110" spans="1:20" ht="20.100000000000001" customHeight="1" x14ac:dyDescent="0.2">
      <c r="A110"/>
      <c r="D110" s="19" t="str" cm="1">
        <f t="array" ref="D110">Common_InputFunctions.Utility_DisplayArrayInTable(Common_SourceData.Common_SourceData_TemperatureZones_Data(),Table_SourceData_TemperatureZones[[#Headers],[Temperature Zone]],0)</f>
        <v>Warm</v>
      </c>
      <c r="E110" s="19" t="str" cm="1">
        <f t="array" ref="E110">Common_InputFunctions.Utility_DisplayArrayInTable(Common_SourceData.Common_SourceData_TemperatureZones_Data(),Table_SourceData_TemperatureZones[[#Headers],[Temperature Zone]],0)</f>
        <v>≥ 26 C</v>
      </c>
      <c r="F110" s="19" cm="1">
        <f t="array" ref="F110">Common_InputFunctions.Utility_DisplayArrayInTable(Common_SourceData.Common_SourceData_TemperatureZones_Data(),Table_SourceData_TemperatureZones[[#Headers],[Temperature Zone]],0)</f>
        <v>26</v>
      </c>
      <c r="G110" s="19" cm="1">
        <f t="array" ref="G110">Common_InputFunctions.Utility_DisplayArrayInTable(Common_SourceData.Common_SourceData_TemperatureZones_Data(),Table_SourceData_TemperatureZones[[#Headers],[Temperature Zone]],0)</f>
        <v>999999</v>
      </c>
    </row>
    <row r="111" spans="1:20" ht="20.100000000000001" customHeight="1" x14ac:dyDescent="0.2">
      <c r="A111"/>
      <c r="D111" s="19" t="str" cm="1">
        <f t="array" ref="D111">Common_InputFunctions.Utility_DisplayArrayInTable(Common_SourceData.Common_SourceData_TemperatureZones_Data(),Table_SourceData_TemperatureZones[[#Headers],[Temperature Zone]],0)</f>
        <v>Temperate</v>
      </c>
      <c r="E111" s="19" t="str" cm="1">
        <f t="array" ref="E111">Common_InputFunctions.Utility_DisplayArrayInTable(Common_SourceData.Common_SourceData_TemperatureZones_Data(),Table_SourceData_TemperatureZones[[#Headers],[Temperature Zone]],0)</f>
        <v>15 - 25 C</v>
      </c>
      <c r="F111" s="19" cm="1">
        <f t="array" ref="F111">Common_InputFunctions.Utility_DisplayArrayInTable(Common_SourceData.Common_SourceData_TemperatureZones_Data(),Table_SourceData_TemperatureZones[[#Headers],[Temperature Zone]],0)</f>
        <v>15</v>
      </c>
      <c r="G111" s="19" cm="1">
        <f t="array" ref="G111">Common_InputFunctions.Utility_DisplayArrayInTable(Common_SourceData.Common_SourceData_TemperatureZones_Data(),Table_SourceData_TemperatureZones[[#Headers],[Temperature Zone]],0)</f>
        <v>25.998999999999999</v>
      </c>
    </row>
    <row r="112" spans="1:20" ht="20.100000000000001" customHeight="1" x14ac:dyDescent="0.2">
      <c r="A112"/>
      <c r="D112" s="19" t="str" cm="1">
        <f t="array" ref="D112">Common_InputFunctions.Utility_DisplayArrayInTable(Common_SourceData.Common_SourceData_TemperatureZones_Data(),Table_SourceData_TemperatureZones[[#Headers],[Temperature Zone]],0)</f>
        <v>Cool</v>
      </c>
      <c r="E112" s="19" t="str" cm="1">
        <f t="array" ref="E112">Common_InputFunctions.Utility_DisplayArrayInTable(Common_SourceData.Common_SourceData_TemperatureZones_Data(),Table_SourceData_TemperatureZones[[#Headers],[Temperature Zone]],0)</f>
        <v>≤ 14 C</v>
      </c>
      <c r="F112" s="19" cm="1">
        <f t="array" ref="F112">Common_InputFunctions.Utility_DisplayArrayInTable(Common_SourceData.Common_SourceData_TemperatureZones_Data(),Table_SourceData_TemperatureZones[[#Headers],[Temperature Zone]],0)</f>
        <v>-999999</v>
      </c>
      <c r="G112" s="19" cm="1">
        <f t="array" ref="G112">Common_InputFunctions.Utility_DisplayArrayInTable(Common_SourceData.Common_SourceData_TemperatureZones_Data(),Table_SourceData_TemperatureZones[[#Headers],[Temperature Zone]],0)</f>
        <v>14.999000000000001</v>
      </c>
    </row>
    <row r="113" spans="1:66" ht="20.100000000000001" customHeight="1" x14ac:dyDescent="0.2">
      <c r="A113"/>
    </row>
    <row r="114" spans="1:66" ht="20.100000000000001" customHeight="1" x14ac:dyDescent="0.2">
      <c r="A114"/>
    </row>
    <row r="115" spans="1:66" ht="20.100000000000001" customHeight="1" x14ac:dyDescent="0.2">
      <c r="A115"/>
      <c r="D115" s="2" t="str" cm="1">
        <f t="array" ref="D115">Common_SourceData.Common_SourceData_RainfallZones_Title()</f>
        <v>VEERG Australian rainfall zones</v>
      </c>
      <c r="BN115" s="21"/>
    </row>
    <row r="116" spans="1:66" ht="20.100000000000001" customHeight="1" x14ac:dyDescent="0.2">
      <c r="A116"/>
      <c r="D116" s="17" t="str" cm="1">
        <f t="array" ref="D116">Common_SourceData.Common_SourceData_RainfallZones_Source()</f>
        <v>VEERG 2026: Table 1.3: Climate and Rainfall zone classifications and definitions</v>
      </c>
      <c r="BN116" s="21"/>
    </row>
    <row r="117" spans="1:66" ht="20.100000000000001" customHeight="1" x14ac:dyDescent="0.2">
      <c r="A117"/>
      <c r="D117" s="25" t="str" cm="1">
        <f t="array" ref="D117">"⚠️" &amp; Common_SourceData.Common_SourceData_RainfallZones_Variation()</f>
        <v>⚠️VARIATION OF SOURCE DATA: Added extra Rainfall min and Rainfall max columns to calculate zone from real rainfall data.</v>
      </c>
      <c r="BN117" s="21"/>
    </row>
    <row r="118" spans="1:66" ht="20.100000000000001" customHeight="1" x14ac:dyDescent="0.2">
      <c r="A118"/>
      <c r="BN118" s="21"/>
    </row>
    <row r="119" spans="1:66" ht="20.100000000000001" customHeight="1" x14ac:dyDescent="0.2">
      <c r="A119"/>
      <c r="D119" s="19" t="s">
        <v>51</v>
      </c>
      <c r="E119" s="19" t="s">
        <v>52</v>
      </c>
      <c r="F119" s="19" t="s">
        <v>40</v>
      </c>
      <c r="G119" s="19" t="s">
        <v>41</v>
      </c>
      <c r="BN119" s="21"/>
    </row>
    <row r="120" spans="1:66" ht="20.100000000000001" customHeight="1" x14ac:dyDescent="0.2">
      <c r="A120"/>
      <c r="D120" s="19" t="str" cm="1">
        <f t="array" ref="D120">Common_InputFunctions.Utility_DisplayArrayInTable(Common_SourceData.Common_SourceData_RainfallZones_Data(),Table_SourceData_RainfallZones[[#Headers],[Rainfall Zone]],0)</f>
        <v>High rainfall</v>
      </c>
      <c r="E120" s="19" t="str" cm="1">
        <f t="array" ref="E120">Common_InputFunctions.Utility_DisplayArrayInTable(Common_SourceData.Common_SourceData_RainfallZones_Data(),Table_SourceData_RainfallZones[[#Headers],[Rainfall Zone]],0)</f>
        <v>Annual rainfall &gt; 600mm</v>
      </c>
      <c r="F120" s="19" cm="1">
        <f t="array" ref="F120">Common_InputFunctions.Utility_DisplayArrayInTable(Common_SourceData.Common_SourceData_RainfallZones_Data(),Table_SourceData_RainfallZones[[#Headers],[Rainfall Zone]],0)</f>
        <v>600.00099999999998</v>
      </c>
      <c r="G120" s="19" cm="1">
        <f t="array" ref="G120">Common_InputFunctions.Utility_DisplayArrayInTable(Common_SourceData.Common_SourceData_RainfallZones_Data(),Table_SourceData_RainfallZones[[#Headers],[Rainfall Zone]],0)</f>
        <v>999999</v>
      </c>
      <c r="BN120" s="21"/>
    </row>
    <row r="121" spans="1:66" ht="20.100000000000001" customHeight="1" x14ac:dyDescent="0.2">
      <c r="A121"/>
      <c r="D121" s="19" t="str" cm="1">
        <f t="array" ref="D121">Common_InputFunctions.Utility_DisplayArrayInTable(Common_SourceData.Common_SourceData_RainfallZones_Data(),Table_SourceData_RainfallZones[[#Headers],[Rainfall Zone]],0)</f>
        <v>Low rainfall</v>
      </c>
      <c r="E121" s="19" t="str" cm="1">
        <f t="array" ref="E121">Common_InputFunctions.Utility_DisplayArrayInTable(Common_SourceData.Common_SourceData_RainfallZones_Data(),Table_SourceData_RainfallZones[[#Headers],[Rainfall Zone]],0)</f>
        <v>Annual rainfall ≤ 600mm</v>
      </c>
      <c r="F121" s="19" cm="1">
        <f t="array" ref="F121">Common_InputFunctions.Utility_DisplayArrayInTable(Common_SourceData.Common_SourceData_RainfallZones_Data(),Table_SourceData_RainfallZones[[#Headers],[Rainfall Zone]],0)</f>
        <v>-999999</v>
      </c>
      <c r="G121" s="19" cm="1">
        <f t="array" ref="G121">Common_InputFunctions.Utility_DisplayArrayInTable(Common_SourceData.Common_SourceData_RainfallZones_Data(),Table_SourceData_RainfallZones[[#Headers],[Rainfall Zone]],0)</f>
        <v>600</v>
      </c>
      <c r="BN121" s="21"/>
    </row>
    <row r="122" spans="1:66" ht="20.100000000000001" customHeight="1" x14ac:dyDescent="0.2">
      <c r="A122"/>
      <c r="BN122" s="21"/>
    </row>
    <row r="123" spans="1:66" ht="20.100000000000001" customHeight="1" x14ac:dyDescent="0.2">
      <c r="A123"/>
    </row>
    <row r="124" spans="1:66" ht="20.100000000000001" customHeight="1" x14ac:dyDescent="0.2">
      <c r="A124"/>
      <c r="D124" s="2" t="str" cm="1">
        <f t="array" ref="D124">Common_SourceData.Common_SourceData_LeachingZones_Title()</f>
        <v>VEERG Australian leaching zones</v>
      </c>
    </row>
    <row r="125" spans="1:66" ht="20.100000000000001" customHeight="1" x14ac:dyDescent="0.2">
      <c r="A125"/>
      <c r="D125" s="17" t="str" cm="1">
        <f t="array" ref="D125">Common_SourceData.Common_SourceData_LeachingZones_Source()</f>
        <v>VEERG 2026: Table 1.3: Climate and Rainfall zone classifications and definitions</v>
      </c>
    </row>
    <row r="126" spans="1:66" ht="20.100000000000001" customHeight="1" x14ac:dyDescent="0.2">
      <c r="A126"/>
    </row>
    <row r="127" spans="1:66" ht="20.100000000000001" customHeight="1" x14ac:dyDescent="0.2">
      <c r="A127"/>
      <c r="D127" s="19" t="s">
        <v>53</v>
      </c>
      <c r="E127" s="19" t="s">
        <v>54</v>
      </c>
    </row>
    <row r="128" spans="1:66" ht="20.100000000000001" customHeight="1" x14ac:dyDescent="0.2">
      <c r="A128" s="79" t="str">
        <f>HYPERLINK("#A1", "▲ Back to top")</f>
        <v>▲ Back to top</v>
      </c>
      <c r="D128" s="19" t="str" cm="1">
        <f t="array" ref="D128">Common_InputFunctions.Utility_DisplayArrayInTable(Common_SourceData.Common_SourceData_LeachingZones_Data(), Table_SourceData_LeachingZones[[#Headers],[Leaching Zone]], 0)</f>
        <v>Leaching occurs</v>
      </c>
      <c r="E128" s="1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
      <c r="A129"/>
      <c r="D129" s="19" t="str" cm="1">
        <f t="array" ref="D129">Common_InputFunctions.Utility_DisplayArrayInTable(Common_SourceData.Common_SourceData_LeachingZones_Data(), Table_SourceData_LeachingZones[[#Headers],[Leaching Zone]], 0)</f>
        <v>Leaching does not occur</v>
      </c>
      <c r="E129" s="1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
      <c r="A130"/>
    </row>
    <row r="131" spans="1:77" ht="20.100000000000001" customHeight="1" x14ac:dyDescent="0.2">
      <c r="A131"/>
    </row>
    <row r="132" spans="1:77" ht="20.100000000000001" customHeight="1" x14ac:dyDescent="0.2">
      <c r="A132"/>
      <c r="D132" s="2" t="str" cm="1">
        <f t="array" ref="D132">Common_SourceData.Common_SourceData_FracWET_Title()</f>
        <v>Fraction of N that is available for leaching and runoff</v>
      </c>
      <c r="E132" s="8"/>
    </row>
    <row r="133" spans="1:77" ht="20.100000000000001" customHeight="1" x14ac:dyDescent="0.2">
      <c r="A133"/>
      <c r="D133" s="17" t="str" cm="1">
        <f t="array" ref="D133">Common_SourceData.Common_SourceData_FracWET_Source()</f>
        <v>VEERG 2026:5.5.2.3 Constant Parameters</v>
      </c>
      <c r="E133" s="8"/>
    </row>
    <row r="134" spans="1:77" ht="20.100000000000001" customHeight="1" x14ac:dyDescent="0.2">
      <c r="A134"/>
      <c r="D134" t="s">
        <v>55</v>
      </c>
      <c r="E134" t="s">
        <v>56</v>
      </c>
    </row>
    <row r="135" spans="1:77" ht="20.100000000000001" customHeight="1" x14ac:dyDescent="0.2">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
      <c r="A136"/>
      <c r="D136" s="1" t="str" cm="1">
        <f t="array" ref="D136">Common_InputFunctions.Utility_DisplayArrayInTable(Common_SourceData.Common_SourceData_FracWET_Data(),Table_SourceData_FracWET[[#Headers],[Is in leaching zone]],0)</f>
        <v>No - not in leaching zone</v>
      </c>
      <c r="E136" s="19" cm="1">
        <f t="array" ref="E136">Common_InputFunctions.Utility_DisplayArrayInTable(Common_SourceData.Common_SourceData_FracWET_Data(),Table_SourceData_FracWET[[#Headers],[Is in leaching zone]],0)</f>
        <v>0</v>
      </c>
    </row>
    <row r="137" spans="1:77" ht="20.100000000000001" customHeight="1" x14ac:dyDescent="0.2">
      <c r="A137"/>
    </row>
    <row r="138" spans="1:77" ht="20.100000000000001" customHeight="1" x14ac:dyDescent="0.2">
      <c r="A138"/>
      <c r="BN138" s="21"/>
      <c r="BO138" s="21"/>
      <c r="BP138" s="21"/>
      <c r="BQ138" s="21"/>
      <c r="BR138" s="21"/>
      <c r="BS138" s="21"/>
      <c r="BT138" s="21"/>
      <c r="BU138" s="21"/>
      <c r="BV138" s="21"/>
      <c r="BW138" s="21"/>
      <c r="BX138" s="21"/>
      <c r="BY138" s="21"/>
    </row>
    <row r="139" spans="1:77" ht="20.100000000000001" customHeight="1" x14ac:dyDescent="0.2">
      <c r="A139"/>
      <c r="D139" s="2" t="str" cm="1">
        <f t="array" ref="D139">Common_SourceData.Common_SourceData_FracWETIrrigation_Title()</f>
        <v>FracWET for irrigation types</v>
      </c>
      <c r="BN139" s="21"/>
      <c r="BO139" s="21"/>
      <c r="BP139" s="21"/>
      <c r="BQ139" s="21"/>
      <c r="BR139" s="21"/>
      <c r="BS139" s="21"/>
      <c r="BT139" s="21"/>
      <c r="BU139" s="21"/>
      <c r="BV139" s="21"/>
      <c r="BW139" s="21"/>
      <c r="BX139" s="21"/>
      <c r="BY139" s="21"/>
    </row>
    <row r="140" spans="1:77" ht="20.100000000000001" customHeight="1" x14ac:dyDescent="0.2">
      <c r="A140"/>
      <c r="D140" s="17" t="str" cm="1">
        <f t="array" ref="D140">Common_SourceData.Common_SourceData_FracWETIrrigation_Source()</f>
        <v>VEERG 2026: Chapter 1, section 1.8.2 Leaching, climate and rainfall zones</v>
      </c>
      <c r="BN140" s="21"/>
      <c r="BO140" s="21"/>
      <c r="BP140" s="21"/>
      <c r="BQ140" s="21"/>
      <c r="BR140" s="21"/>
      <c r="BS140" s="21"/>
      <c r="BT140" s="21"/>
      <c r="BU140" s="21"/>
      <c r="BV140" s="21"/>
      <c r="BW140" s="21"/>
      <c r="BX140" s="21"/>
      <c r="BY140" s="21"/>
    </row>
    <row r="141" spans="1:77" ht="20.100000000000001" customHeight="1" x14ac:dyDescent="0.2">
      <c r="A141"/>
      <c r="D141" s="25" t="str" cm="1">
        <f t="array" ref="D141">Common_SourceData.Common_SourceData_FracWETIrrigation_Variation()</f>
        <v>VARIATION FROM SOURCE DATA: Table created based on VEERG text 'Areas are subject to leaching (i.e., in the leaching zone) when... the land is irrigated (except drip irrigation).'</v>
      </c>
      <c r="BN141" s="21"/>
    </row>
    <row r="142" spans="1:77" ht="20.100000000000001" customHeight="1" x14ac:dyDescent="0.2">
      <c r="A142"/>
      <c r="D142" s="19" t="s">
        <v>57</v>
      </c>
      <c r="E142" s="19" t="s">
        <v>56</v>
      </c>
      <c r="BN142" s="21"/>
    </row>
    <row r="143" spans="1:77" ht="20.100000000000001" customHeight="1" x14ac:dyDescent="0.2">
      <c r="A143"/>
      <c r="D143" s="19" t="str" cm="1">
        <f t="array" ref="D143">Common_InputFunctions.Utility_DisplayArrayInTable(Common_SourceData.Common_SourceData_FracWETIrrigation_Data(), Table_SourceData_FracWETIrrigation[[#Headers],[Irrigation type i]], 0)</f>
        <v>Not irrigated</v>
      </c>
      <c r="E143" s="19" cm="1">
        <f t="array" ref="E143">Common_InputFunctions.Utility_DisplayArrayInTable(Common_SourceData.Common_SourceData_FracWETIrrigation_Data(), Table_SourceData_FracWETIrrigation[[#Headers],[Irrigation type i]], 0)</f>
        <v>0</v>
      </c>
      <c r="BN143" s="21"/>
    </row>
    <row r="144" spans="1:77" ht="20.100000000000001" customHeight="1" x14ac:dyDescent="0.2">
      <c r="A144"/>
      <c r="D144" s="1" t="str" cm="1">
        <f t="array" ref="D144">Common_InputFunctions.Utility_DisplayArrayInTable(Common_SourceData.Common_SourceData_FracWETIrrigation_Data(), Table_SourceData_FracWETIrrigation[[#Headers],[Irrigation type i]], 0)</f>
        <v>Drip irrigation</v>
      </c>
      <c r="E144" s="19" cm="1">
        <f t="array" ref="E144">Common_InputFunctions.Utility_DisplayArrayInTable(Common_SourceData.Common_SourceData_FracWETIrrigation_Data(), Table_SourceData_FracWETIrrigation[[#Headers],[Irrigation type i]], 0)</f>
        <v>0</v>
      </c>
      <c r="BN144" s="21"/>
    </row>
    <row r="145" spans="1:66" ht="20.100000000000001" customHeight="1" x14ac:dyDescent="0.2">
      <c r="A145"/>
      <c r="D145" s="1" t="str" cm="1">
        <f t="array" ref="D145">Common_InputFunctions.Utility_DisplayArrayInTable(Common_SourceData.Common_SourceData_FracWETIrrigation_Data(), Table_SourceData_FracWETIrrigation[[#Headers],[Irrigation type i]], 0)</f>
        <v>Sprinkler irrigation</v>
      </c>
      <c r="E145" s="19" cm="1">
        <f t="array" ref="E145">Common_InputFunctions.Utility_DisplayArrayInTable(Common_SourceData.Common_SourceData_FracWETIrrigation_Data(), Table_SourceData_FracWETIrrigation[[#Headers],[Irrigation type i]], 0)</f>
        <v>1</v>
      </c>
      <c r="BN145" s="21"/>
    </row>
    <row r="146" spans="1:66" ht="20.100000000000001" customHeight="1" x14ac:dyDescent="0.2">
      <c r="A146"/>
      <c r="D146" s="1" t="str" cm="1">
        <f t="array" ref="D146">Common_InputFunctions.Utility_DisplayArrayInTable(Common_SourceData.Common_SourceData_FracWETIrrigation_Data(), Table_SourceData_FracWETIrrigation[[#Headers],[Irrigation type i]], 0)</f>
        <v>Surface irrigation</v>
      </c>
      <c r="E146" s="19" cm="1">
        <f t="array" ref="E146">Common_InputFunctions.Utility_DisplayArrayInTable(Common_SourceData.Common_SourceData_FracWETIrrigation_Data(), Table_SourceData_FracWETIrrigation[[#Headers],[Irrigation type i]], 0)</f>
        <v>1</v>
      </c>
      <c r="BN146" s="21"/>
    </row>
    <row r="147" spans="1:66" ht="20.100000000000001" customHeight="1" x14ac:dyDescent="0.2">
      <c r="A147"/>
      <c r="D147" s="1" t="str" cm="1">
        <f t="array" ref="D147">Common_InputFunctions.Utility_DisplayArrayInTable(Common_SourceData.Common_SourceData_FracWETIrrigation_Data(), Table_SourceData_FracWETIrrigation[[#Headers],[Irrigation type i]], 0)</f>
        <v>Other irrigation</v>
      </c>
      <c r="E147" s="19" cm="1">
        <f t="array" ref="E147">Common_InputFunctions.Utility_DisplayArrayInTable(Common_SourceData.Common_SourceData_FracWETIrrigation_Data(), Table_SourceData_FracWETIrrigation[[#Headers],[Irrigation type i]], 0)</f>
        <v>1</v>
      </c>
      <c r="BN147" s="21"/>
    </row>
    <row r="148" spans="1:66" ht="20.100000000000001" customHeight="1" x14ac:dyDescent="0.2">
      <c r="A148"/>
      <c r="BN148" s="21"/>
    </row>
    <row r="149" spans="1:66" ht="20.100000000000001" customHeight="1" x14ac:dyDescent="0.2">
      <c r="A149"/>
      <c r="BN149" s="21"/>
    </row>
    <row r="150" spans="1:66" ht="20.100000000000001" customHeight="1" x14ac:dyDescent="0.2">
      <c r="A150"/>
      <c r="D150" s="2" t="str" cm="1">
        <f t="array" ref="D150">Common_SourceData.Common_SourceData_DataScores_Scope3_Title()</f>
        <v>Australian data scores for scope 3</v>
      </c>
      <c r="BN150" s="21"/>
    </row>
    <row r="151" spans="1:66" ht="20.100000000000001" customHeight="1" x14ac:dyDescent="0.2">
      <c r="A151"/>
      <c r="D151" s="17" t="str" cm="1">
        <f t="array" ref="D151">Common_SourceData.Common_SourceData_DataScores_Scope3_Source()</f>
        <v>VEERG 2026: XXXXXXXX</v>
      </c>
      <c r="BN151" s="21"/>
    </row>
    <row r="152" spans="1:66" ht="20.100000000000001" customHeight="1" x14ac:dyDescent="0.2">
      <c r="A152"/>
      <c r="BN152" s="21"/>
    </row>
    <row r="153" spans="1:66" ht="20.100000000000001" customHeight="1" x14ac:dyDescent="0.2">
      <c r="A153"/>
      <c r="D153" s="19" t="s">
        <v>58</v>
      </c>
      <c r="E153" s="19" t="s">
        <v>59</v>
      </c>
      <c r="BC153" s="24"/>
      <c r="BD153" s="24"/>
      <c r="BE153" s="24"/>
      <c r="BF153" s="24"/>
      <c r="BG153" s="24"/>
      <c r="BH153" s="24"/>
      <c r="BI153" s="24"/>
      <c r="BJ153" s="24"/>
      <c r="BK153" s="24"/>
      <c r="BL153" s="24"/>
      <c r="BM153" s="24"/>
    </row>
    <row r="154" spans="1:66" ht="20.100000000000001" customHeight="1" x14ac:dyDescent="0.2">
      <c r="A154"/>
      <c r="D154" s="19" t="str" cm="1">
        <f t="array" ref="D154">Common_InputFunctions.Utility_DisplayArrayInTable(Common_SourceData.Common_SourceData_DataScores_Scope3_Data(), Table_SourceData_DataScores_Scope3[[#Headers],[Data source]], 0)</f>
        <v>International scope 3 database</v>
      </c>
      <c r="E154" s="19" cm="1">
        <f t="array" ref="E154">Common_InputFunctions.Utility_DisplayArrayInTable(Common_SourceData.Common_SourceData_DataScores_Scope3_Data(), Table_SourceData_DataScores_Scope3[[#Headers],[Data source]], 0)</f>
        <v>1</v>
      </c>
      <c r="BC154" s="24"/>
      <c r="BD154" s="24"/>
      <c r="BE154" s="24"/>
      <c r="BF154" s="24"/>
      <c r="BG154" s="24"/>
      <c r="BH154" s="24"/>
      <c r="BI154" s="24"/>
      <c r="BJ154" s="24"/>
      <c r="BK154" s="24"/>
      <c r="BL154" s="24"/>
      <c r="BM154" s="24"/>
    </row>
    <row r="155" spans="1:66" ht="20.100000000000001" customHeight="1" x14ac:dyDescent="0.2">
      <c r="A155"/>
      <c r="D155" s="19" t="str" cm="1">
        <f t="array" ref="D155">Common_InputFunctions.Utility_DisplayArrayInTable(Common_SourceData.Common_SourceData_DataScores_Scope3_Data(), Table_SourceData_DataScores_Scope3[[#Headers],[Data source]], 0)</f>
        <v>Australian scope 3 database</v>
      </c>
      <c r="E155" s="19" cm="1">
        <f t="array" ref="E155">Common_InputFunctions.Utility_DisplayArrayInTable(Common_SourceData.Common_SourceData_DataScores_Scope3_Data(), Table_SourceData_DataScores_Scope3[[#Headers],[Data source]], 0)</f>
        <v>2</v>
      </c>
      <c r="BC155" s="24"/>
      <c r="BD155" s="24"/>
      <c r="BE155" s="24"/>
      <c r="BF155" s="24"/>
      <c r="BG155" s="24"/>
      <c r="BH155" s="24"/>
      <c r="BI155" s="24"/>
      <c r="BJ155" s="24"/>
      <c r="BK155" s="24"/>
      <c r="BL155" s="24"/>
      <c r="BM155" s="24"/>
    </row>
    <row r="156" spans="1:66" ht="20.100000000000001" customHeight="1" x14ac:dyDescent="0.2">
      <c r="A156"/>
      <c r="D156" s="19" t="str" cm="1">
        <f t="array" ref="D156">Common_InputFunctions.Utility_DisplayArrayInTable(Common_SourceData.Common_SourceData_DataScores_Scope3_Data(), Table_SourceData_DataScores_Scope3[[#Headers],[Data source]], 0)</f>
        <v>State or regional scope 3 database</v>
      </c>
      <c r="E156" s="19" cm="1">
        <f t="array" ref="E156">Common_InputFunctions.Utility_DisplayArrayInTable(Common_SourceData.Common_SourceData_DataScores_Scope3_Data(), Table_SourceData_DataScores_Scope3[[#Headers],[Data source]], 0)</f>
        <v>3</v>
      </c>
    </row>
    <row r="157" spans="1:66" ht="20.100000000000001" customHeight="1" x14ac:dyDescent="0.2">
      <c r="A157"/>
      <c r="D157" s="19" t="str" cm="1">
        <f t="array" ref="D157">Common_InputFunctions.Utility_DisplayArrayInTable(Common_SourceData.Common_SourceData_DataScores_Scope3_Data(), Table_SourceData_DataScores_Scope3[[#Headers],[Data source]], 0)</f>
        <v>Emissions intensity calculated from approved method</v>
      </c>
      <c r="E157" s="19" cm="1">
        <f t="array" ref="E157">Common_InputFunctions.Utility_DisplayArrayInTable(Common_SourceData.Common_SourceData_DataScores_Scope3_Data(), Table_SourceData_DataScores_Scope3[[#Headers],[Data source]], 0)</f>
        <v>4</v>
      </c>
    </row>
    <row r="158" spans="1:66" ht="20.100000000000001" customHeight="1" x14ac:dyDescent="0.2">
      <c r="A158" s="79" t="str">
        <f>HYPERLINK("#A1", "▲ Back to top")</f>
        <v>▲ Back to top</v>
      </c>
      <c r="D158" s="19" t="str" cm="1">
        <f t="array" ref="D158">Common_InputFunctions.Utility_DisplayArrayInTable(Common_SourceData.Common_SourceData_DataScores_Scope3_Data(), Table_SourceData_DataScores_Scope3[[#Headers],[Data source]], 0)</f>
        <v>Verified credential matching ISO14067</v>
      </c>
      <c r="E158" s="19" cm="1">
        <f t="array" ref="E158">Common_InputFunctions.Utility_DisplayArrayInTable(Common_SourceData.Common_SourceData_DataScores_Scope3_Data(), Table_SourceData_DataScores_Scope3[[#Headers],[Data source]], 0)</f>
        <v>5</v>
      </c>
    </row>
    <row r="159" spans="1:66" ht="20.100000000000001" customHeight="1" x14ac:dyDescent="0.2">
      <c r="A159"/>
    </row>
    <row r="160" spans="1:66" ht="20.100000000000001" customHeight="1" x14ac:dyDescent="0.2">
      <c r="A160"/>
    </row>
    <row r="161" spans="1:68" ht="20.100000000000001" customHeight="1" x14ac:dyDescent="0.2">
      <c r="A161"/>
      <c r="D161" s="2" t="str" cm="1">
        <f t="array" ref="D161">Common_SourceData.Common_SourceData_FracLEACH_Title()</f>
        <v>Fraction of N that is available for leaching and runoff</v>
      </c>
      <c r="E161" s="8"/>
    </row>
    <row r="162" spans="1:68" ht="20.100000000000001" customHeight="1" x14ac:dyDescent="0.2">
      <c r="A162"/>
      <c r="D162" s="17" t="str" cm="1">
        <f t="array" ref="D162">Common_SourceData.Common_SourceData_FracLEACH_Source()</f>
        <v>VEERG 2026:5.5.2.3 Constant Parameters</v>
      </c>
      <c r="E162" s="8"/>
    </row>
    <row r="163" spans="1:68" ht="20.100000000000001" customHeight="1" x14ac:dyDescent="0.2">
      <c r="A163"/>
      <c r="D163" s="17" t="str" cm="1">
        <f t="array" ref="D163">Common_SourceData.Common_SourceData_FracLEACH_NIRReference()</f>
        <v>National Inventory Report Volume 1: Leaching and runoff (3.D.b.2)</v>
      </c>
      <c r="E163" s="8"/>
    </row>
    <row r="164" spans="1:68" ht="20.100000000000001" customHeight="1" x14ac:dyDescent="0.2">
      <c r="A164"/>
      <c r="D164" s="8" t="str" cm="1">
        <f t="array" ref="D164:E164">Common_SourceData.Common_SourceData_FracLEACH_Data()</f>
        <v>FracLEACH</v>
      </c>
      <c r="E164" s="8">
        <v>0.24</v>
      </c>
    </row>
    <row r="165" spans="1:68" ht="20.100000000000001" customHeight="1" x14ac:dyDescent="0.2">
      <c r="A165"/>
      <c r="BN165" s="21"/>
      <c r="BO165" s="21"/>
      <c r="BP165" s="21"/>
    </row>
    <row r="166" spans="1:68" ht="20.100000000000001" customHeight="1" x14ac:dyDescent="0.2">
      <c r="A166"/>
      <c r="BN166" s="21"/>
      <c r="BO166" s="21"/>
      <c r="BP166" s="21"/>
    </row>
    <row r="167" spans="1:68" ht="20.100000000000001" customHeight="1" x14ac:dyDescent="0.2">
      <c r="A167"/>
      <c r="D167" s="2" t="str" cm="1">
        <f t="array" ref="D167">Common_SourceData.Common_SourceData_EFleach_Title()</f>
        <v>Emission factor for nitrogen leaching and runoff</v>
      </c>
      <c r="BN167" s="21"/>
      <c r="BO167" s="21"/>
      <c r="BP167" s="21"/>
    </row>
    <row r="168" spans="1:68" ht="20.100000000000001" customHeight="1" x14ac:dyDescent="0.2">
      <c r="A168"/>
      <c r="D168" s="17" t="str" cm="1">
        <f t="array" ref="D168">Common_SourceData.Common_SourceData_EFleach_Source()</f>
        <v>VEERG 2026:5.5.2.3 Constant Parameters</v>
      </c>
      <c r="BN168" s="21"/>
      <c r="BO168" s="21"/>
      <c r="BP168" s="21"/>
    </row>
    <row r="169" spans="1:68" ht="20.100000000000001" customHeight="1" x14ac:dyDescent="0.2">
      <c r="A169"/>
      <c r="D169" s="17" t="str" cm="1">
        <f t="array" ref="D169">Common_SourceData.Common_SourceData_EFleach_NIRReference()</f>
        <v>National Inventory Report Volume 1: Equation 3.D.B_10</v>
      </c>
      <c r="BN169" s="21"/>
      <c r="BO169" s="21"/>
      <c r="BP169" s="21"/>
    </row>
    <row r="170" spans="1:68" ht="20.100000000000001" customHeight="1" x14ac:dyDescent="0.2">
      <c r="A170"/>
      <c r="D170" s="1" t="str" cm="1">
        <f t="array" ref="D170:E170">Common_SourceData.Common_SourceData_EFleach_Data()</f>
        <v>EFleach</v>
      </c>
      <c r="E170" s="1">
        <v>1.0999999999999999E-2</v>
      </c>
      <c r="BN170" s="21"/>
      <c r="BO170" s="21"/>
      <c r="BP170" s="21"/>
    </row>
    <row r="171" spans="1:68" ht="20.100000000000001" customHeight="1" x14ac:dyDescent="0.2">
      <c r="A171"/>
      <c r="BN171" s="21"/>
      <c r="BO171" s="21"/>
      <c r="BP171" s="21"/>
    </row>
    <row r="172" spans="1:68" ht="20.100000000000001" customHeight="1" x14ac:dyDescent="0.2">
      <c r="A172"/>
      <c r="BN172" s="21"/>
      <c r="BO172" s="21"/>
      <c r="BP172" s="21"/>
    </row>
    <row r="173" spans="1:68" ht="20.100000000000001" customHeight="1" x14ac:dyDescent="0.2">
      <c r="A173"/>
      <c r="D173" s="2" t="str" cm="1">
        <f t="array" ref="D173">Common_SourceData.Common_SourceData_DensityOfMethane_Title()</f>
        <v>p = density of methane</v>
      </c>
      <c r="BN173" s="21"/>
      <c r="BO173" s="21"/>
      <c r="BP173" s="21"/>
    </row>
    <row r="174" spans="1:68" ht="20.100000000000001" customHeight="1" x14ac:dyDescent="0.2">
      <c r="A174"/>
      <c r="D174" s="17" t="str" cm="1">
        <f t="array" ref="D174">Common_SourceData.Common_SourceData_DensityOfMethane_Source()</f>
        <v>National Inventory Report 2023 Volume 1: Equations 3.B.1a_2, 3.B.1c_2, 3.B.3_1, 3.B.4g_2</v>
      </c>
      <c r="BN174" s="21"/>
      <c r="BO174" s="21"/>
      <c r="BP174" s="21"/>
    </row>
    <row r="175" spans="1:68" ht="20.100000000000001" customHeight="1" x14ac:dyDescent="0.2">
      <c r="A175"/>
      <c r="D175" s="1" cm="1">
        <f t="array" ref="D175">Common_SourceData.Common_SourceData_DensityOfMethane_Data()</f>
        <v>0.6784</v>
      </c>
      <c r="E175" s="9" t="str" cm="1">
        <f t="array" ref="E175">Common_SourceData.Common_SourceData_DensityOfMethane_Unit()</f>
        <v>kg/m3</v>
      </c>
      <c r="BN175" s="21"/>
      <c r="BO175" s="21"/>
      <c r="BP175" s="21"/>
    </row>
    <row r="176" spans="1:68" ht="20.100000000000001" customHeight="1" x14ac:dyDescent="0.2">
      <c r="A176"/>
      <c r="BN176" s="21"/>
      <c r="BO176" s="21"/>
      <c r="BP176" s="21"/>
    </row>
    <row r="177" spans="1:68" ht="20.100000000000001" customHeight="1" x14ac:dyDescent="0.2">
      <c r="A177"/>
      <c r="BN177" s="21"/>
      <c r="BO177" s="21"/>
      <c r="BP177" s="21"/>
    </row>
    <row r="178" spans="1:68" ht="20.100000000000001" customHeight="1" x14ac:dyDescent="0.2">
      <c r="A178"/>
      <c r="D178" s="2" t="str" cm="1">
        <f t="array" ref="D178">Common_SourceData.Common_SourceData_EFN2O_Title()</f>
        <v>Nitrous oxide emission factors for inorganic fertiliser application</v>
      </c>
      <c r="BN178" s="21"/>
      <c r="BO178" s="21"/>
      <c r="BP178" s="21"/>
    </row>
    <row r="179" spans="1:68" ht="20.100000000000001" customHeight="1" x14ac:dyDescent="0.2">
      <c r="A179"/>
      <c r="D179" s="17" t="str" cm="1">
        <f t="array" ref="D179">Common_SourceData.Common_SourceData_EFN2O_Source()</f>
        <v>VEERG 2026: Table A.2.2.1</v>
      </c>
      <c r="BN179" s="21"/>
      <c r="BO179" s="21"/>
      <c r="BP179" s="21"/>
    </row>
    <row r="180" spans="1:68" ht="20.100000000000001" customHeight="1" x14ac:dyDescent="0.2">
      <c r="A180"/>
      <c r="D180" s="9" t="str" cm="1">
        <f t="array" ref="D180">Common_SourceData.Common_SourceData_EFN2O_Unit()</f>
        <v>(kg N2O-N / kg N</v>
      </c>
    </row>
    <row r="181" spans="1:68" ht="20.100000000000001" customHeight="1" x14ac:dyDescent="0.2">
      <c r="A181"/>
      <c r="D181" s="25" t="str" cm="1">
        <f t="array" ref="D181:D185">Common_SourceData.Common_SourceData_EFN2O_Variation()</f>
        <v>VARIATION OF SOURCE DATA:</v>
      </c>
    </row>
    <row r="182" spans="1:68" ht="20.100000000000001" customHeight="1" x14ac:dyDescent="0.2">
      <c r="A182"/>
      <c r="D182" s="25" t="str">
        <v>Removed duplicate 'Aquaculture' row.</v>
      </c>
    </row>
    <row r="183" spans="1:68" ht="20.100000000000001" customHeight="1" x14ac:dyDescent="0.2">
      <c r="A183"/>
      <c r="D183" s="25" t="str">
        <v>Removed asterisks to aid lookup.</v>
      </c>
    </row>
    <row r="184" spans="1:68" ht="20.100000000000001" customHeight="1" x14ac:dyDescent="0.2">
      <c r="A184"/>
      <c r="D184" s="25" t="str">
        <v>Added 'production system only', 'rainfall zone' and 'irrigation method' columns to aid lookup.</v>
      </c>
    </row>
    <row r="185" spans="1:68" ht="20.100000000000001" customHeight="1" x14ac:dyDescent="0.2">
      <c r="A185"/>
      <c r="D185" s="25" t="str">
        <v>Duplicated 'non-irrigated pasture' row with same EF for low and high rainfall zones to aid lookup.</v>
      </c>
    </row>
    <row r="186" spans="1:68" ht="20.100000000000001" customHeight="1" x14ac:dyDescent="0.2">
      <c r="A186"/>
      <c r="D186" s="19" t="s">
        <v>60</v>
      </c>
      <c r="E186" s="19" t="s">
        <v>61</v>
      </c>
      <c r="F186" s="19" t="s">
        <v>62</v>
      </c>
      <c r="G186" s="19" t="s">
        <v>63</v>
      </c>
      <c r="H186" s="19" t="s">
        <v>64</v>
      </c>
    </row>
    <row r="187" spans="1:68" ht="20.100000000000001" customHeight="1" x14ac:dyDescent="0.2">
      <c r="A187"/>
      <c r="D187" s="19" t="str" cm="1">
        <f t="array" ref="D187">Common_InputFunctions.Utility_DisplayArrayInTable(Common_SourceData.Common_SourceData_EFN2O_Data(), Table_SourceData_Common_EFN2O[[#Headers],[Production system j]], 0)</f>
        <v>Irrigated pasture</v>
      </c>
      <c r="E187" s="19" cm="1">
        <f t="array" ref="E187">Common_InputFunctions.Utility_DisplayArrayInTable(Common_SourceData.Common_SourceData_EFN2O_Data(), Table_SourceData_Common_EFN2O[[#Headers],[Production system j]], 0)</f>
        <v>5.8999999999999999E-3</v>
      </c>
      <c r="F187" s="19" t="str" cm="1">
        <f t="array" ref="F187">Common_InputFunctions.Utility_DisplayArrayInTable(Common_SourceData.Common_SourceData_EFN2O_Data(), Table_SourceData_Common_EFN2O[[#Headers],[Production system j]], 0)</f>
        <v>Pasture</v>
      </c>
      <c r="G187" s="19" t="str" cm="1">
        <f t="array" ref="G187">Common_InputFunctions.Utility_DisplayArrayInTable(Common_SourceData.Common_SourceData_EFN2O_Data(), Table_SourceData_Common_EFN2O[[#Headers],[Production system j]], 0)</f>
        <v>Any</v>
      </c>
      <c r="H187" s="19" t="str" cm="1">
        <f t="array" ref="H187">Common_InputFunctions.Utility_DisplayArrayInTable(Common_SourceData.Common_SourceData_EFN2O_Data(), Table_SourceData_Common_EFN2O[[#Headers],[Production system j]], 0)</f>
        <v>Any</v>
      </c>
    </row>
    <row r="188" spans="1:68" ht="20.100000000000001" customHeight="1" x14ac:dyDescent="0.2">
      <c r="A188" s="79" t="str">
        <f>HYPERLINK("#A1", "▲ Back to top")</f>
        <v>▲ Back to top</v>
      </c>
      <c r="D188" s="19" t="str" cm="1">
        <f t="array" ref="D188">Common_InputFunctions.Utility_DisplayArrayInTable(Common_SourceData.Common_SourceData_EFN2O_Data(), Table_SourceData_Common_EFN2O[[#Headers],[Production system j]], 0)</f>
        <v>Irrigated crop</v>
      </c>
      <c r="E188" s="19" cm="1">
        <f t="array" ref="E188">Common_InputFunctions.Utility_DisplayArrayInTable(Common_SourceData.Common_SourceData_EFN2O_Data(), Table_SourceData_Common_EFN2O[[#Headers],[Production system j]], 0)</f>
        <v>7.0000000000000001E-3</v>
      </c>
      <c r="F188" s="19" t="str" cm="1">
        <f t="array" ref="F188">Common_InputFunctions.Utility_DisplayArrayInTable(Common_SourceData.Common_SourceData_EFN2O_Data(), Table_SourceData_Common_EFN2O[[#Headers],[Production system j]], 0)</f>
        <v>Crop</v>
      </c>
      <c r="G188" s="19" t="str" cm="1">
        <f t="array" ref="G188">Common_InputFunctions.Utility_DisplayArrayInTable(Common_SourceData.Common_SourceData_EFN2O_Data(), Table_SourceData_Common_EFN2O[[#Headers],[Production system j]], 0)</f>
        <v>Any</v>
      </c>
      <c r="H188" s="19" t="str" cm="1">
        <f t="array" ref="H188">Common_InputFunctions.Utility_DisplayArrayInTable(Common_SourceData.Common_SourceData_EFN2O_Data(), Table_SourceData_Common_EFN2O[[#Headers],[Production system j]], 0)</f>
        <v>Any</v>
      </c>
    </row>
    <row r="189" spans="1:68" ht="20.100000000000001" customHeight="1" x14ac:dyDescent="0.2">
      <c r="A189"/>
      <c r="D189" s="19" t="str" cm="1">
        <f t="array" ref="D189">Common_InputFunctions.Utility_DisplayArrayInTable(Common_SourceData.Common_SourceData_EFN2O_Data(), Table_SourceData_Common_EFN2O[[#Headers],[Production system j]], 0)</f>
        <v>Non-irrigated pasture</v>
      </c>
      <c r="E189" s="19" cm="1">
        <f t="array" ref="E189">Common_InputFunctions.Utility_DisplayArrayInTable(Common_SourceData.Common_SourceData_EFN2O_Data(), Table_SourceData_Common_EFN2O[[#Headers],[Production system j]], 0)</f>
        <v>1.8E-3</v>
      </c>
      <c r="F189" s="19" t="str" cm="1">
        <f t="array" ref="F189">Common_InputFunctions.Utility_DisplayArrayInTable(Common_SourceData.Common_SourceData_EFN2O_Data(), Table_SourceData_Common_EFN2O[[#Headers],[Production system j]], 0)</f>
        <v>Pasture</v>
      </c>
      <c r="G189" s="19" t="str" cm="1">
        <f t="array" ref="G189">Common_InputFunctions.Utility_DisplayArrayInTable(Common_SourceData.Common_SourceData_EFN2O_Data(), Table_SourceData_Common_EFN2O[[#Headers],[Production system j]], 0)</f>
        <v>Not irrigated</v>
      </c>
      <c r="H189" s="19" t="str" cm="1">
        <f t="array" ref="H189">Common_InputFunctions.Utility_DisplayArrayInTable(Common_SourceData.Common_SourceData_EFN2O_Data(), Table_SourceData_Common_EFN2O[[#Headers],[Production system j]], 0)</f>
        <v>Low rainfall</v>
      </c>
    </row>
    <row r="190" spans="1:68" ht="20.100000000000001" customHeight="1" x14ac:dyDescent="0.2">
      <c r="A190"/>
      <c r="D190" s="19" t="str" cm="1">
        <f t="array" ref="D190">Common_InputFunctions.Utility_DisplayArrayInTable(Common_SourceData.Common_SourceData_EFN2O_Data(), Table_SourceData_Common_EFN2O[[#Headers],[Production system j]], 0)</f>
        <v>Non-irrigated pasture</v>
      </c>
      <c r="E190" s="19" cm="1">
        <f t="array" ref="E190">Common_InputFunctions.Utility_DisplayArrayInTable(Common_SourceData.Common_SourceData_EFN2O_Data(), Table_SourceData_Common_EFN2O[[#Headers],[Production system j]], 0)</f>
        <v>1.8E-3</v>
      </c>
      <c r="F190" s="19" t="str" cm="1">
        <f t="array" ref="F190">Common_InputFunctions.Utility_DisplayArrayInTable(Common_SourceData.Common_SourceData_EFN2O_Data(), Table_SourceData_Common_EFN2O[[#Headers],[Production system j]], 0)</f>
        <v>Pasture</v>
      </c>
      <c r="G190" s="19" t="str" cm="1">
        <f t="array" ref="G190">Common_InputFunctions.Utility_DisplayArrayInTable(Common_SourceData.Common_SourceData_EFN2O_Data(), Table_SourceData_Common_EFN2O[[#Headers],[Production system j]], 0)</f>
        <v>Not irrigated</v>
      </c>
      <c r="H190" s="19" t="str" cm="1">
        <f t="array" ref="H190">Common_InputFunctions.Utility_DisplayArrayInTable(Common_SourceData.Common_SourceData_EFN2O_Data(), Table_SourceData_Common_EFN2O[[#Headers],[Production system j]], 0)</f>
        <v>High rainfall</v>
      </c>
    </row>
    <row r="191" spans="1:68" ht="20.100000000000001" customHeight="1" x14ac:dyDescent="0.2">
      <c r="A191"/>
      <c r="D191" s="19" t="str" cm="1">
        <f t="array" ref="D191">Common_InputFunctions.Utility_DisplayArrayInTable(Common_SourceData.Common_SourceData_EFN2O_Data(), Table_SourceData_Common_EFN2O[[#Headers],[Production system j]], 0)</f>
        <v>Non-irrigated crop (low rainfall)</v>
      </c>
      <c r="E191" s="19" cm="1">
        <f t="array" ref="E191">Common_InputFunctions.Utility_DisplayArrayInTable(Common_SourceData.Common_SourceData_EFN2O_Data(), Table_SourceData_Common_EFN2O[[#Headers],[Production system j]], 0)</f>
        <v>2.8999999999999998E-3</v>
      </c>
      <c r="F191" s="19" t="str" cm="1">
        <f t="array" ref="F191">Common_InputFunctions.Utility_DisplayArrayInTable(Common_SourceData.Common_SourceData_EFN2O_Data(), Table_SourceData_Common_EFN2O[[#Headers],[Production system j]], 0)</f>
        <v>Crop</v>
      </c>
      <c r="G191" s="19" t="str" cm="1">
        <f t="array" ref="G191">Common_InputFunctions.Utility_DisplayArrayInTable(Common_SourceData.Common_SourceData_EFN2O_Data(), Table_SourceData_Common_EFN2O[[#Headers],[Production system j]], 0)</f>
        <v>Not irrigated</v>
      </c>
      <c r="H191" s="19" t="str" cm="1">
        <f t="array" ref="H191">Common_InputFunctions.Utility_DisplayArrayInTable(Common_SourceData.Common_SourceData_EFN2O_Data(), Table_SourceData_Common_EFN2O[[#Headers],[Production system j]], 0)</f>
        <v>Low rainfall</v>
      </c>
    </row>
    <row r="192" spans="1:68" ht="20.100000000000001" customHeight="1" x14ac:dyDescent="0.2">
      <c r="A192"/>
      <c r="D192" s="19" t="str" cm="1">
        <f t="array" ref="D192">Common_InputFunctions.Utility_DisplayArrayInTable(Common_SourceData.Common_SourceData_EFN2O_Data(), Table_SourceData_Common_EFN2O[[#Headers],[Production system j]], 0)</f>
        <v>Non-irrigated crop (high rainfall)</v>
      </c>
      <c r="E192" s="19" cm="1">
        <f t="array" ref="E192">Common_InputFunctions.Utility_DisplayArrayInTable(Common_SourceData.Common_SourceData_EFN2O_Data(), Table_SourceData_Common_EFN2O[[#Headers],[Production system j]], 0)</f>
        <v>8.0000000000000002E-3</v>
      </c>
      <c r="F192" s="19" t="str" cm="1">
        <f t="array" ref="F192">Common_InputFunctions.Utility_DisplayArrayInTable(Common_SourceData.Common_SourceData_EFN2O_Data(), Table_SourceData_Common_EFN2O[[#Headers],[Production system j]], 0)</f>
        <v>Crop</v>
      </c>
      <c r="G192" s="19" t="str" cm="1">
        <f t="array" ref="G192">Common_InputFunctions.Utility_DisplayArrayInTable(Common_SourceData.Common_SourceData_EFN2O_Data(), Table_SourceData_Common_EFN2O[[#Headers],[Production system j]], 0)</f>
        <v>Not irrigated</v>
      </c>
      <c r="H192" s="19" t="str" cm="1">
        <f t="array" ref="H192">Common_InputFunctions.Utility_DisplayArrayInTable(Common_SourceData.Common_SourceData_EFN2O_Data(), Table_SourceData_Common_EFN2O[[#Headers],[Production system j]], 0)</f>
        <v>High rainfall</v>
      </c>
    </row>
    <row r="193" spans="1:8" ht="20.100000000000001" customHeight="1" x14ac:dyDescent="0.2">
      <c r="A193"/>
      <c r="D193" s="19" t="str" cm="1">
        <f t="array" ref="D193">Common_InputFunctions.Utility_DisplayArrayInTable(Common_SourceData.Common_SourceData_EFN2O_Data(), Table_SourceData_Common_EFN2O[[#Headers],[Production system j]], 0)</f>
        <v>Sugar</v>
      </c>
      <c r="E193" s="19" cm="1">
        <f t="array" ref="E193">Common_InputFunctions.Utility_DisplayArrayInTable(Common_SourceData.Common_SourceData_EFN2O_Data(), Table_SourceData_Common_EFN2O[[#Headers],[Production system j]], 0)</f>
        <v>1.9900000000000001E-2</v>
      </c>
      <c r="F193" s="19" t="str" cm="1">
        <f t="array" ref="F193">Common_InputFunctions.Utility_DisplayArrayInTable(Common_SourceData.Common_SourceData_EFN2O_Data(), Table_SourceData_Common_EFN2O[[#Headers],[Production system j]], 0)</f>
        <v>Sugar</v>
      </c>
      <c r="G193" s="19" t="str" cm="1">
        <f t="array" ref="G193">Common_InputFunctions.Utility_DisplayArrayInTable(Common_SourceData.Common_SourceData_EFN2O_Data(), Table_SourceData_Common_EFN2O[[#Headers],[Production system j]], 0)</f>
        <v>Any</v>
      </c>
      <c r="H193" s="19" t="str" cm="1">
        <f t="array" ref="H193">Common_InputFunctions.Utility_DisplayArrayInTable(Common_SourceData.Common_SourceData_EFN2O_Data(), Table_SourceData_Common_EFN2O[[#Headers],[Production system j]], 0)</f>
        <v>Any</v>
      </c>
    </row>
    <row r="194" spans="1:8" ht="20.100000000000001" customHeight="1" x14ac:dyDescent="0.2">
      <c r="A194"/>
      <c r="D194" s="19" t="str" cm="1">
        <f t="array" ref="D194">Common_InputFunctions.Utility_DisplayArrayInTable(Common_SourceData.Common_SourceData_EFN2O_Data(), Table_SourceData_Common_EFN2O[[#Headers],[Production system j]], 0)</f>
        <v>Cotton</v>
      </c>
      <c r="E194" s="19" cm="1">
        <f t="array" ref="E194">Common_InputFunctions.Utility_DisplayArrayInTable(Common_SourceData.Common_SourceData_EFN2O_Data(), Table_SourceData_Common_EFN2O[[#Headers],[Production system j]], 0)</f>
        <v>5.3E-3</v>
      </c>
      <c r="F194" s="19" t="str" cm="1">
        <f t="array" ref="F194">Common_InputFunctions.Utility_DisplayArrayInTable(Common_SourceData.Common_SourceData_EFN2O_Data(), Table_SourceData_Common_EFN2O[[#Headers],[Production system j]], 0)</f>
        <v>Cotton</v>
      </c>
      <c r="G194" s="19" t="str" cm="1">
        <f t="array" ref="G194">Common_InputFunctions.Utility_DisplayArrayInTable(Common_SourceData.Common_SourceData_EFN2O_Data(), Table_SourceData_Common_EFN2O[[#Headers],[Production system j]], 0)</f>
        <v>Any</v>
      </c>
      <c r="H194" s="19" t="str" cm="1">
        <f t="array" ref="H194">Common_InputFunctions.Utility_DisplayArrayInTable(Common_SourceData.Common_SourceData_EFN2O_Data(), Table_SourceData_Common_EFN2O[[#Headers],[Production system j]], 0)</f>
        <v>Any</v>
      </c>
    </row>
    <row r="195" spans="1:8" ht="20.100000000000001" customHeight="1" x14ac:dyDescent="0.2">
      <c r="A195"/>
      <c r="D195" s="19" t="str" cm="1">
        <f t="array" ref="D195">Common_InputFunctions.Utility_DisplayArrayInTable(Common_SourceData.Common_SourceData_EFN2O_Data(), Table_SourceData_Common_EFN2O[[#Headers],[Production system j]], 0)</f>
        <v>Horticultural crops</v>
      </c>
      <c r="E195" s="19" cm="1">
        <f t="array" ref="E195">Common_InputFunctions.Utility_DisplayArrayInTable(Common_SourceData.Common_SourceData_EFN2O_Data(), Table_SourceData_Common_EFN2O[[#Headers],[Production system j]], 0)</f>
        <v>6.4000000000000003E-3</v>
      </c>
      <c r="F195" s="19" t="str" cm="1">
        <f t="array" ref="F195">Common_InputFunctions.Utility_DisplayArrayInTable(Common_SourceData.Common_SourceData_EFN2O_Data(), Table_SourceData_Common_EFN2O[[#Headers],[Production system j]], 0)</f>
        <v>Horticultural crops</v>
      </c>
      <c r="G195" s="19" t="str" cm="1">
        <f t="array" ref="G195">Common_InputFunctions.Utility_DisplayArrayInTable(Common_SourceData.Common_SourceData_EFN2O_Data(), Table_SourceData_Common_EFN2O[[#Headers],[Production system j]], 0)</f>
        <v>Any</v>
      </c>
      <c r="H195" s="19" t="str" cm="1">
        <f t="array" ref="H195">Common_InputFunctions.Utility_DisplayArrayInTable(Common_SourceData.Common_SourceData_EFN2O_Data(), Table_SourceData_Common_EFN2O[[#Headers],[Production system j]], 0)</f>
        <v>Any</v>
      </c>
    </row>
    <row r="196" spans="1:8" ht="20.100000000000001" customHeight="1" x14ac:dyDescent="0.2">
      <c r="A196"/>
      <c r="D196" s="19" t="str" cm="1">
        <f t="array" ref="D196">Common_InputFunctions.Utility_DisplayArrayInTable(Common_SourceData.Common_SourceData_EFN2O_Data(), Table_SourceData_Common_EFN2O[[#Headers],[Production system j]], 0)</f>
        <v>Rice (continuous flooding)</v>
      </c>
      <c r="E196" s="19" cm="1">
        <f t="array" ref="E196">Common_InputFunctions.Utility_DisplayArrayInTable(Common_SourceData.Common_SourceData_EFN2O_Data(), Table_SourceData_Common_EFN2O[[#Headers],[Production system j]], 0)</f>
        <v>3.0000000000000001E-3</v>
      </c>
      <c r="F196" s="19" t="str" cm="1">
        <f t="array" ref="F196">Common_InputFunctions.Utility_DisplayArrayInTable(Common_SourceData.Common_SourceData_EFN2O_Data(), Table_SourceData_Common_EFN2O[[#Headers],[Production system j]], 0)</f>
        <v>Rice</v>
      </c>
      <c r="G196" s="19" t="str" cm="1">
        <f t="array" ref="G196">Common_InputFunctions.Utility_DisplayArrayInTable(Common_SourceData.Common_SourceData_EFN2O_Data(), Table_SourceData_Common_EFN2O[[#Headers],[Production system j]], 0)</f>
        <v>Continuous flooding</v>
      </c>
      <c r="H196" s="19" t="str" cm="1">
        <f t="array" ref="H196">Common_InputFunctions.Utility_DisplayArrayInTable(Common_SourceData.Common_SourceData_EFN2O_Data(), Table_SourceData_Common_EFN2O[[#Headers],[Production system j]], 0)</f>
        <v>Any</v>
      </c>
    </row>
    <row r="197" spans="1:8" ht="20.100000000000001" customHeight="1" x14ac:dyDescent="0.2">
      <c r="A197"/>
      <c r="D197" s="19" t="str" cm="1">
        <f t="array" ref="D197">Common_InputFunctions.Utility_DisplayArrayInTable(Common_SourceData.Common_SourceData_EFN2O_Data(), Table_SourceData_Common_EFN2O[[#Headers],[Production system j]], 0)</f>
        <v>Rice (single and multiple drainage, or alternate wetting and drying)</v>
      </c>
      <c r="E197" s="19" cm="1">
        <f t="array" ref="E197">Common_InputFunctions.Utility_DisplayArrayInTable(Common_SourceData.Common_SourceData_EFN2O_Data(), Table_SourceData_Common_EFN2O[[#Headers],[Production system j]], 0)</f>
        <v>5.0000000000000001E-3</v>
      </c>
      <c r="F197" s="19" t="str" cm="1">
        <f t="array" ref="F197">Common_InputFunctions.Utility_DisplayArrayInTable(Common_SourceData.Common_SourceData_EFN2O_Data(), Table_SourceData_Common_EFN2O[[#Headers],[Production system j]], 0)</f>
        <v>Rice</v>
      </c>
      <c r="G197" s="19" t="str" cm="1">
        <f t="array" ref="G197">Common_InputFunctions.Utility_DisplayArrayInTable(Common_SourceData.Common_SourceData_EFN2O_Data(), Table_SourceData_Common_EFN2O[[#Headers],[Production system j]], 0)</f>
        <v>Single and multiple drainage, or alternate wetting and drying</v>
      </c>
      <c r="H197" s="19" t="str" cm="1">
        <f t="array" ref="H197">Common_InputFunctions.Utility_DisplayArrayInTable(Common_SourceData.Common_SourceData_EFN2O_Data(), Table_SourceData_Common_EFN2O[[#Headers],[Production system j]], 0)</f>
        <v>Any</v>
      </c>
    </row>
    <row r="198" spans="1:8" ht="20.100000000000001" customHeight="1" x14ac:dyDescent="0.2">
      <c r="A198"/>
      <c r="D198" s="19" t="str" cm="1">
        <f t="array" ref="D198">Common_InputFunctions.Utility_DisplayArrayInTable(Common_SourceData.Common_SourceData_EFN2O_Data(), Table_SourceData_Common_EFN2O[[#Headers],[Production system j]], 0)</f>
        <v>Aquaculture</v>
      </c>
      <c r="E198" s="19" cm="1">
        <f t="array" ref="E198">Common_InputFunctions.Utility_DisplayArrayInTable(Common_SourceData.Common_SourceData_EFN2O_Data(), Table_SourceData_Common_EFN2O[[#Headers],[Production system j]], 0)</f>
        <v>2.5999999999999999E-3</v>
      </c>
      <c r="F198" s="19" t="str" cm="1">
        <f t="array" ref="F198">Common_InputFunctions.Utility_DisplayArrayInTable(Common_SourceData.Common_SourceData_EFN2O_Data(), Table_SourceData_Common_EFN2O[[#Headers],[Production system j]], 0)</f>
        <v>Aquaculture</v>
      </c>
      <c r="G198" s="19" t="str" cm="1">
        <f t="array" ref="G198">Common_InputFunctions.Utility_DisplayArrayInTable(Common_SourceData.Common_SourceData_EFN2O_Data(), Table_SourceData_Common_EFN2O[[#Headers],[Production system j]], 0)</f>
        <v>Any</v>
      </c>
      <c r="H198" s="19" t="str" cm="1">
        <f t="array" ref="H198">Common_InputFunctions.Utility_DisplayArrayInTable(Common_SourceData.Common_SourceData_EFN2O_Data(), Table_SourceData_Common_EFN2O[[#Headers],[Production system j]], 0)</f>
        <v>Any</v>
      </c>
    </row>
    <row r="199" spans="1:8" ht="20.100000000000001" customHeight="1" x14ac:dyDescent="0.2">
      <c r="A199"/>
      <c r="D199" s="19" t="str" cm="1">
        <f t="array" ref="D199">Common_InputFunctions.Utility_DisplayArrayInTable(Common_SourceData.Common_SourceData_EFN2O_Data(), Table_SourceData_Common_EFN2O[[#Headers],[Production system j]], 0)</f>
        <v>Forestry</v>
      </c>
      <c r="E199" s="19" cm="1">
        <f t="array" ref="E199">Common_InputFunctions.Utility_DisplayArrayInTable(Common_SourceData.Common_SourceData_EFN2O_Data(), Table_SourceData_Common_EFN2O[[#Headers],[Production system j]], 0)</f>
        <v>1.8E-3</v>
      </c>
      <c r="F199" s="19" t="str" cm="1">
        <f t="array" ref="F199">Common_InputFunctions.Utility_DisplayArrayInTable(Common_SourceData.Common_SourceData_EFN2O_Data(), Table_SourceData_Common_EFN2O[[#Headers],[Production system j]], 0)</f>
        <v>Forestry</v>
      </c>
      <c r="G199" s="19" t="str" cm="1">
        <f t="array" ref="G199">Common_InputFunctions.Utility_DisplayArrayInTable(Common_SourceData.Common_SourceData_EFN2O_Data(), Table_SourceData_Common_EFN2O[[#Headers],[Production system j]], 0)</f>
        <v>Any</v>
      </c>
      <c r="H199" s="19" t="str" cm="1">
        <f t="array" ref="H199">Common_InputFunctions.Utility_DisplayArrayInTable(Common_SourceData.Common_SourceData_EFN2O_Data(), Table_SourceData_Common_EFN2O[[#Headers],[Production system j]], 0)</f>
        <v>Any</v>
      </c>
    </row>
    <row r="200" spans="1:8" ht="20.100000000000001" customHeight="1" x14ac:dyDescent="0.2">
      <c r="A200"/>
    </row>
    <row r="201" spans="1:8" ht="20.100000000000001" customHeight="1" x14ac:dyDescent="0.2">
      <c r="A201"/>
    </row>
    <row r="202" spans="1:8" ht="20.100000000000001" customHeight="1" x14ac:dyDescent="0.2">
      <c r="A202"/>
      <c r="D202" s="2" t="str" cm="1">
        <f t="array" ref="D202">Common_SourceData.Common_SourceData_EFPastureRangeAndPaddock_Title()</f>
        <v>Emission factor for urine and dung deposited on pasture, range or paddock</v>
      </c>
    </row>
    <row r="203" spans="1:8" ht="20.100000000000001" customHeight="1" x14ac:dyDescent="0.2">
      <c r="A203"/>
      <c r="D203" s="17" t="str" cm="1">
        <f t="array" ref="D203">Common_SourceData.Common_SourceData_EFPastureRangeAndPaddock_Source()</f>
        <v>VEERG 2026: Table A.2.2.2</v>
      </c>
    </row>
    <row r="204" spans="1:8" ht="20.100000000000001" customHeight="1" x14ac:dyDescent="0.2">
      <c r="A204"/>
      <c r="D204" s="25" t="str" cm="1">
        <f t="array" ref="D204">Common_SourceData.Common_SourceData_EFPastureRangeAndPaddock_Variation()</f>
        <v>VARIATION FROM SOURCE DATA: Changed 'Dry climate zones' to singular 'Dry climate zone' to aid lookup.</v>
      </c>
    </row>
    <row r="205" spans="1:8" ht="20.100000000000001" customHeight="1" x14ac:dyDescent="0.2">
      <c r="A205"/>
      <c r="D205" s="9" t="str" cm="1">
        <f t="array" ref="D205">Common_SourceData.Common_SourceData_EFPastureRangeAndPaddock_Unit()</f>
        <v>kg N2O - N / kg N</v>
      </c>
    </row>
    <row r="206" spans="1:8" ht="20.100000000000001" customHeight="1" x14ac:dyDescent="0.2">
      <c r="A206"/>
      <c r="D206" s="19" t="s">
        <v>31</v>
      </c>
      <c r="E206" s="19" t="s">
        <v>65</v>
      </c>
    </row>
    <row r="207" spans="1:8" ht="20.100000000000001" customHeight="1" x14ac:dyDescent="0.2">
      <c r="A207"/>
      <c r="D207" s="19" t="str" cm="1">
        <f t="array" ref="D207">Common_InputFunctions.Utility_DisplayArrayInTable(Common_SourceData.Common_SourceData_EFPastureRangeAndPaddock_Data(), Table_SourceData_EFPastureRangeAndPaddock[[#Headers],[Climate zone]], 0)</f>
        <v>Wet climate zone</v>
      </c>
      <c r="E207" s="19" cm="1">
        <f t="array" ref="E207">Common_InputFunctions.Utility_DisplayArrayInTable(Common_SourceData.Common_SourceData_EFPastureRangeAndPaddock_Data(), Table_SourceData_EFPastureRangeAndPaddock[[#Headers],[Climate zone]], 0)</f>
        <v>6.0000000000000001E-3</v>
      </c>
    </row>
    <row r="208" spans="1:8" ht="20.100000000000001" customHeight="1" x14ac:dyDescent="0.2">
      <c r="A208"/>
      <c r="D208" s="1" t="str" cm="1">
        <f t="array" ref="D208">Common_InputFunctions.Utility_DisplayArrayInTable(Common_SourceData.Common_SourceData_EFPastureRangeAndPaddock_Data(), Table_SourceData_EFPastureRangeAndPaddock[[#Headers],[Climate zone]], 0)</f>
        <v>Dry climate zone</v>
      </c>
      <c r="E208" s="19" cm="1">
        <f t="array" ref="E208">Common_InputFunctions.Utility_DisplayArrayInTable(Common_SourceData.Common_SourceData_EFPastureRangeAndPaddock_Data(), Table_SourceData_EFPastureRangeAndPaddock[[#Headers],[Climate zone]], 0)</f>
        <v>2E-3</v>
      </c>
    </row>
    <row r="209" spans="1:5" ht="20.100000000000001" customHeight="1" x14ac:dyDescent="0.2">
      <c r="A209"/>
    </row>
    <row r="210" spans="1:5" ht="20.100000000000001" customHeight="1" x14ac:dyDescent="0.2">
      <c r="A210"/>
    </row>
    <row r="211" spans="1:5" ht="20.100000000000001" customHeight="1" x14ac:dyDescent="0.2">
      <c r="A211"/>
      <c r="D211" s="1" t="str" cm="1">
        <f t="array" ref="D211">Common_SourceData.Common_SourceData_MonthsToSeasons_Title()</f>
        <v>Months to Seasons Mapping</v>
      </c>
    </row>
    <row r="212" spans="1:5" ht="20.100000000000001" customHeight="1" x14ac:dyDescent="0.2">
      <c r="A212"/>
      <c r="D212" s="19" t="s">
        <v>66</v>
      </c>
      <c r="E212" s="19" t="s">
        <v>67</v>
      </c>
    </row>
    <row r="213" spans="1:5" ht="20.100000000000001" customHeight="1" x14ac:dyDescent="0.2">
      <c r="A213"/>
      <c r="D213" s="19" t="str" cm="1">
        <f t="array" ref="D213">Common_InputFunctions.Utility_DisplayArrayInTable(Common_SourceData.Common_SourceData_MonthsToSeasons_Data(), Table_SourceData_Common_MonthToSeason[[#Headers],[Month]], 0)</f>
        <v>January</v>
      </c>
      <c r="E213" s="19" t="str" cm="1">
        <f t="array" ref="E213">Common_InputFunctions.Utility_DisplayArrayInTable(Common_SourceData.Common_SourceData_MonthsToSeasons_Data(), Table_SourceData_Common_MonthToSeason[[#Headers],[Month]], 0)</f>
        <v>Summer</v>
      </c>
    </row>
    <row r="214" spans="1:5" ht="20.100000000000001" customHeight="1" x14ac:dyDescent="0.2">
      <c r="A214"/>
      <c r="D214" s="1" t="str" cm="1">
        <f t="array" ref="D214">Common_InputFunctions.Utility_DisplayArrayInTable(Common_SourceData.Common_SourceData_MonthsToSeasons_Data(), Table_SourceData_Common_MonthToSeason[[#Headers],[Month]], 0)</f>
        <v>February</v>
      </c>
      <c r="E214" s="19" t="str" cm="1">
        <f t="array" ref="E214">Common_InputFunctions.Utility_DisplayArrayInTable(Common_SourceData.Common_SourceData_MonthsToSeasons_Data(), Table_SourceData_Common_MonthToSeason[[#Headers],[Month]], 0)</f>
        <v>Summer</v>
      </c>
    </row>
    <row r="215" spans="1:5" ht="20.100000000000001" customHeight="1" x14ac:dyDescent="0.2">
      <c r="A215"/>
      <c r="D215" s="1" t="str" cm="1">
        <f t="array" ref="D215">Common_InputFunctions.Utility_DisplayArrayInTable(Common_SourceData.Common_SourceData_MonthsToSeasons_Data(), Table_SourceData_Common_MonthToSeason[[#Headers],[Month]], 0)</f>
        <v>March</v>
      </c>
      <c r="E215" s="19" t="str" cm="1">
        <f t="array" ref="E215">Common_InputFunctions.Utility_DisplayArrayInTable(Common_SourceData.Common_SourceData_MonthsToSeasons_Data(), Table_SourceData_Common_MonthToSeason[[#Headers],[Month]], 0)</f>
        <v>Autumn</v>
      </c>
    </row>
    <row r="216" spans="1:5" ht="20.100000000000001" customHeight="1" x14ac:dyDescent="0.2">
      <c r="A216"/>
      <c r="D216" s="1" t="str" cm="1">
        <f t="array" ref="D216">Common_InputFunctions.Utility_DisplayArrayInTable(Common_SourceData.Common_SourceData_MonthsToSeasons_Data(), Table_SourceData_Common_MonthToSeason[[#Headers],[Month]], 0)</f>
        <v>April</v>
      </c>
      <c r="E216" s="19" t="str" cm="1">
        <f t="array" ref="E216">Common_InputFunctions.Utility_DisplayArrayInTable(Common_SourceData.Common_SourceData_MonthsToSeasons_Data(), Table_SourceData_Common_MonthToSeason[[#Headers],[Month]], 0)</f>
        <v>Autumn</v>
      </c>
    </row>
    <row r="217" spans="1:5" ht="20.100000000000001" customHeight="1" x14ac:dyDescent="0.2">
      <c r="A217"/>
      <c r="D217" s="1" t="str" cm="1">
        <f t="array" ref="D217">Common_InputFunctions.Utility_DisplayArrayInTable(Common_SourceData.Common_SourceData_MonthsToSeasons_Data(), Table_SourceData_Common_MonthToSeason[[#Headers],[Month]], 0)</f>
        <v>May</v>
      </c>
      <c r="E217" s="19" t="str" cm="1">
        <f t="array" ref="E217">Common_InputFunctions.Utility_DisplayArrayInTable(Common_SourceData.Common_SourceData_MonthsToSeasons_Data(), Table_SourceData_Common_MonthToSeason[[#Headers],[Month]], 0)</f>
        <v>Autumn</v>
      </c>
    </row>
    <row r="218" spans="1:5" ht="20.100000000000001" customHeight="1" x14ac:dyDescent="0.2">
      <c r="A218" s="79" t="str">
        <f>HYPERLINK("#A1", "▲ Back to top")</f>
        <v>▲ Back to top</v>
      </c>
      <c r="D218" s="1" t="str" cm="1">
        <f t="array" ref="D218">Common_InputFunctions.Utility_DisplayArrayInTable(Common_SourceData.Common_SourceData_MonthsToSeasons_Data(), Table_SourceData_Common_MonthToSeason[[#Headers],[Month]], 0)</f>
        <v>June</v>
      </c>
      <c r="E218" s="19" t="str" cm="1">
        <f t="array" ref="E218">Common_InputFunctions.Utility_DisplayArrayInTable(Common_SourceData.Common_SourceData_MonthsToSeasons_Data(), Table_SourceData_Common_MonthToSeason[[#Headers],[Month]], 0)</f>
        <v>Winter</v>
      </c>
    </row>
    <row r="219" spans="1:5" ht="20.100000000000001" customHeight="1" x14ac:dyDescent="0.2">
      <c r="A219"/>
      <c r="D219" s="1" t="str" cm="1">
        <f t="array" ref="D219">Common_InputFunctions.Utility_DisplayArrayInTable(Common_SourceData.Common_SourceData_MonthsToSeasons_Data(), Table_SourceData_Common_MonthToSeason[[#Headers],[Month]], 0)</f>
        <v>July</v>
      </c>
      <c r="E219" s="19" t="str" cm="1">
        <f t="array" ref="E219">Common_InputFunctions.Utility_DisplayArrayInTable(Common_SourceData.Common_SourceData_MonthsToSeasons_Data(), Table_SourceData_Common_MonthToSeason[[#Headers],[Month]], 0)</f>
        <v>Winter</v>
      </c>
    </row>
    <row r="220" spans="1:5" ht="20.100000000000001" customHeight="1" x14ac:dyDescent="0.2">
      <c r="A220"/>
      <c r="D220" s="1" t="str" cm="1">
        <f t="array" ref="D220">Common_InputFunctions.Utility_DisplayArrayInTable(Common_SourceData.Common_SourceData_MonthsToSeasons_Data(), Table_SourceData_Common_MonthToSeason[[#Headers],[Month]], 0)</f>
        <v>August</v>
      </c>
      <c r="E220" s="19" t="str" cm="1">
        <f t="array" ref="E220">Common_InputFunctions.Utility_DisplayArrayInTable(Common_SourceData.Common_SourceData_MonthsToSeasons_Data(), Table_SourceData_Common_MonthToSeason[[#Headers],[Month]], 0)</f>
        <v>Winter</v>
      </c>
    </row>
    <row r="221" spans="1:5" ht="20.100000000000001" customHeight="1" x14ac:dyDescent="0.2">
      <c r="A221"/>
      <c r="D221" s="1" t="str" cm="1">
        <f t="array" ref="D221">Common_InputFunctions.Utility_DisplayArrayInTable(Common_SourceData.Common_SourceData_MonthsToSeasons_Data(), Table_SourceData_Common_MonthToSeason[[#Headers],[Month]], 0)</f>
        <v>September</v>
      </c>
      <c r="E221" s="19" t="str" cm="1">
        <f t="array" ref="E221">Common_InputFunctions.Utility_DisplayArrayInTable(Common_SourceData.Common_SourceData_MonthsToSeasons_Data(), Table_SourceData_Common_MonthToSeason[[#Headers],[Month]], 0)</f>
        <v>Spring</v>
      </c>
    </row>
    <row r="222" spans="1:5" ht="20.100000000000001" customHeight="1" x14ac:dyDescent="0.2">
      <c r="A222"/>
      <c r="D222" s="1" t="str" cm="1">
        <f t="array" ref="D222">Common_InputFunctions.Utility_DisplayArrayInTable(Common_SourceData.Common_SourceData_MonthsToSeasons_Data(), Table_SourceData_Common_MonthToSeason[[#Headers],[Month]], 0)</f>
        <v>October</v>
      </c>
      <c r="E222" s="19" t="str" cm="1">
        <f t="array" ref="E222">Common_InputFunctions.Utility_DisplayArrayInTable(Common_SourceData.Common_SourceData_MonthsToSeasons_Data(), Table_SourceData_Common_MonthToSeason[[#Headers],[Month]], 0)</f>
        <v>Spring</v>
      </c>
    </row>
    <row r="223" spans="1:5" ht="20.100000000000001" customHeight="1" x14ac:dyDescent="0.2">
      <c r="A223"/>
      <c r="D223" s="1" t="str" cm="1">
        <f t="array" ref="D223">Common_InputFunctions.Utility_DisplayArrayInTable(Common_SourceData.Common_SourceData_MonthsToSeasons_Data(), Table_SourceData_Common_MonthToSeason[[#Headers],[Month]], 0)</f>
        <v>November</v>
      </c>
      <c r="E223" s="19" t="str" cm="1">
        <f t="array" ref="E223">Common_InputFunctions.Utility_DisplayArrayInTable(Common_SourceData.Common_SourceData_MonthsToSeasons_Data(), Table_SourceData_Common_MonthToSeason[[#Headers],[Month]], 0)</f>
        <v>Spring</v>
      </c>
    </row>
    <row r="224" spans="1:5" ht="20.100000000000001" customHeight="1" x14ac:dyDescent="0.2">
      <c r="A224"/>
      <c r="D224" s="1" t="str" cm="1">
        <f t="array" ref="D224">Common_InputFunctions.Utility_DisplayArrayInTable(Common_SourceData.Common_SourceData_MonthsToSeasons_Data(), Table_SourceData_Common_MonthToSeason[[#Headers],[Month]], 0)</f>
        <v>December</v>
      </c>
      <c r="E224" s="19" t="str" cm="1">
        <f t="array" ref="E224">Common_InputFunctions.Utility_DisplayArrayInTable(Common_SourceData.Common_SourceData_MonthsToSeasons_Data(), Table_SourceData_Common_MonthToSeason[[#Headers],[Month]], 0)</f>
        <v>Summer</v>
      </c>
    </row>
    <row r="225" spans="1:19" ht="20.100000000000001" customHeight="1" x14ac:dyDescent="0.2">
      <c r="A225"/>
    </row>
    <row r="226" spans="1:19" ht="20.100000000000001" customHeight="1" x14ac:dyDescent="0.2">
      <c r="A226"/>
    </row>
    <row r="227" spans="1:19" ht="20.100000000000001" customHeight="1" x14ac:dyDescent="0.2">
      <c r="A227"/>
      <c r="D227" s="2" t="str" cm="1">
        <f t="array" ref="D227">Common_SourceData.Common_SourceData_MCFTemperatureZone_Title()</f>
        <v>Manure Management – Methane conversion factor per temperature zone (fraction) (MCFim)</v>
      </c>
    </row>
    <row r="228" spans="1:19" ht="20.100000000000001" customHeight="1" x14ac:dyDescent="0.2">
      <c r="A228"/>
      <c r="D228" s="17" t="str" cm="1">
        <f t="array" ref="D228">Common_SourceData.Common_SourceData_MCFTemperatureZone_Source()</f>
        <v>VEERG 2026: Table A.1.8.1</v>
      </c>
    </row>
    <row r="229" spans="1:19" ht="20.100000000000001" customHeight="1" x14ac:dyDescent="0.2">
      <c r="A229"/>
      <c r="D229" s="25"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0" spans="1:19" ht="20.100000000000001" customHeight="1" x14ac:dyDescent="0.2">
      <c r="A230"/>
    </row>
    <row r="231" spans="1:19" ht="20.100000000000001" customHeight="1" x14ac:dyDescent="0.2">
      <c r="A231"/>
      <c r="D231" s="19" t="s">
        <v>68</v>
      </c>
      <c r="E231" s="19" t="s">
        <v>69</v>
      </c>
      <c r="F231" s="26" t="s">
        <v>70</v>
      </c>
      <c r="G231" s="19" t="s">
        <v>71</v>
      </c>
      <c r="H231" s="19" t="s">
        <v>72</v>
      </c>
      <c r="I231" s="19" t="s">
        <v>73</v>
      </c>
      <c r="J231" s="19" t="s">
        <v>74</v>
      </c>
      <c r="K231" s="19" t="s">
        <v>75</v>
      </c>
      <c r="L231" s="19" t="s">
        <v>76</v>
      </c>
      <c r="M231" s="19" t="s">
        <v>77</v>
      </c>
      <c r="N231" s="19" t="s">
        <v>78</v>
      </c>
      <c r="O231" s="19" t="s">
        <v>79</v>
      </c>
      <c r="P231" s="19" t="s">
        <v>80</v>
      </c>
      <c r="Q231" s="19" t="s">
        <v>81</v>
      </c>
      <c r="R231" s="19" t="s">
        <v>82</v>
      </c>
      <c r="S231" s="19" t="s">
        <v>83</v>
      </c>
    </row>
    <row r="232" spans="1:19" ht="20.100000000000001" customHeight="1" x14ac:dyDescent="0.2">
      <c r="A232"/>
      <c r="D232" s="19" t="str" cm="1">
        <f t="array" ref="D232">Common_InputFunctions.Utility_DisplayArrayInTable(Common_SourceData.Common_SourceData_MCFTemperatureZone_Data(),Table_SourceData_Common_MCFTemperatureZone[[#Headers],[Temperature zone]],0)</f>
        <v>Cool</v>
      </c>
      <c r="E232" s="19" t="str" cm="1">
        <f t="array" ref="E232">Common_InputFunctions.Utility_DisplayArrayInTable(Common_SourceData.Common_SourceData_MCFTemperatureZone_Data(),Table_SourceData_Common_MCFTemperatureZone[[#Headers],[Temperature zone]],0)</f>
        <v>≤10</v>
      </c>
      <c r="F232" s="19" cm="1">
        <f t="array" ref="F232">Common_InputFunctions.Utility_DisplayArrayInTable(Common_SourceData.Common_SourceData_MCFTemperatureZone_Data(),Table_SourceData_Common_MCFTemperatureZone[[#Headers],[Temperature zone]],0)</f>
        <v>0.66</v>
      </c>
      <c r="G232" s="19" cm="1">
        <f t="array" ref="G232">Common_InputFunctions.Utility_DisplayArrayInTable(Common_SourceData.Common_SourceData_MCFTemperatureZone_Data(),Table_SourceData_Common_MCFTemperatureZone[[#Headers],[Temperature zone]],0)</f>
        <v>0.1</v>
      </c>
      <c r="H232" s="19" cm="1">
        <f t="array" ref="H232">Common_InputFunctions.Utility_DisplayArrayInTable(Common_SourceData.Common_SourceData_MCFTemperatureZone_Data(),Table_SourceData_Common_MCFTemperatureZone[[#Headers],[Temperature zone]],0)</f>
        <v>0.1</v>
      </c>
      <c r="I232" s="19" cm="1">
        <f t="array" ref="I232">Common_InputFunctions.Utility_DisplayArrayInTable(Common_SourceData.Common_SourceData_MCFTemperatureZone_Data(),Table_SourceData_Common_MCFTemperatureZone[[#Headers],[Temperature zone]],0)</f>
        <v>1E-3</v>
      </c>
      <c r="J232" s="19" cm="1">
        <f t="array" ref="J232">Common_InputFunctions.Utility_DisplayArrayInTable(Common_SourceData.Common_SourceData_MCFTemperatureZone_Data(),Table_SourceData_Common_MCFTemperatureZone[[#Headers],[Temperature zone]],0)</f>
        <v>5.0000000000000001E-3</v>
      </c>
      <c r="K232" s="19" cm="1">
        <f t="array" ref="K232">Common_InputFunctions.Utility_DisplayArrayInTable(Common_SourceData.Common_SourceData_MCFTemperatureZone_Data(),Table_SourceData_Common_MCFTemperatureZone[[#Headers],[Temperature zone]],0)</f>
        <v>0.02</v>
      </c>
      <c r="L232" s="19" cm="1">
        <f t="array" ref="L232">Common_InputFunctions.Utility_DisplayArrayInTable(Common_SourceData.Common_SourceData_MCFTemperatureZone_Data(),Table_SourceData_Common_MCFTemperatureZone[[#Headers],[Temperature zone]],0)</f>
        <v>0.03</v>
      </c>
      <c r="M232" s="19" cm="1">
        <f t="array" ref="M232">Common_InputFunctions.Utility_DisplayArrayInTable(Common_SourceData.Common_SourceData_MCFTemperatureZone_Data(),Table_SourceData_Common_MCFTemperatureZone[[#Headers],[Temperature zone]],0)</f>
        <v>0.04</v>
      </c>
      <c r="N232" s="19" cm="1">
        <f t="array" ref="N232">Common_InputFunctions.Utility_DisplayArrayInTable(Common_SourceData.Common_SourceData_MCFTemperatureZone_Data(),Table_SourceData_Common_MCFTemperatureZone[[#Headers],[Temperature zone]],0)</f>
        <v>1.4999999999999999E-2</v>
      </c>
      <c r="O232" s="19" cm="1">
        <f t="array" ref="O232">Common_InputFunctions.Utility_DisplayArrayInTable(Common_SourceData.Common_SourceData_MCFTemperatureZone_Data(),Table_SourceData_Common_MCFTemperatureZone[[#Headers],[Temperature zone]],0)</f>
        <v>1.4999999999999999E-2</v>
      </c>
      <c r="P232" s="19" cm="1">
        <f t="array" ref="P232">Common_InputFunctions.Utility_DisplayArrayInTable(Common_SourceData.Common_SourceData_MCFTemperatureZone_Data(),Table_SourceData_Common_MCFTemperatureZone[[#Headers],[Temperature zone]],0)</f>
        <v>0</v>
      </c>
      <c r="Q232" s="19" cm="1">
        <f t="array" ref="Q232">Common_InputFunctions.Utility_DisplayArrayInTable(Common_SourceData.Common_SourceData_MCFTemperatureZone_Data(),Table_SourceData_Common_MCFTemperatureZone[[#Headers],[Temperature zone]],0)</f>
        <v>0</v>
      </c>
      <c r="R232" s="19" cm="1">
        <f t="array" ref="R232">Common_InputFunctions.Utility_DisplayArrayInTable(Common_SourceData.Common_SourceData_MCFTemperatureZone_Data(),Table_SourceData_Common_MCFTemperatureZone[[#Headers],[Temperature zone]],0)</f>
        <v>4.7000000000000002E-3</v>
      </c>
      <c r="S232" s="19" cm="1">
        <f t="array" ref="S232">Common_InputFunctions.Utility_DisplayArrayInTable(Common_SourceData.Common_SourceData_MCFTemperatureZone_Data(),Table_SourceData_Common_MCFTemperatureZone[[#Headers],[Temperature zone]],0)</f>
        <v>10</v>
      </c>
    </row>
    <row r="233" spans="1:19" ht="20.100000000000001" customHeight="1" x14ac:dyDescent="0.2">
      <c r="A233"/>
      <c r="D233" s="1" t="str" cm="1">
        <f t="array" ref="D233">Common_InputFunctions.Utility_DisplayArrayInTable(Common_SourceData.Common_SourceData_MCFTemperatureZone_Data(),Table_SourceData_Common_MCFTemperatureZone[[#Headers],[Temperature zone]],0)</f>
        <v>Cool</v>
      </c>
      <c r="E233" s="19" cm="1">
        <f t="array" ref="E233">Common_InputFunctions.Utility_DisplayArrayInTable(Common_SourceData.Common_SourceData_MCFTemperatureZone_Data(),Table_SourceData_Common_MCFTemperatureZone[[#Headers],[Temperature zone]],0)</f>
        <v>11</v>
      </c>
      <c r="F233" s="19" cm="1">
        <f t="array" ref="F233">Common_InputFunctions.Utility_DisplayArrayInTable(Common_SourceData.Common_SourceData_MCFTemperatureZone_Data(),Table_SourceData_Common_MCFTemperatureZone[[#Headers],[Temperature zone]],0)</f>
        <v>0.68</v>
      </c>
      <c r="G233" s="19" cm="1">
        <f t="array" ref="G233">Common_InputFunctions.Utility_DisplayArrayInTable(Common_SourceData.Common_SourceData_MCFTemperatureZone_Data(),Table_SourceData_Common_MCFTemperatureZone[[#Headers],[Temperature zone]],0)</f>
        <v>0.1</v>
      </c>
      <c r="H233" s="19" cm="1">
        <f t="array" ref="H233">Common_InputFunctions.Utility_DisplayArrayInTable(Common_SourceData.Common_SourceData_MCFTemperatureZone_Data(),Table_SourceData_Common_MCFTemperatureZone[[#Headers],[Temperature zone]],0)</f>
        <v>0.11</v>
      </c>
      <c r="I233" s="19" cm="1">
        <f t="array" ref="I233">Common_InputFunctions.Utility_DisplayArrayInTable(Common_SourceData.Common_SourceData_MCFTemperatureZone_Data(),Table_SourceData_Common_MCFTemperatureZone[[#Headers],[Temperature zone]],0)</f>
        <v>1E-3</v>
      </c>
      <c r="J233" s="19" cm="1">
        <f t="array" ref="J233">Common_InputFunctions.Utility_DisplayArrayInTable(Common_SourceData.Common_SourceData_MCFTemperatureZone_Data(),Table_SourceData_Common_MCFTemperatureZone[[#Headers],[Temperature zone]],0)</f>
        <v>5.0000000000000001E-3</v>
      </c>
      <c r="K233" s="19" cm="1">
        <f t="array" ref="K233">Common_InputFunctions.Utility_DisplayArrayInTable(Common_SourceData.Common_SourceData_MCFTemperatureZone_Data(),Table_SourceData_Common_MCFTemperatureZone[[#Headers],[Temperature zone]],0)</f>
        <v>0.02</v>
      </c>
      <c r="L233" s="19" cm="1">
        <f t="array" ref="L233">Common_InputFunctions.Utility_DisplayArrayInTable(Common_SourceData.Common_SourceData_MCFTemperatureZone_Data(),Table_SourceData_Common_MCFTemperatureZone[[#Headers],[Temperature zone]],0)</f>
        <v>0.03</v>
      </c>
      <c r="M233" s="19" cm="1">
        <f t="array" ref="M233">Common_InputFunctions.Utility_DisplayArrayInTable(Common_SourceData.Common_SourceData_MCFTemperatureZone_Data(),Table_SourceData_Common_MCFTemperatureZone[[#Headers],[Temperature zone]],0)</f>
        <v>0.04</v>
      </c>
      <c r="N233" s="19" cm="1">
        <f t="array" ref="N233">Common_InputFunctions.Utility_DisplayArrayInTable(Common_SourceData.Common_SourceData_MCFTemperatureZone_Data(),Table_SourceData_Common_MCFTemperatureZone[[#Headers],[Temperature zone]],0)</f>
        <v>1.4999999999999999E-2</v>
      </c>
      <c r="O233" s="19" cm="1">
        <f t="array" ref="O233">Common_InputFunctions.Utility_DisplayArrayInTable(Common_SourceData.Common_SourceData_MCFTemperatureZone_Data(),Table_SourceData_Common_MCFTemperatureZone[[#Headers],[Temperature zone]],0)</f>
        <v>1.4999999999999999E-2</v>
      </c>
      <c r="P233" s="19" cm="1">
        <f t="array" ref="P233">Common_InputFunctions.Utility_DisplayArrayInTable(Common_SourceData.Common_SourceData_MCFTemperatureZone_Data(),Table_SourceData_Common_MCFTemperatureZone[[#Headers],[Temperature zone]],0)</f>
        <v>0</v>
      </c>
      <c r="Q233" s="19" cm="1">
        <f t="array" ref="Q233">Common_InputFunctions.Utility_DisplayArrayInTable(Common_SourceData.Common_SourceData_MCFTemperatureZone_Data(),Table_SourceData_Common_MCFTemperatureZone[[#Headers],[Temperature zone]],0)</f>
        <v>0</v>
      </c>
      <c r="R233" s="19" cm="1">
        <f t="array" ref="R233">Common_InputFunctions.Utility_DisplayArrayInTable(Common_SourceData.Common_SourceData_MCFTemperatureZone_Data(),Table_SourceData_Common_MCFTemperatureZone[[#Headers],[Temperature zone]],0)</f>
        <v>4.7000000000000002E-3</v>
      </c>
      <c r="S233" s="19" cm="1">
        <f t="array" ref="S233">Common_InputFunctions.Utility_DisplayArrayInTable(Common_SourceData.Common_SourceData_MCFTemperatureZone_Data(),Table_SourceData_Common_MCFTemperatureZone[[#Headers],[Temperature zone]],0)</f>
        <v>11</v>
      </c>
    </row>
    <row r="234" spans="1:19" ht="20.100000000000001" customHeight="1" x14ac:dyDescent="0.2">
      <c r="A234"/>
      <c r="D234" s="1" t="str" cm="1">
        <f t="array" ref="D234">Common_InputFunctions.Utility_DisplayArrayInTable(Common_SourceData.Common_SourceData_MCFTemperatureZone_Data(),Table_SourceData_Common_MCFTemperatureZone[[#Headers],[Temperature zone]],0)</f>
        <v>Cool</v>
      </c>
      <c r="E234" s="19" cm="1">
        <f t="array" ref="E234">Common_InputFunctions.Utility_DisplayArrayInTable(Common_SourceData.Common_SourceData_MCFTemperatureZone_Data(),Table_SourceData_Common_MCFTemperatureZone[[#Headers],[Temperature zone]],0)</f>
        <v>12</v>
      </c>
      <c r="F234" s="19" cm="1">
        <f t="array" ref="F234">Common_InputFunctions.Utility_DisplayArrayInTable(Common_SourceData.Common_SourceData_MCFTemperatureZone_Data(),Table_SourceData_Common_MCFTemperatureZone[[#Headers],[Temperature zone]],0)</f>
        <v>0.7</v>
      </c>
      <c r="G234" s="19" cm="1">
        <f t="array" ref="G234">Common_InputFunctions.Utility_DisplayArrayInTable(Common_SourceData.Common_SourceData_MCFTemperatureZone_Data(),Table_SourceData_Common_MCFTemperatureZone[[#Headers],[Temperature zone]],0)</f>
        <v>0.1</v>
      </c>
      <c r="H234" s="19" cm="1">
        <f t="array" ref="H234">Common_InputFunctions.Utility_DisplayArrayInTable(Common_SourceData.Common_SourceData_MCFTemperatureZone_Data(),Table_SourceData_Common_MCFTemperatureZone[[#Headers],[Temperature zone]],0)</f>
        <v>0.13</v>
      </c>
      <c r="I234" s="19" cm="1">
        <f t="array" ref="I234">Common_InputFunctions.Utility_DisplayArrayInTable(Common_SourceData.Common_SourceData_MCFTemperatureZone_Data(),Table_SourceData_Common_MCFTemperatureZone[[#Headers],[Temperature zone]],0)</f>
        <v>1E-3</v>
      </c>
      <c r="J234" s="19" cm="1">
        <f t="array" ref="J234">Common_InputFunctions.Utility_DisplayArrayInTable(Common_SourceData.Common_SourceData_MCFTemperatureZone_Data(),Table_SourceData_Common_MCFTemperatureZone[[#Headers],[Temperature zone]],0)</f>
        <v>5.0000000000000001E-3</v>
      </c>
      <c r="K234" s="19" cm="1">
        <f t="array" ref="K234">Common_InputFunctions.Utility_DisplayArrayInTable(Common_SourceData.Common_SourceData_MCFTemperatureZone_Data(),Table_SourceData_Common_MCFTemperatureZone[[#Headers],[Temperature zone]],0)</f>
        <v>0.02</v>
      </c>
      <c r="L234" s="19" cm="1">
        <f t="array" ref="L234">Common_InputFunctions.Utility_DisplayArrayInTable(Common_SourceData.Common_SourceData_MCFTemperatureZone_Data(),Table_SourceData_Common_MCFTemperatureZone[[#Headers],[Temperature zone]],0)</f>
        <v>0.03</v>
      </c>
      <c r="M234" s="19" cm="1">
        <f t="array" ref="M234">Common_InputFunctions.Utility_DisplayArrayInTable(Common_SourceData.Common_SourceData_MCFTemperatureZone_Data(),Table_SourceData_Common_MCFTemperatureZone[[#Headers],[Temperature zone]],0)</f>
        <v>0.04</v>
      </c>
      <c r="N234" s="19" cm="1">
        <f t="array" ref="N234">Common_InputFunctions.Utility_DisplayArrayInTable(Common_SourceData.Common_SourceData_MCFTemperatureZone_Data(),Table_SourceData_Common_MCFTemperatureZone[[#Headers],[Temperature zone]],0)</f>
        <v>1.4999999999999999E-2</v>
      </c>
      <c r="O234" s="19" cm="1">
        <f t="array" ref="O234">Common_InputFunctions.Utility_DisplayArrayInTable(Common_SourceData.Common_SourceData_MCFTemperatureZone_Data(),Table_SourceData_Common_MCFTemperatureZone[[#Headers],[Temperature zone]],0)</f>
        <v>1.4999999999999999E-2</v>
      </c>
      <c r="P234" s="19" cm="1">
        <f t="array" ref="P234">Common_InputFunctions.Utility_DisplayArrayInTable(Common_SourceData.Common_SourceData_MCFTemperatureZone_Data(),Table_SourceData_Common_MCFTemperatureZone[[#Headers],[Temperature zone]],0)</f>
        <v>0</v>
      </c>
      <c r="Q234" s="19" cm="1">
        <f t="array" ref="Q234">Common_InputFunctions.Utility_DisplayArrayInTable(Common_SourceData.Common_SourceData_MCFTemperatureZone_Data(),Table_SourceData_Common_MCFTemperatureZone[[#Headers],[Temperature zone]],0)</f>
        <v>0</v>
      </c>
      <c r="R234" s="19" cm="1">
        <f t="array" ref="R234">Common_InputFunctions.Utility_DisplayArrayInTable(Common_SourceData.Common_SourceData_MCFTemperatureZone_Data(),Table_SourceData_Common_MCFTemperatureZone[[#Headers],[Temperature zone]],0)</f>
        <v>4.7000000000000002E-3</v>
      </c>
      <c r="S234" s="19" cm="1">
        <f t="array" ref="S234">Common_InputFunctions.Utility_DisplayArrayInTable(Common_SourceData.Common_SourceData_MCFTemperatureZone_Data(),Table_SourceData_Common_MCFTemperatureZone[[#Headers],[Temperature zone]],0)</f>
        <v>12</v>
      </c>
    </row>
    <row r="235" spans="1:19" ht="20.100000000000001" customHeight="1" x14ac:dyDescent="0.2">
      <c r="A235"/>
      <c r="D235" s="1" t="str" cm="1">
        <f t="array" ref="D235">Common_InputFunctions.Utility_DisplayArrayInTable(Common_SourceData.Common_SourceData_MCFTemperatureZone_Data(),Table_SourceData_Common_MCFTemperatureZone[[#Headers],[Temperature zone]],0)</f>
        <v>Cool</v>
      </c>
      <c r="E235" s="19" cm="1">
        <f t="array" ref="E235">Common_InputFunctions.Utility_DisplayArrayInTable(Common_SourceData.Common_SourceData_MCFTemperatureZone_Data(),Table_SourceData_Common_MCFTemperatureZone[[#Headers],[Temperature zone]],0)</f>
        <v>13</v>
      </c>
      <c r="F235" s="19" cm="1">
        <f t="array" ref="F235">Common_InputFunctions.Utility_DisplayArrayInTable(Common_SourceData.Common_SourceData_MCFTemperatureZone_Data(),Table_SourceData_Common_MCFTemperatureZone[[#Headers],[Temperature zone]],0)</f>
        <v>0.71</v>
      </c>
      <c r="G235" s="19" cm="1">
        <f t="array" ref="G235">Common_InputFunctions.Utility_DisplayArrayInTable(Common_SourceData.Common_SourceData_MCFTemperatureZone_Data(),Table_SourceData_Common_MCFTemperatureZone[[#Headers],[Temperature zone]],0)</f>
        <v>0.1</v>
      </c>
      <c r="H235" s="19" cm="1">
        <f t="array" ref="H235">Common_InputFunctions.Utility_DisplayArrayInTable(Common_SourceData.Common_SourceData_MCFTemperatureZone_Data(),Table_SourceData_Common_MCFTemperatureZone[[#Headers],[Temperature zone]],0)</f>
        <v>0.14000000000000001</v>
      </c>
      <c r="I235" s="19" cm="1">
        <f t="array" ref="I235">Common_InputFunctions.Utility_DisplayArrayInTable(Common_SourceData.Common_SourceData_MCFTemperatureZone_Data(),Table_SourceData_Common_MCFTemperatureZone[[#Headers],[Temperature zone]],0)</f>
        <v>1E-3</v>
      </c>
      <c r="J235" s="19" cm="1">
        <f t="array" ref="J235">Common_InputFunctions.Utility_DisplayArrayInTable(Common_SourceData.Common_SourceData_MCFTemperatureZone_Data(),Table_SourceData_Common_MCFTemperatureZone[[#Headers],[Temperature zone]],0)</f>
        <v>5.0000000000000001E-3</v>
      </c>
      <c r="K235" s="19" cm="1">
        <f t="array" ref="K235">Common_InputFunctions.Utility_DisplayArrayInTable(Common_SourceData.Common_SourceData_MCFTemperatureZone_Data(),Table_SourceData_Common_MCFTemperatureZone[[#Headers],[Temperature zone]],0)</f>
        <v>0.02</v>
      </c>
      <c r="L235" s="19" cm="1">
        <f t="array" ref="L235">Common_InputFunctions.Utility_DisplayArrayInTable(Common_SourceData.Common_SourceData_MCFTemperatureZone_Data(),Table_SourceData_Common_MCFTemperatureZone[[#Headers],[Temperature zone]],0)</f>
        <v>0.03</v>
      </c>
      <c r="M235" s="19" cm="1">
        <f t="array" ref="M235">Common_InputFunctions.Utility_DisplayArrayInTable(Common_SourceData.Common_SourceData_MCFTemperatureZone_Data(),Table_SourceData_Common_MCFTemperatureZone[[#Headers],[Temperature zone]],0)</f>
        <v>0.04</v>
      </c>
      <c r="N235" s="19" cm="1">
        <f t="array" ref="N235">Common_InputFunctions.Utility_DisplayArrayInTable(Common_SourceData.Common_SourceData_MCFTemperatureZone_Data(),Table_SourceData_Common_MCFTemperatureZone[[#Headers],[Temperature zone]],0)</f>
        <v>1.4999999999999999E-2</v>
      </c>
      <c r="O235" s="19" cm="1">
        <f t="array" ref="O235">Common_InputFunctions.Utility_DisplayArrayInTable(Common_SourceData.Common_SourceData_MCFTemperatureZone_Data(),Table_SourceData_Common_MCFTemperatureZone[[#Headers],[Temperature zone]],0)</f>
        <v>1.4999999999999999E-2</v>
      </c>
      <c r="P235" s="19" cm="1">
        <f t="array" ref="P235">Common_InputFunctions.Utility_DisplayArrayInTable(Common_SourceData.Common_SourceData_MCFTemperatureZone_Data(),Table_SourceData_Common_MCFTemperatureZone[[#Headers],[Temperature zone]],0)</f>
        <v>0</v>
      </c>
      <c r="Q235" s="19" cm="1">
        <f t="array" ref="Q235">Common_InputFunctions.Utility_DisplayArrayInTable(Common_SourceData.Common_SourceData_MCFTemperatureZone_Data(),Table_SourceData_Common_MCFTemperatureZone[[#Headers],[Temperature zone]],0)</f>
        <v>0</v>
      </c>
      <c r="R235" s="19" cm="1">
        <f t="array" ref="R235">Common_InputFunctions.Utility_DisplayArrayInTable(Common_SourceData.Common_SourceData_MCFTemperatureZone_Data(),Table_SourceData_Common_MCFTemperatureZone[[#Headers],[Temperature zone]],0)</f>
        <v>4.7000000000000002E-3</v>
      </c>
      <c r="S235" s="19" cm="1">
        <f t="array" ref="S235">Common_InputFunctions.Utility_DisplayArrayInTable(Common_SourceData.Common_SourceData_MCFTemperatureZone_Data(),Table_SourceData_Common_MCFTemperatureZone[[#Headers],[Temperature zone]],0)</f>
        <v>13</v>
      </c>
    </row>
    <row r="236" spans="1:19" ht="20.100000000000001" customHeight="1" x14ac:dyDescent="0.2">
      <c r="A236"/>
      <c r="D236" s="1" t="str" cm="1">
        <f t="array" ref="D236">Common_InputFunctions.Utility_DisplayArrayInTable(Common_SourceData.Common_SourceData_MCFTemperatureZone_Data(),Table_SourceData_Common_MCFTemperatureZone[[#Headers],[Temperature zone]],0)</f>
        <v>Cool</v>
      </c>
      <c r="E236" s="19" cm="1">
        <f t="array" ref="E236">Common_InputFunctions.Utility_DisplayArrayInTable(Common_SourceData.Common_SourceData_MCFTemperatureZone_Data(),Table_SourceData_Common_MCFTemperatureZone[[#Headers],[Temperature zone]],0)</f>
        <v>14</v>
      </c>
      <c r="F236" s="19" cm="1">
        <f t="array" ref="F236">Common_InputFunctions.Utility_DisplayArrayInTable(Common_SourceData.Common_SourceData_MCFTemperatureZone_Data(),Table_SourceData_Common_MCFTemperatureZone[[#Headers],[Temperature zone]],0)</f>
        <v>0.73</v>
      </c>
      <c r="G236" s="19" cm="1">
        <f t="array" ref="G236">Common_InputFunctions.Utility_DisplayArrayInTable(Common_SourceData.Common_SourceData_MCFTemperatureZone_Data(),Table_SourceData_Common_MCFTemperatureZone[[#Headers],[Temperature zone]],0)</f>
        <v>0.1</v>
      </c>
      <c r="H236" s="19" cm="1">
        <f t="array" ref="H236">Common_InputFunctions.Utility_DisplayArrayInTable(Common_SourceData.Common_SourceData_MCFTemperatureZone_Data(),Table_SourceData_Common_MCFTemperatureZone[[#Headers],[Temperature zone]],0)</f>
        <v>0.15</v>
      </c>
      <c r="I236" s="19" cm="1">
        <f t="array" ref="I236">Common_InputFunctions.Utility_DisplayArrayInTable(Common_SourceData.Common_SourceData_MCFTemperatureZone_Data(),Table_SourceData_Common_MCFTemperatureZone[[#Headers],[Temperature zone]],0)</f>
        <v>1E-3</v>
      </c>
      <c r="J236" s="19" cm="1">
        <f t="array" ref="J236">Common_InputFunctions.Utility_DisplayArrayInTable(Common_SourceData.Common_SourceData_MCFTemperatureZone_Data(),Table_SourceData_Common_MCFTemperatureZone[[#Headers],[Temperature zone]],0)</f>
        <v>5.0000000000000001E-3</v>
      </c>
      <c r="K236" s="19" cm="1">
        <f t="array" ref="K236">Common_InputFunctions.Utility_DisplayArrayInTable(Common_SourceData.Common_SourceData_MCFTemperatureZone_Data(),Table_SourceData_Common_MCFTemperatureZone[[#Headers],[Temperature zone]],0)</f>
        <v>0.02</v>
      </c>
      <c r="L236" s="19" cm="1">
        <f t="array" ref="L236">Common_InputFunctions.Utility_DisplayArrayInTable(Common_SourceData.Common_SourceData_MCFTemperatureZone_Data(),Table_SourceData_Common_MCFTemperatureZone[[#Headers],[Temperature zone]],0)</f>
        <v>0.03</v>
      </c>
      <c r="M236" s="19" cm="1">
        <f t="array" ref="M236">Common_InputFunctions.Utility_DisplayArrayInTable(Common_SourceData.Common_SourceData_MCFTemperatureZone_Data(),Table_SourceData_Common_MCFTemperatureZone[[#Headers],[Temperature zone]],0)</f>
        <v>0.04</v>
      </c>
      <c r="N236" s="19" cm="1">
        <f t="array" ref="N236">Common_InputFunctions.Utility_DisplayArrayInTable(Common_SourceData.Common_SourceData_MCFTemperatureZone_Data(),Table_SourceData_Common_MCFTemperatureZone[[#Headers],[Temperature zone]],0)</f>
        <v>1.4999999999999999E-2</v>
      </c>
      <c r="O236" s="19" cm="1">
        <f t="array" ref="O236">Common_InputFunctions.Utility_DisplayArrayInTable(Common_SourceData.Common_SourceData_MCFTemperatureZone_Data(),Table_SourceData_Common_MCFTemperatureZone[[#Headers],[Temperature zone]],0)</f>
        <v>1.4999999999999999E-2</v>
      </c>
      <c r="P236" s="19" cm="1">
        <f t="array" ref="P236">Common_InputFunctions.Utility_DisplayArrayInTable(Common_SourceData.Common_SourceData_MCFTemperatureZone_Data(),Table_SourceData_Common_MCFTemperatureZone[[#Headers],[Temperature zone]],0)</f>
        <v>0</v>
      </c>
      <c r="Q236" s="19" cm="1">
        <f t="array" ref="Q236">Common_InputFunctions.Utility_DisplayArrayInTable(Common_SourceData.Common_SourceData_MCFTemperatureZone_Data(),Table_SourceData_Common_MCFTemperatureZone[[#Headers],[Temperature zone]],0)</f>
        <v>0</v>
      </c>
      <c r="R236" s="19" cm="1">
        <f t="array" ref="R236">Common_InputFunctions.Utility_DisplayArrayInTable(Common_SourceData.Common_SourceData_MCFTemperatureZone_Data(),Table_SourceData_Common_MCFTemperatureZone[[#Headers],[Temperature zone]],0)</f>
        <v>4.7000000000000002E-3</v>
      </c>
      <c r="S236" s="19" cm="1">
        <f t="array" ref="S236">Common_InputFunctions.Utility_DisplayArrayInTable(Common_SourceData.Common_SourceData_MCFTemperatureZone_Data(),Table_SourceData_Common_MCFTemperatureZone[[#Headers],[Temperature zone]],0)</f>
        <v>14</v>
      </c>
    </row>
    <row r="237" spans="1:19" ht="20.100000000000001" customHeight="1" x14ac:dyDescent="0.2">
      <c r="A237"/>
      <c r="D237" s="1" t="str" cm="1">
        <f t="array" ref="D237">Common_InputFunctions.Utility_DisplayArrayInTable(Common_SourceData.Common_SourceData_MCFTemperatureZone_Data(),Table_SourceData_Common_MCFTemperatureZone[[#Headers],[Temperature zone]],0)</f>
        <v>Temperate</v>
      </c>
      <c r="E237" s="19" cm="1">
        <f t="array" ref="E237">Common_InputFunctions.Utility_DisplayArrayInTable(Common_SourceData.Common_SourceData_MCFTemperatureZone_Data(),Table_SourceData_Common_MCFTemperatureZone[[#Headers],[Temperature zone]],0)</f>
        <v>15</v>
      </c>
      <c r="F237" s="19" cm="1">
        <f t="array" ref="F237">Common_InputFunctions.Utility_DisplayArrayInTable(Common_SourceData.Common_SourceData_MCFTemperatureZone_Data(),Table_SourceData_Common_MCFTemperatureZone[[#Headers],[Temperature zone]],0)</f>
        <v>0.74</v>
      </c>
      <c r="G237" s="19" cm="1">
        <f t="array" ref="G237">Common_InputFunctions.Utility_DisplayArrayInTable(Common_SourceData.Common_SourceData_MCFTemperatureZone_Data(),Table_SourceData_Common_MCFTemperatureZone[[#Headers],[Temperature zone]],0)</f>
        <v>0.1</v>
      </c>
      <c r="H237" s="19" cm="1">
        <f t="array" ref="H237">Common_InputFunctions.Utility_DisplayArrayInTable(Common_SourceData.Common_SourceData_MCFTemperatureZone_Data(),Table_SourceData_Common_MCFTemperatureZone[[#Headers],[Temperature zone]],0)</f>
        <v>0.17</v>
      </c>
      <c r="I237" s="19" cm="1">
        <f t="array" ref="I237">Common_InputFunctions.Utility_DisplayArrayInTable(Common_SourceData.Common_SourceData_MCFTemperatureZone_Data(),Table_SourceData_Common_MCFTemperatureZone[[#Headers],[Temperature zone]],0)</f>
        <v>5.0000000000000001E-3</v>
      </c>
      <c r="J237" s="19" cm="1">
        <f t="array" ref="J237">Common_InputFunctions.Utility_DisplayArrayInTable(Common_SourceData.Common_SourceData_MCFTemperatureZone_Data(),Table_SourceData_Common_MCFTemperatureZone[[#Headers],[Temperature zone]],0)</f>
        <v>0.01</v>
      </c>
      <c r="K237" s="19" cm="1">
        <f t="array" ref="K237">Common_InputFunctions.Utility_DisplayArrayInTable(Common_SourceData.Common_SourceData_MCFTemperatureZone_Data(),Table_SourceData_Common_MCFTemperatureZone[[#Headers],[Temperature zone]],0)</f>
        <v>0.02</v>
      </c>
      <c r="L237" s="19" cm="1">
        <f t="array" ref="L237">Common_InputFunctions.Utility_DisplayArrayInTable(Common_SourceData.Common_SourceData_MCFTemperatureZone_Data(),Table_SourceData_Common_MCFTemperatureZone[[#Headers],[Temperature zone]],0)</f>
        <v>0.03</v>
      </c>
      <c r="M237" s="19" cm="1">
        <f t="array" ref="M237">Common_InputFunctions.Utility_DisplayArrayInTable(Common_SourceData.Common_SourceData_MCFTemperatureZone_Data(),Table_SourceData_Common_MCFTemperatureZone[[#Headers],[Temperature zone]],0)</f>
        <v>0.04</v>
      </c>
      <c r="N237" s="19" cm="1">
        <f t="array" ref="N237">Common_InputFunctions.Utility_DisplayArrayInTable(Common_SourceData.Common_SourceData_MCFTemperatureZone_Data(),Table_SourceData_Common_MCFTemperatureZone[[#Headers],[Temperature zone]],0)</f>
        <v>1.4999999999999999E-2</v>
      </c>
      <c r="O237" s="19" cm="1">
        <f t="array" ref="O237">Common_InputFunctions.Utility_DisplayArrayInTable(Common_SourceData.Common_SourceData_MCFTemperatureZone_Data(),Table_SourceData_Common_MCFTemperatureZone[[#Headers],[Temperature zone]],0)</f>
        <v>1.4999999999999999E-2</v>
      </c>
      <c r="P237" s="19" cm="1">
        <f t="array" ref="P237">Common_InputFunctions.Utility_DisplayArrayInTable(Common_SourceData.Common_SourceData_MCFTemperatureZone_Data(),Table_SourceData_Common_MCFTemperatureZone[[#Headers],[Temperature zone]],0)</f>
        <v>0</v>
      </c>
      <c r="Q237" s="19" cm="1">
        <f t="array" ref="Q237">Common_InputFunctions.Utility_DisplayArrayInTable(Common_SourceData.Common_SourceData_MCFTemperatureZone_Data(),Table_SourceData_Common_MCFTemperatureZone[[#Headers],[Temperature zone]],0)</f>
        <v>0</v>
      </c>
      <c r="R237" s="19" cm="1">
        <f t="array" ref="R237">Common_InputFunctions.Utility_DisplayArrayInTable(Common_SourceData.Common_SourceData_MCFTemperatureZone_Data(),Table_SourceData_Common_MCFTemperatureZone[[#Headers],[Temperature zone]],0)</f>
        <v>4.7000000000000002E-3</v>
      </c>
      <c r="S237" s="19" cm="1">
        <f t="array" ref="S237">Common_InputFunctions.Utility_DisplayArrayInTable(Common_SourceData.Common_SourceData_MCFTemperatureZone_Data(),Table_SourceData_Common_MCFTemperatureZone[[#Headers],[Temperature zone]],0)</f>
        <v>15</v>
      </c>
    </row>
    <row r="238" spans="1:19" ht="20.100000000000001" customHeight="1" x14ac:dyDescent="0.2">
      <c r="A238"/>
      <c r="D238" s="1" t="str" cm="1">
        <f t="array" ref="D238">Common_InputFunctions.Utility_DisplayArrayInTable(Common_SourceData.Common_SourceData_MCFTemperatureZone_Data(),Table_SourceData_Common_MCFTemperatureZone[[#Headers],[Temperature zone]],0)</f>
        <v>Temperate</v>
      </c>
      <c r="E238" s="19" cm="1">
        <f t="array" ref="E238">Common_InputFunctions.Utility_DisplayArrayInTable(Common_SourceData.Common_SourceData_MCFTemperatureZone_Data(),Table_SourceData_Common_MCFTemperatureZone[[#Headers],[Temperature zone]],0)</f>
        <v>16</v>
      </c>
      <c r="F238" s="19" cm="1">
        <f t="array" ref="F238">Common_InputFunctions.Utility_DisplayArrayInTable(Common_SourceData.Common_SourceData_MCFTemperatureZone_Data(),Table_SourceData_Common_MCFTemperatureZone[[#Headers],[Temperature zone]],0)</f>
        <v>0.75</v>
      </c>
      <c r="G238" s="19" cm="1">
        <f t="array" ref="G238">Common_InputFunctions.Utility_DisplayArrayInTable(Common_SourceData.Common_SourceData_MCFTemperatureZone_Data(),Table_SourceData_Common_MCFTemperatureZone[[#Headers],[Temperature zone]],0)</f>
        <v>0.1</v>
      </c>
      <c r="H238" s="19" cm="1">
        <f t="array" ref="H238">Common_InputFunctions.Utility_DisplayArrayInTable(Common_SourceData.Common_SourceData_MCFTemperatureZone_Data(),Table_SourceData_Common_MCFTemperatureZone[[#Headers],[Temperature zone]],0)</f>
        <v>0.18</v>
      </c>
      <c r="I238" s="19" cm="1">
        <f t="array" ref="I238">Common_InputFunctions.Utility_DisplayArrayInTable(Common_SourceData.Common_SourceData_MCFTemperatureZone_Data(),Table_SourceData_Common_MCFTemperatureZone[[#Headers],[Temperature zone]],0)</f>
        <v>5.0000000000000001E-3</v>
      </c>
      <c r="J238" s="19" cm="1">
        <f t="array" ref="J238">Common_InputFunctions.Utility_DisplayArrayInTable(Common_SourceData.Common_SourceData_MCFTemperatureZone_Data(),Table_SourceData_Common_MCFTemperatureZone[[#Headers],[Temperature zone]],0)</f>
        <v>0.01</v>
      </c>
      <c r="K238" s="19" cm="1">
        <f t="array" ref="K238">Common_InputFunctions.Utility_DisplayArrayInTable(Common_SourceData.Common_SourceData_MCFTemperatureZone_Data(),Table_SourceData_Common_MCFTemperatureZone[[#Headers],[Temperature zone]],0)</f>
        <v>0.02</v>
      </c>
      <c r="L238" s="19" cm="1">
        <f t="array" ref="L238">Common_InputFunctions.Utility_DisplayArrayInTable(Common_SourceData.Common_SourceData_MCFTemperatureZone_Data(),Table_SourceData_Common_MCFTemperatureZone[[#Headers],[Temperature zone]],0)</f>
        <v>0.03</v>
      </c>
      <c r="M238" s="19" cm="1">
        <f t="array" ref="M238">Common_InputFunctions.Utility_DisplayArrayInTable(Common_SourceData.Common_SourceData_MCFTemperatureZone_Data(),Table_SourceData_Common_MCFTemperatureZone[[#Headers],[Temperature zone]],0)</f>
        <v>0.04</v>
      </c>
      <c r="N238" s="19" cm="1">
        <f t="array" ref="N238">Common_InputFunctions.Utility_DisplayArrayInTable(Common_SourceData.Common_SourceData_MCFTemperatureZone_Data(),Table_SourceData_Common_MCFTemperatureZone[[#Headers],[Temperature zone]],0)</f>
        <v>1.4999999999999999E-2</v>
      </c>
      <c r="O238" s="19" cm="1">
        <f t="array" ref="O238">Common_InputFunctions.Utility_DisplayArrayInTable(Common_SourceData.Common_SourceData_MCFTemperatureZone_Data(),Table_SourceData_Common_MCFTemperatureZone[[#Headers],[Temperature zone]],0)</f>
        <v>1.4999999999999999E-2</v>
      </c>
      <c r="P238" s="19" cm="1">
        <f t="array" ref="P238">Common_InputFunctions.Utility_DisplayArrayInTable(Common_SourceData.Common_SourceData_MCFTemperatureZone_Data(),Table_SourceData_Common_MCFTemperatureZone[[#Headers],[Temperature zone]],0)</f>
        <v>0</v>
      </c>
      <c r="Q238" s="19" cm="1">
        <f t="array" ref="Q238">Common_InputFunctions.Utility_DisplayArrayInTable(Common_SourceData.Common_SourceData_MCFTemperatureZone_Data(),Table_SourceData_Common_MCFTemperatureZone[[#Headers],[Temperature zone]],0)</f>
        <v>0</v>
      </c>
      <c r="R238" s="19" cm="1">
        <f t="array" ref="R238">Common_InputFunctions.Utility_DisplayArrayInTable(Common_SourceData.Common_SourceData_MCFTemperatureZone_Data(),Table_SourceData_Common_MCFTemperatureZone[[#Headers],[Temperature zone]],0)</f>
        <v>4.7000000000000002E-3</v>
      </c>
      <c r="S238" s="19" cm="1">
        <f t="array" ref="S238">Common_InputFunctions.Utility_DisplayArrayInTable(Common_SourceData.Common_SourceData_MCFTemperatureZone_Data(),Table_SourceData_Common_MCFTemperatureZone[[#Headers],[Temperature zone]],0)</f>
        <v>16</v>
      </c>
    </row>
    <row r="239" spans="1:19" ht="20.100000000000001" customHeight="1" x14ac:dyDescent="0.2">
      <c r="A239"/>
      <c r="D239" s="1" t="str" cm="1">
        <f t="array" ref="D239">Common_InputFunctions.Utility_DisplayArrayInTable(Common_SourceData.Common_SourceData_MCFTemperatureZone_Data(),Table_SourceData_Common_MCFTemperatureZone[[#Headers],[Temperature zone]],0)</f>
        <v>Temperate</v>
      </c>
      <c r="E239" s="19" cm="1">
        <f t="array" ref="E239">Common_InputFunctions.Utility_DisplayArrayInTable(Common_SourceData.Common_SourceData_MCFTemperatureZone_Data(),Table_SourceData_Common_MCFTemperatureZone[[#Headers],[Temperature zone]],0)</f>
        <v>17</v>
      </c>
      <c r="F239" s="19" cm="1">
        <f t="array" ref="F239">Common_InputFunctions.Utility_DisplayArrayInTable(Common_SourceData.Common_SourceData_MCFTemperatureZone_Data(),Table_SourceData_Common_MCFTemperatureZone[[#Headers],[Temperature zone]],0)</f>
        <v>0.76</v>
      </c>
      <c r="G239" s="19" cm="1">
        <f t="array" ref="G239">Common_InputFunctions.Utility_DisplayArrayInTable(Common_SourceData.Common_SourceData_MCFTemperatureZone_Data(),Table_SourceData_Common_MCFTemperatureZone[[#Headers],[Temperature zone]],0)</f>
        <v>0.1</v>
      </c>
      <c r="H239" s="19" cm="1">
        <f t="array" ref="H239">Common_InputFunctions.Utility_DisplayArrayInTable(Common_SourceData.Common_SourceData_MCFTemperatureZone_Data(),Table_SourceData_Common_MCFTemperatureZone[[#Headers],[Temperature zone]],0)</f>
        <v>0.2</v>
      </c>
      <c r="I239" s="19" cm="1">
        <f t="array" ref="I239">Common_InputFunctions.Utility_DisplayArrayInTable(Common_SourceData.Common_SourceData_MCFTemperatureZone_Data(),Table_SourceData_Common_MCFTemperatureZone[[#Headers],[Temperature zone]],0)</f>
        <v>5.0000000000000001E-3</v>
      </c>
      <c r="J239" s="19" cm="1">
        <f t="array" ref="J239">Common_InputFunctions.Utility_DisplayArrayInTable(Common_SourceData.Common_SourceData_MCFTemperatureZone_Data(),Table_SourceData_Common_MCFTemperatureZone[[#Headers],[Temperature zone]],0)</f>
        <v>0.01</v>
      </c>
      <c r="K239" s="19" cm="1">
        <f t="array" ref="K239">Common_InputFunctions.Utility_DisplayArrayInTable(Common_SourceData.Common_SourceData_MCFTemperatureZone_Data(),Table_SourceData_Common_MCFTemperatureZone[[#Headers],[Temperature zone]],0)</f>
        <v>0.02</v>
      </c>
      <c r="L239" s="19" cm="1">
        <f t="array" ref="L239">Common_InputFunctions.Utility_DisplayArrayInTable(Common_SourceData.Common_SourceData_MCFTemperatureZone_Data(),Table_SourceData_Common_MCFTemperatureZone[[#Headers],[Temperature zone]],0)</f>
        <v>0.03</v>
      </c>
      <c r="M239" s="19" cm="1">
        <f t="array" ref="M239">Common_InputFunctions.Utility_DisplayArrayInTable(Common_SourceData.Common_SourceData_MCFTemperatureZone_Data(),Table_SourceData_Common_MCFTemperatureZone[[#Headers],[Temperature zone]],0)</f>
        <v>0.04</v>
      </c>
      <c r="N239" s="19" cm="1">
        <f t="array" ref="N239">Common_InputFunctions.Utility_DisplayArrayInTable(Common_SourceData.Common_SourceData_MCFTemperatureZone_Data(),Table_SourceData_Common_MCFTemperatureZone[[#Headers],[Temperature zone]],0)</f>
        <v>1.4999999999999999E-2</v>
      </c>
      <c r="O239" s="19" cm="1">
        <f t="array" ref="O239">Common_InputFunctions.Utility_DisplayArrayInTable(Common_SourceData.Common_SourceData_MCFTemperatureZone_Data(),Table_SourceData_Common_MCFTemperatureZone[[#Headers],[Temperature zone]],0)</f>
        <v>1.4999999999999999E-2</v>
      </c>
      <c r="P239" s="19" cm="1">
        <f t="array" ref="P239">Common_InputFunctions.Utility_DisplayArrayInTable(Common_SourceData.Common_SourceData_MCFTemperatureZone_Data(),Table_SourceData_Common_MCFTemperatureZone[[#Headers],[Temperature zone]],0)</f>
        <v>0</v>
      </c>
      <c r="Q239" s="19" cm="1">
        <f t="array" ref="Q239">Common_InputFunctions.Utility_DisplayArrayInTable(Common_SourceData.Common_SourceData_MCFTemperatureZone_Data(),Table_SourceData_Common_MCFTemperatureZone[[#Headers],[Temperature zone]],0)</f>
        <v>0</v>
      </c>
      <c r="R239" s="19" cm="1">
        <f t="array" ref="R239">Common_InputFunctions.Utility_DisplayArrayInTable(Common_SourceData.Common_SourceData_MCFTemperatureZone_Data(),Table_SourceData_Common_MCFTemperatureZone[[#Headers],[Temperature zone]],0)</f>
        <v>4.7000000000000002E-3</v>
      </c>
      <c r="S239" s="19" cm="1">
        <f t="array" ref="S239">Common_InputFunctions.Utility_DisplayArrayInTable(Common_SourceData.Common_SourceData_MCFTemperatureZone_Data(),Table_SourceData_Common_MCFTemperatureZone[[#Headers],[Temperature zone]],0)</f>
        <v>17</v>
      </c>
    </row>
    <row r="240" spans="1:19" ht="20.100000000000001" customHeight="1" x14ac:dyDescent="0.2">
      <c r="A240"/>
      <c r="D240" s="1" t="str" cm="1">
        <f t="array" ref="D240">Common_InputFunctions.Utility_DisplayArrayInTable(Common_SourceData.Common_SourceData_MCFTemperatureZone_Data(),Table_SourceData_Common_MCFTemperatureZone[[#Headers],[Temperature zone]],0)</f>
        <v>Temperate</v>
      </c>
      <c r="E240" s="19" cm="1">
        <f t="array" ref="E240">Common_InputFunctions.Utility_DisplayArrayInTable(Common_SourceData.Common_SourceData_MCFTemperatureZone_Data(),Table_SourceData_Common_MCFTemperatureZone[[#Headers],[Temperature zone]],0)</f>
        <v>18</v>
      </c>
      <c r="F240" s="19" cm="1">
        <f t="array" ref="F240">Common_InputFunctions.Utility_DisplayArrayInTable(Common_SourceData.Common_SourceData_MCFTemperatureZone_Data(),Table_SourceData_Common_MCFTemperatureZone[[#Headers],[Temperature zone]],0)</f>
        <v>0.77</v>
      </c>
      <c r="G240" s="19" cm="1">
        <f t="array" ref="G240">Common_InputFunctions.Utility_DisplayArrayInTable(Common_SourceData.Common_SourceData_MCFTemperatureZone_Data(),Table_SourceData_Common_MCFTemperatureZone[[#Headers],[Temperature zone]],0)</f>
        <v>0.1</v>
      </c>
      <c r="H240" s="19" cm="1">
        <f t="array" ref="H240">Common_InputFunctions.Utility_DisplayArrayInTable(Common_SourceData.Common_SourceData_MCFTemperatureZone_Data(),Table_SourceData_Common_MCFTemperatureZone[[#Headers],[Temperature zone]],0)</f>
        <v>0.22</v>
      </c>
      <c r="I240" s="19" cm="1">
        <f t="array" ref="I240">Common_InputFunctions.Utility_DisplayArrayInTable(Common_SourceData.Common_SourceData_MCFTemperatureZone_Data(),Table_SourceData_Common_MCFTemperatureZone[[#Headers],[Temperature zone]],0)</f>
        <v>5.0000000000000001E-3</v>
      </c>
      <c r="J240" s="19" cm="1">
        <f t="array" ref="J240">Common_InputFunctions.Utility_DisplayArrayInTable(Common_SourceData.Common_SourceData_MCFTemperatureZone_Data(),Table_SourceData_Common_MCFTemperatureZone[[#Headers],[Temperature zone]],0)</f>
        <v>0.01</v>
      </c>
      <c r="K240" s="19" cm="1">
        <f t="array" ref="K240">Common_InputFunctions.Utility_DisplayArrayInTable(Common_SourceData.Common_SourceData_MCFTemperatureZone_Data(),Table_SourceData_Common_MCFTemperatureZone[[#Headers],[Temperature zone]],0)</f>
        <v>0.02</v>
      </c>
      <c r="L240" s="19" cm="1">
        <f t="array" ref="L240">Common_InputFunctions.Utility_DisplayArrayInTable(Common_SourceData.Common_SourceData_MCFTemperatureZone_Data(),Table_SourceData_Common_MCFTemperatureZone[[#Headers],[Temperature zone]],0)</f>
        <v>0.03</v>
      </c>
      <c r="M240" s="19" cm="1">
        <f t="array" ref="M240">Common_InputFunctions.Utility_DisplayArrayInTable(Common_SourceData.Common_SourceData_MCFTemperatureZone_Data(),Table_SourceData_Common_MCFTemperatureZone[[#Headers],[Temperature zone]],0)</f>
        <v>0.04</v>
      </c>
      <c r="N240" s="19" cm="1">
        <f t="array" ref="N240">Common_InputFunctions.Utility_DisplayArrayInTable(Common_SourceData.Common_SourceData_MCFTemperatureZone_Data(),Table_SourceData_Common_MCFTemperatureZone[[#Headers],[Temperature zone]],0)</f>
        <v>1.4999999999999999E-2</v>
      </c>
      <c r="O240" s="19" cm="1">
        <f t="array" ref="O240">Common_InputFunctions.Utility_DisplayArrayInTable(Common_SourceData.Common_SourceData_MCFTemperatureZone_Data(),Table_SourceData_Common_MCFTemperatureZone[[#Headers],[Temperature zone]],0)</f>
        <v>1.4999999999999999E-2</v>
      </c>
      <c r="P240" s="19" cm="1">
        <f t="array" ref="P240">Common_InputFunctions.Utility_DisplayArrayInTable(Common_SourceData.Common_SourceData_MCFTemperatureZone_Data(),Table_SourceData_Common_MCFTemperatureZone[[#Headers],[Temperature zone]],0)</f>
        <v>0</v>
      </c>
      <c r="Q240" s="19" cm="1">
        <f t="array" ref="Q240">Common_InputFunctions.Utility_DisplayArrayInTable(Common_SourceData.Common_SourceData_MCFTemperatureZone_Data(),Table_SourceData_Common_MCFTemperatureZone[[#Headers],[Temperature zone]],0)</f>
        <v>0</v>
      </c>
      <c r="R240" s="19" cm="1">
        <f t="array" ref="R240">Common_InputFunctions.Utility_DisplayArrayInTable(Common_SourceData.Common_SourceData_MCFTemperatureZone_Data(),Table_SourceData_Common_MCFTemperatureZone[[#Headers],[Temperature zone]],0)</f>
        <v>4.7000000000000002E-3</v>
      </c>
      <c r="S240" s="19" cm="1">
        <f t="array" ref="S240">Common_InputFunctions.Utility_DisplayArrayInTable(Common_SourceData.Common_SourceData_MCFTemperatureZone_Data(),Table_SourceData_Common_MCFTemperatureZone[[#Headers],[Temperature zone]],0)</f>
        <v>18</v>
      </c>
    </row>
    <row r="241" spans="1:19" ht="20.100000000000001" customHeight="1" x14ac:dyDescent="0.2">
      <c r="A241"/>
      <c r="D241" s="1" t="str" cm="1">
        <f t="array" ref="D241">Common_InputFunctions.Utility_DisplayArrayInTable(Common_SourceData.Common_SourceData_MCFTemperatureZone_Data(),Table_SourceData_Common_MCFTemperatureZone[[#Headers],[Temperature zone]],0)</f>
        <v>Temperate</v>
      </c>
      <c r="E241" s="19" cm="1">
        <f t="array" ref="E241">Common_InputFunctions.Utility_DisplayArrayInTable(Common_SourceData.Common_SourceData_MCFTemperatureZone_Data(),Table_SourceData_Common_MCFTemperatureZone[[#Headers],[Temperature zone]],0)</f>
        <v>19</v>
      </c>
      <c r="F241" s="19" cm="1">
        <f t="array" ref="F241">Common_InputFunctions.Utility_DisplayArrayInTable(Common_SourceData.Common_SourceData_MCFTemperatureZone_Data(),Table_SourceData_Common_MCFTemperatureZone[[#Headers],[Temperature zone]],0)</f>
        <v>0.77</v>
      </c>
      <c r="G241" s="19" cm="1">
        <f t="array" ref="G241">Common_InputFunctions.Utility_DisplayArrayInTable(Common_SourceData.Common_SourceData_MCFTemperatureZone_Data(),Table_SourceData_Common_MCFTemperatureZone[[#Headers],[Temperature zone]],0)</f>
        <v>0.1</v>
      </c>
      <c r="H241" s="19" cm="1">
        <f t="array" ref="H241">Common_InputFunctions.Utility_DisplayArrayInTable(Common_SourceData.Common_SourceData_MCFTemperatureZone_Data(),Table_SourceData_Common_MCFTemperatureZone[[#Headers],[Temperature zone]],0)</f>
        <v>0.24</v>
      </c>
      <c r="I241" s="19" cm="1">
        <f t="array" ref="I241">Common_InputFunctions.Utility_DisplayArrayInTable(Common_SourceData.Common_SourceData_MCFTemperatureZone_Data(),Table_SourceData_Common_MCFTemperatureZone[[#Headers],[Temperature zone]],0)</f>
        <v>5.0000000000000001E-3</v>
      </c>
      <c r="J241" s="19" cm="1">
        <f t="array" ref="J241">Common_InputFunctions.Utility_DisplayArrayInTable(Common_SourceData.Common_SourceData_MCFTemperatureZone_Data(),Table_SourceData_Common_MCFTemperatureZone[[#Headers],[Temperature zone]],0)</f>
        <v>0.01</v>
      </c>
      <c r="K241" s="19" cm="1">
        <f t="array" ref="K241">Common_InputFunctions.Utility_DisplayArrayInTable(Common_SourceData.Common_SourceData_MCFTemperatureZone_Data(),Table_SourceData_Common_MCFTemperatureZone[[#Headers],[Temperature zone]],0)</f>
        <v>0.02</v>
      </c>
      <c r="L241" s="19" cm="1">
        <f t="array" ref="L241">Common_InputFunctions.Utility_DisplayArrayInTable(Common_SourceData.Common_SourceData_MCFTemperatureZone_Data(),Table_SourceData_Common_MCFTemperatureZone[[#Headers],[Temperature zone]],0)</f>
        <v>0.03</v>
      </c>
      <c r="M241" s="19" cm="1">
        <f t="array" ref="M241">Common_InputFunctions.Utility_DisplayArrayInTable(Common_SourceData.Common_SourceData_MCFTemperatureZone_Data(),Table_SourceData_Common_MCFTemperatureZone[[#Headers],[Temperature zone]],0)</f>
        <v>0.04</v>
      </c>
      <c r="N241" s="19" cm="1">
        <f t="array" ref="N241">Common_InputFunctions.Utility_DisplayArrayInTable(Common_SourceData.Common_SourceData_MCFTemperatureZone_Data(),Table_SourceData_Common_MCFTemperatureZone[[#Headers],[Temperature zone]],0)</f>
        <v>1.4999999999999999E-2</v>
      </c>
      <c r="O241" s="19" cm="1">
        <f t="array" ref="O241">Common_InputFunctions.Utility_DisplayArrayInTable(Common_SourceData.Common_SourceData_MCFTemperatureZone_Data(),Table_SourceData_Common_MCFTemperatureZone[[#Headers],[Temperature zone]],0)</f>
        <v>1.4999999999999999E-2</v>
      </c>
      <c r="P241" s="19" cm="1">
        <f t="array" ref="P241">Common_InputFunctions.Utility_DisplayArrayInTable(Common_SourceData.Common_SourceData_MCFTemperatureZone_Data(),Table_SourceData_Common_MCFTemperatureZone[[#Headers],[Temperature zone]],0)</f>
        <v>0</v>
      </c>
      <c r="Q241" s="19" cm="1">
        <f t="array" ref="Q241">Common_InputFunctions.Utility_DisplayArrayInTable(Common_SourceData.Common_SourceData_MCFTemperatureZone_Data(),Table_SourceData_Common_MCFTemperatureZone[[#Headers],[Temperature zone]],0)</f>
        <v>0</v>
      </c>
      <c r="R241" s="19" cm="1">
        <f t="array" ref="R241">Common_InputFunctions.Utility_DisplayArrayInTable(Common_SourceData.Common_SourceData_MCFTemperatureZone_Data(),Table_SourceData_Common_MCFTemperatureZone[[#Headers],[Temperature zone]],0)</f>
        <v>4.7000000000000002E-3</v>
      </c>
      <c r="S241" s="19" cm="1">
        <f t="array" ref="S241">Common_InputFunctions.Utility_DisplayArrayInTable(Common_SourceData.Common_SourceData_MCFTemperatureZone_Data(),Table_SourceData_Common_MCFTemperatureZone[[#Headers],[Temperature zone]],0)</f>
        <v>19</v>
      </c>
    </row>
    <row r="242" spans="1:19" ht="20.100000000000001" customHeight="1" x14ac:dyDescent="0.2">
      <c r="A242"/>
      <c r="D242" s="1" t="str" cm="1">
        <f t="array" ref="D242">Common_InputFunctions.Utility_DisplayArrayInTable(Common_SourceData.Common_SourceData_MCFTemperatureZone_Data(),Table_SourceData_Common_MCFTemperatureZone[[#Headers],[Temperature zone]],0)</f>
        <v>Temperate</v>
      </c>
      <c r="E242" s="19" cm="1">
        <f t="array" ref="E242">Common_InputFunctions.Utility_DisplayArrayInTable(Common_SourceData.Common_SourceData_MCFTemperatureZone_Data(),Table_SourceData_Common_MCFTemperatureZone[[#Headers],[Temperature zone]],0)</f>
        <v>20</v>
      </c>
      <c r="F242" s="19" cm="1">
        <f t="array" ref="F242">Common_InputFunctions.Utility_DisplayArrayInTable(Common_SourceData.Common_SourceData_MCFTemperatureZone_Data(),Table_SourceData_Common_MCFTemperatureZone[[#Headers],[Temperature zone]],0)</f>
        <v>0.78</v>
      </c>
      <c r="G242" s="19" cm="1">
        <f t="array" ref="G242">Common_InputFunctions.Utility_DisplayArrayInTable(Common_SourceData.Common_SourceData_MCFTemperatureZone_Data(),Table_SourceData_Common_MCFTemperatureZone[[#Headers],[Temperature zone]],0)</f>
        <v>0.1</v>
      </c>
      <c r="H242" s="19" cm="1">
        <f t="array" ref="H242">Common_InputFunctions.Utility_DisplayArrayInTable(Common_SourceData.Common_SourceData_MCFTemperatureZone_Data(),Table_SourceData_Common_MCFTemperatureZone[[#Headers],[Temperature zone]],0)</f>
        <v>0.26</v>
      </c>
      <c r="I242" s="19" cm="1">
        <f t="array" ref="I242">Common_InputFunctions.Utility_DisplayArrayInTable(Common_SourceData.Common_SourceData_MCFTemperatureZone_Data(),Table_SourceData_Common_MCFTemperatureZone[[#Headers],[Temperature zone]],0)</f>
        <v>5.0000000000000001E-3</v>
      </c>
      <c r="J242" s="19" cm="1">
        <f t="array" ref="J242">Common_InputFunctions.Utility_DisplayArrayInTable(Common_SourceData.Common_SourceData_MCFTemperatureZone_Data(),Table_SourceData_Common_MCFTemperatureZone[[#Headers],[Temperature zone]],0)</f>
        <v>0.01</v>
      </c>
      <c r="K242" s="19" cm="1">
        <f t="array" ref="K242">Common_InputFunctions.Utility_DisplayArrayInTable(Common_SourceData.Common_SourceData_MCFTemperatureZone_Data(),Table_SourceData_Common_MCFTemperatureZone[[#Headers],[Temperature zone]],0)</f>
        <v>0.02</v>
      </c>
      <c r="L242" s="19" cm="1">
        <f t="array" ref="L242">Common_InputFunctions.Utility_DisplayArrayInTable(Common_SourceData.Common_SourceData_MCFTemperatureZone_Data(),Table_SourceData_Common_MCFTemperatureZone[[#Headers],[Temperature zone]],0)</f>
        <v>0.03</v>
      </c>
      <c r="M242" s="19" cm="1">
        <f t="array" ref="M242">Common_InputFunctions.Utility_DisplayArrayInTable(Common_SourceData.Common_SourceData_MCFTemperatureZone_Data(),Table_SourceData_Common_MCFTemperatureZone[[#Headers],[Temperature zone]],0)</f>
        <v>0.04</v>
      </c>
      <c r="N242" s="19" cm="1">
        <f t="array" ref="N242">Common_InputFunctions.Utility_DisplayArrayInTable(Common_SourceData.Common_SourceData_MCFTemperatureZone_Data(),Table_SourceData_Common_MCFTemperatureZone[[#Headers],[Temperature zone]],0)</f>
        <v>1.4999999999999999E-2</v>
      </c>
      <c r="O242" s="19" cm="1">
        <f t="array" ref="O242">Common_InputFunctions.Utility_DisplayArrayInTable(Common_SourceData.Common_SourceData_MCFTemperatureZone_Data(),Table_SourceData_Common_MCFTemperatureZone[[#Headers],[Temperature zone]],0)</f>
        <v>1.4999999999999999E-2</v>
      </c>
      <c r="P242" s="19" cm="1">
        <f t="array" ref="P242">Common_InputFunctions.Utility_DisplayArrayInTable(Common_SourceData.Common_SourceData_MCFTemperatureZone_Data(),Table_SourceData_Common_MCFTemperatureZone[[#Headers],[Temperature zone]],0)</f>
        <v>0</v>
      </c>
      <c r="Q242" s="19" cm="1">
        <f t="array" ref="Q242">Common_InputFunctions.Utility_DisplayArrayInTable(Common_SourceData.Common_SourceData_MCFTemperatureZone_Data(),Table_SourceData_Common_MCFTemperatureZone[[#Headers],[Temperature zone]],0)</f>
        <v>0</v>
      </c>
      <c r="R242" s="19" cm="1">
        <f t="array" ref="R242">Common_InputFunctions.Utility_DisplayArrayInTable(Common_SourceData.Common_SourceData_MCFTemperatureZone_Data(),Table_SourceData_Common_MCFTemperatureZone[[#Headers],[Temperature zone]],0)</f>
        <v>4.7000000000000002E-3</v>
      </c>
      <c r="S242" s="19" cm="1">
        <f t="array" ref="S242">Common_InputFunctions.Utility_DisplayArrayInTable(Common_SourceData.Common_SourceData_MCFTemperatureZone_Data(),Table_SourceData_Common_MCFTemperatureZone[[#Headers],[Temperature zone]],0)</f>
        <v>20</v>
      </c>
    </row>
    <row r="243" spans="1:19" ht="20.100000000000001" customHeight="1" x14ac:dyDescent="0.2">
      <c r="A243"/>
      <c r="D243" s="1" t="str" cm="1">
        <f t="array" ref="D243">Common_InputFunctions.Utility_DisplayArrayInTable(Common_SourceData.Common_SourceData_MCFTemperatureZone_Data(),Table_SourceData_Common_MCFTemperatureZone[[#Headers],[Temperature zone]],0)</f>
        <v>Temperate</v>
      </c>
      <c r="E243" s="19" cm="1">
        <f t="array" ref="E243">Common_InputFunctions.Utility_DisplayArrayInTable(Common_SourceData.Common_SourceData_MCFTemperatureZone_Data(),Table_SourceData_Common_MCFTemperatureZone[[#Headers],[Temperature zone]],0)</f>
        <v>21</v>
      </c>
      <c r="F243" s="19" cm="1">
        <f t="array" ref="F243">Common_InputFunctions.Utility_DisplayArrayInTable(Common_SourceData.Common_SourceData_MCFTemperatureZone_Data(),Table_SourceData_Common_MCFTemperatureZone[[#Headers],[Temperature zone]],0)</f>
        <v>0.78</v>
      </c>
      <c r="G243" s="19" cm="1">
        <f t="array" ref="G243">Common_InputFunctions.Utility_DisplayArrayInTable(Common_SourceData.Common_SourceData_MCFTemperatureZone_Data(),Table_SourceData_Common_MCFTemperatureZone[[#Headers],[Temperature zone]],0)</f>
        <v>0.1</v>
      </c>
      <c r="H243" s="19" cm="1">
        <f t="array" ref="H243">Common_InputFunctions.Utility_DisplayArrayInTable(Common_SourceData.Common_SourceData_MCFTemperatureZone_Data(),Table_SourceData_Common_MCFTemperatureZone[[#Headers],[Temperature zone]],0)</f>
        <v>0.28999999999999998</v>
      </c>
      <c r="I243" s="19" cm="1">
        <f t="array" ref="I243">Common_InputFunctions.Utility_DisplayArrayInTable(Common_SourceData.Common_SourceData_MCFTemperatureZone_Data(),Table_SourceData_Common_MCFTemperatureZone[[#Headers],[Temperature zone]],0)</f>
        <v>5.0000000000000001E-3</v>
      </c>
      <c r="J243" s="19" cm="1">
        <f t="array" ref="J243">Common_InputFunctions.Utility_DisplayArrayInTable(Common_SourceData.Common_SourceData_MCFTemperatureZone_Data(),Table_SourceData_Common_MCFTemperatureZone[[#Headers],[Temperature zone]],0)</f>
        <v>0.01</v>
      </c>
      <c r="K243" s="19" cm="1">
        <f t="array" ref="K243">Common_InputFunctions.Utility_DisplayArrayInTable(Common_SourceData.Common_SourceData_MCFTemperatureZone_Data(),Table_SourceData_Common_MCFTemperatureZone[[#Headers],[Temperature zone]],0)</f>
        <v>0.02</v>
      </c>
      <c r="L243" s="19" cm="1">
        <f t="array" ref="L243">Common_InputFunctions.Utility_DisplayArrayInTable(Common_SourceData.Common_SourceData_MCFTemperatureZone_Data(),Table_SourceData_Common_MCFTemperatureZone[[#Headers],[Temperature zone]],0)</f>
        <v>0.03</v>
      </c>
      <c r="M243" s="19" cm="1">
        <f t="array" ref="M243">Common_InputFunctions.Utility_DisplayArrayInTable(Common_SourceData.Common_SourceData_MCFTemperatureZone_Data(),Table_SourceData_Common_MCFTemperatureZone[[#Headers],[Temperature zone]],0)</f>
        <v>0.04</v>
      </c>
      <c r="N243" s="19" cm="1">
        <f t="array" ref="N243">Common_InputFunctions.Utility_DisplayArrayInTable(Common_SourceData.Common_SourceData_MCFTemperatureZone_Data(),Table_SourceData_Common_MCFTemperatureZone[[#Headers],[Temperature zone]],0)</f>
        <v>1.4999999999999999E-2</v>
      </c>
      <c r="O243" s="19" cm="1">
        <f t="array" ref="O243">Common_InputFunctions.Utility_DisplayArrayInTable(Common_SourceData.Common_SourceData_MCFTemperatureZone_Data(),Table_SourceData_Common_MCFTemperatureZone[[#Headers],[Temperature zone]],0)</f>
        <v>1.4999999999999999E-2</v>
      </c>
      <c r="P243" s="19" cm="1">
        <f t="array" ref="P243">Common_InputFunctions.Utility_DisplayArrayInTable(Common_SourceData.Common_SourceData_MCFTemperatureZone_Data(),Table_SourceData_Common_MCFTemperatureZone[[#Headers],[Temperature zone]],0)</f>
        <v>0</v>
      </c>
      <c r="Q243" s="19" cm="1">
        <f t="array" ref="Q243">Common_InputFunctions.Utility_DisplayArrayInTable(Common_SourceData.Common_SourceData_MCFTemperatureZone_Data(),Table_SourceData_Common_MCFTemperatureZone[[#Headers],[Temperature zone]],0)</f>
        <v>0</v>
      </c>
      <c r="R243" s="19" cm="1">
        <f t="array" ref="R243">Common_InputFunctions.Utility_DisplayArrayInTable(Common_SourceData.Common_SourceData_MCFTemperatureZone_Data(),Table_SourceData_Common_MCFTemperatureZone[[#Headers],[Temperature zone]],0)</f>
        <v>4.7000000000000002E-3</v>
      </c>
      <c r="S243" s="19" cm="1">
        <f t="array" ref="S243">Common_InputFunctions.Utility_DisplayArrayInTable(Common_SourceData.Common_SourceData_MCFTemperatureZone_Data(),Table_SourceData_Common_MCFTemperatureZone[[#Headers],[Temperature zone]],0)</f>
        <v>21</v>
      </c>
    </row>
    <row r="244" spans="1:19" ht="20.100000000000001" customHeight="1" x14ac:dyDescent="0.2">
      <c r="A244"/>
      <c r="D244" s="1" t="str" cm="1">
        <f t="array" ref="D244">Common_InputFunctions.Utility_DisplayArrayInTable(Common_SourceData.Common_SourceData_MCFTemperatureZone_Data(),Table_SourceData_Common_MCFTemperatureZone[[#Headers],[Temperature zone]],0)</f>
        <v>Temperate</v>
      </c>
      <c r="E244" s="19" cm="1">
        <f t="array" ref="E244">Common_InputFunctions.Utility_DisplayArrayInTable(Common_SourceData.Common_SourceData_MCFTemperatureZone_Data(),Table_SourceData_Common_MCFTemperatureZone[[#Headers],[Temperature zone]],0)</f>
        <v>22</v>
      </c>
      <c r="F244" s="19" cm="1">
        <f t="array" ref="F244">Common_InputFunctions.Utility_DisplayArrayInTable(Common_SourceData.Common_SourceData_MCFTemperatureZone_Data(),Table_SourceData_Common_MCFTemperatureZone[[#Headers],[Temperature zone]],0)</f>
        <v>0.78</v>
      </c>
      <c r="G244" s="19" cm="1">
        <f t="array" ref="G244">Common_InputFunctions.Utility_DisplayArrayInTable(Common_SourceData.Common_SourceData_MCFTemperatureZone_Data(),Table_SourceData_Common_MCFTemperatureZone[[#Headers],[Temperature zone]],0)</f>
        <v>0.1</v>
      </c>
      <c r="H244" s="19" cm="1">
        <f t="array" ref="H244">Common_InputFunctions.Utility_DisplayArrayInTable(Common_SourceData.Common_SourceData_MCFTemperatureZone_Data(),Table_SourceData_Common_MCFTemperatureZone[[#Headers],[Temperature zone]],0)</f>
        <v>0.31</v>
      </c>
      <c r="I244" s="19" cm="1">
        <f t="array" ref="I244">Common_InputFunctions.Utility_DisplayArrayInTable(Common_SourceData.Common_SourceData_MCFTemperatureZone_Data(),Table_SourceData_Common_MCFTemperatureZone[[#Headers],[Temperature zone]],0)</f>
        <v>5.0000000000000001E-3</v>
      </c>
      <c r="J244" s="19" cm="1">
        <f t="array" ref="J244">Common_InputFunctions.Utility_DisplayArrayInTable(Common_SourceData.Common_SourceData_MCFTemperatureZone_Data(),Table_SourceData_Common_MCFTemperatureZone[[#Headers],[Temperature zone]],0)</f>
        <v>0.01</v>
      </c>
      <c r="K244" s="19" cm="1">
        <f t="array" ref="K244">Common_InputFunctions.Utility_DisplayArrayInTable(Common_SourceData.Common_SourceData_MCFTemperatureZone_Data(),Table_SourceData_Common_MCFTemperatureZone[[#Headers],[Temperature zone]],0)</f>
        <v>0.02</v>
      </c>
      <c r="L244" s="19" cm="1">
        <f t="array" ref="L244">Common_InputFunctions.Utility_DisplayArrayInTable(Common_SourceData.Common_SourceData_MCFTemperatureZone_Data(),Table_SourceData_Common_MCFTemperatureZone[[#Headers],[Temperature zone]],0)</f>
        <v>0.03</v>
      </c>
      <c r="M244" s="19" cm="1">
        <f t="array" ref="M244">Common_InputFunctions.Utility_DisplayArrayInTable(Common_SourceData.Common_SourceData_MCFTemperatureZone_Data(),Table_SourceData_Common_MCFTemperatureZone[[#Headers],[Temperature zone]],0)</f>
        <v>0.04</v>
      </c>
      <c r="N244" s="19" cm="1">
        <f t="array" ref="N244">Common_InputFunctions.Utility_DisplayArrayInTable(Common_SourceData.Common_SourceData_MCFTemperatureZone_Data(),Table_SourceData_Common_MCFTemperatureZone[[#Headers],[Temperature zone]],0)</f>
        <v>1.4999999999999999E-2</v>
      </c>
      <c r="O244" s="19" cm="1">
        <f t="array" ref="O244">Common_InputFunctions.Utility_DisplayArrayInTable(Common_SourceData.Common_SourceData_MCFTemperatureZone_Data(),Table_SourceData_Common_MCFTemperatureZone[[#Headers],[Temperature zone]],0)</f>
        <v>1.4999999999999999E-2</v>
      </c>
      <c r="P244" s="19" cm="1">
        <f t="array" ref="P244">Common_InputFunctions.Utility_DisplayArrayInTable(Common_SourceData.Common_SourceData_MCFTemperatureZone_Data(),Table_SourceData_Common_MCFTemperatureZone[[#Headers],[Temperature zone]],0)</f>
        <v>0</v>
      </c>
      <c r="Q244" s="19" cm="1">
        <f t="array" ref="Q244">Common_InputFunctions.Utility_DisplayArrayInTable(Common_SourceData.Common_SourceData_MCFTemperatureZone_Data(),Table_SourceData_Common_MCFTemperatureZone[[#Headers],[Temperature zone]],0)</f>
        <v>0</v>
      </c>
      <c r="R244" s="19" cm="1">
        <f t="array" ref="R244">Common_InputFunctions.Utility_DisplayArrayInTable(Common_SourceData.Common_SourceData_MCFTemperatureZone_Data(),Table_SourceData_Common_MCFTemperatureZone[[#Headers],[Temperature zone]],0)</f>
        <v>4.7000000000000002E-3</v>
      </c>
      <c r="S244" s="19" cm="1">
        <f t="array" ref="S244">Common_InputFunctions.Utility_DisplayArrayInTable(Common_SourceData.Common_SourceData_MCFTemperatureZone_Data(),Table_SourceData_Common_MCFTemperatureZone[[#Headers],[Temperature zone]],0)</f>
        <v>22</v>
      </c>
    </row>
    <row r="245" spans="1:19" ht="20.100000000000001" customHeight="1" x14ac:dyDescent="0.2">
      <c r="A245"/>
      <c r="D245" s="1" t="str" cm="1">
        <f t="array" ref="D245">Common_InputFunctions.Utility_DisplayArrayInTable(Common_SourceData.Common_SourceData_MCFTemperatureZone_Data(),Table_SourceData_Common_MCFTemperatureZone[[#Headers],[Temperature zone]],0)</f>
        <v>Temperate</v>
      </c>
      <c r="E245" s="19" cm="1">
        <f t="array" ref="E245">Common_InputFunctions.Utility_DisplayArrayInTable(Common_SourceData.Common_SourceData_MCFTemperatureZone_Data(),Table_SourceData_Common_MCFTemperatureZone[[#Headers],[Temperature zone]],0)</f>
        <v>23</v>
      </c>
      <c r="F245" s="19" cm="1">
        <f t="array" ref="F245">Common_InputFunctions.Utility_DisplayArrayInTable(Common_SourceData.Common_SourceData_MCFTemperatureZone_Data(),Table_SourceData_Common_MCFTemperatureZone[[#Headers],[Temperature zone]],0)</f>
        <v>0.79</v>
      </c>
      <c r="G245" s="19" cm="1">
        <f t="array" ref="G245">Common_InputFunctions.Utility_DisplayArrayInTable(Common_SourceData.Common_SourceData_MCFTemperatureZone_Data(),Table_SourceData_Common_MCFTemperatureZone[[#Headers],[Temperature zone]],0)</f>
        <v>0.1</v>
      </c>
      <c r="H245" s="19" cm="1">
        <f t="array" ref="H245">Common_InputFunctions.Utility_DisplayArrayInTable(Common_SourceData.Common_SourceData_MCFTemperatureZone_Data(),Table_SourceData_Common_MCFTemperatureZone[[#Headers],[Temperature zone]],0)</f>
        <v>0.34</v>
      </c>
      <c r="I245" s="19" cm="1">
        <f t="array" ref="I245">Common_InputFunctions.Utility_DisplayArrayInTable(Common_SourceData.Common_SourceData_MCFTemperatureZone_Data(),Table_SourceData_Common_MCFTemperatureZone[[#Headers],[Temperature zone]],0)</f>
        <v>5.0000000000000001E-3</v>
      </c>
      <c r="J245" s="19" cm="1">
        <f t="array" ref="J245">Common_InputFunctions.Utility_DisplayArrayInTable(Common_SourceData.Common_SourceData_MCFTemperatureZone_Data(),Table_SourceData_Common_MCFTemperatureZone[[#Headers],[Temperature zone]],0)</f>
        <v>0.01</v>
      </c>
      <c r="K245" s="19" cm="1">
        <f t="array" ref="K245">Common_InputFunctions.Utility_DisplayArrayInTable(Common_SourceData.Common_SourceData_MCFTemperatureZone_Data(),Table_SourceData_Common_MCFTemperatureZone[[#Headers],[Temperature zone]],0)</f>
        <v>0.02</v>
      </c>
      <c r="L245" s="19" cm="1">
        <f t="array" ref="L245">Common_InputFunctions.Utility_DisplayArrayInTable(Common_SourceData.Common_SourceData_MCFTemperatureZone_Data(),Table_SourceData_Common_MCFTemperatureZone[[#Headers],[Temperature zone]],0)</f>
        <v>0.03</v>
      </c>
      <c r="M245" s="19" cm="1">
        <f t="array" ref="M245">Common_InputFunctions.Utility_DisplayArrayInTable(Common_SourceData.Common_SourceData_MCFTemperatureZone_Data(),Table_SourceData_Common_MCFTemperatureZone[[#Headers],[Temperature zone]],0)</f>
        <v>0.04</v>
      </c>
      <c r="N245" s="19" cm="1">
        <f t="array" ref="N245">Common_InputFunctions.Utility_DisplayArrayInTable(Common_SourceData.Common_SourceData_MCFTemperatureZone_Data(),Table_SourceData_Common_MCFTemperatureZone[[#Headers],[Temperature zone]],0)</f>
        <v>1.4999999999999999E-2</v>
      </c>
      <c r="O245" s="19" cm="1">
        <f t="array" ref="O245">Common_InputFunctions.Utility_DisplayArrayInTable(Common_SourceData.Common_SourceData_MCFTemperatureZone_Data(),Table_SourceData_Common_MCFTemperatureZone[[#Headers],[Temperature zone]],0)</f>
        <v>1.4999999999999999E-2</v>
      </c>
      <c r="P245" s="19" cm="1">
        <f t="array" ref="P245">Common_InputFunctions.Utility_DisplayArrayInTable(Common_SourceData.Common_SourceData_MCFTemperatureZone_Data(),Table_SourceData_Common_MCFTemperatureZone[[#Headers],[Temperature zone]],0)</f>
        <v>0</v>
      </c>
      <c r="Q245" s="19" cm="1">
        <f t="array" ref="Q245">Common_InputFunctions.Utility_DisplayArrayInTable(Common_SourceData.Common_SourceData_MCFTemperatureZone_Data(),Table_SourceData_Common_MCFTemperatureZone[[#Headers],[Temperature zone]],0)</f>
        <v>0</v>
      </c>
      <c r="R245" s="19" cm="1">
        <f t="array" ref="R245">Common_InputFunctions.Utility_DisplayArrayInTable(Common_SourceData.Common_SourceData_MCFTemperatureZone_Data(),Table_SourceData_Common_MCFTemperatureZone[[#Headers],[Temperature zone]],0)</f>
        <v>4.7000000000000002E-3</v>
      </c>
      <c r="S245" s="19" cm="1">
        <f t="array" ref="S245">Common_InputFunctions.Utility_DisplayArrayInTable(Common_SourceData.Common_SourceData_MCFTemperatureZone_Data(),Table_SourceData_Common_MCFTemperatureZone[[#Headers],[Temperature zone]],0)</f>
        <v>23</v>
      </c>
    </row>
    <row r="246" spans="1:19" ht="20.100000000000001" customHeight="1" x14ac:dyDescent="0.2">
      <c r="A246"/>
      <c r="D246" s="1" t="str" cm="1">
        <f t="array" ref="D246">Common_InputFunctions.Utility_DisplayArrayInTable(Common_SourceData.Common_SourceData_MCFTemperatureZone_Data(),Table_SourceData_Common_MCFTemperatureZone[[#Headers],[Temperature zone]],0)</f>
        <v>Temperate</v>
      </c>
      <c r="E246" s="19" cm="1">
        <f t="array" ref="E246">Common_InputFunctions.Utility_DisplayArrayInTable(Common_SourceData.Common_SourceData_MCFTemperatureZone_Data(),Table_SourceData_Common_MCFTemperatureZone[[#Headers],[Temperature zone]],0)</f>
        <v>24</v>
      </c>
      <c r="F246" s="19" cm="1">
        <f t="array" ref="F246">Common_InputFunctions.Utility_DisplayArrayInTable(Common_SourceData.Common_SourceData_MCFTemperatureZone_Data(),Table_SourceData_Common_MCFTemperatureZone[[#Headers],[Temperature zone]],0)</f>
        <v>0.79</v>
      </c>
      <c r="G246" s="19" cm="1">
        <f t="array" ref="G246">Common_InputFunctions.Utility_DisplayArrayInTable(Common_SourceData.Common_SourceData_MCFTemperatureZone_Data(),Table_SourceData_Common_MCFTemperatureZone[[#Headers],[Temperature zone]],0)</f>
        <v>0.1</v>
      </c>
      <c r="H246" s="19" cm="1">
        <f t="array" ref="H246">Common_InputFunctions.Utility_DisplayArrayInTable(Common_SourceData.Common_SourceData_MCFTemperatureZone_Data(),Table_SourceData_Common_MCFTemperatureZone[[#Headers],[Temperature zone]],0)</f>
        <v>0.37</v>
      </c>
      <c r="I246" s="19" cm="1">
        <f t="array" ref="I246">Common_InputFunctions.Utility_DisplayArrayInTable(Common_SourceData.Common_SourceData_MCFTemperatureZone_Data(),Table_SourceData_Common_MCFTemperatureZone[[#Headers],[Temperature zone]],0)</f>
        <v>5.0000000000000001E-3</v>
      </c>
      <c r="J246" s="19" cm="1">
        <f t="array" ref="J246">Common_InputFunctions.Utility_DisplayArrayInTable(Common_SourceData.Common_SourceData_MCFTemperatureZone_Data(),Table_SourceData_Common_MCFTemperatureZone[[#Headers],[Temperature zone]],0)</f>
        <v>0.01</v>
      </c>
      <c r="K246" s="19" cm="1">
        <f t="array" ref="K246">Common_InputFunctions.Utility_DisplayArrayInTable(Common_SourceData.Common_SourceData_MCFTemperatureZone_Data(),Table_SourceData_Common_MCFTemperatureZone[[#Headers],[Temperature zone]],0)</f>
        <v>0.02</v>
      </c>
      <c r="L246" s="19" cm="1">
        <f t="array" ref="L246">Common_InputFunctions.Utility_DisplayArrayInTable(Common_SourceData.Common_SourceData_MCFTemperatureZone_Data(),Table_SourceData_Common_MCFTemperatureZone[[#Headers],[Temperature zone]],0)</f>
        <v>0.03</v>
      </c>
      <c r="M246" s="19" cm="1">
        <f t="array" ref="M246">Common_InputFunctions.Utility_DisplayArrayInTable(Common_SourceData.Common_SourceData_MCFTemperatureZone_Data(),Table_SourceData_Common_MCFTemperatureZone[[#Headers],[Temperature zone]],0)</f>
        <v>0.04</v>
      </c>
      <c r="N246" s="19" cm="1">
        <f t="array" ref="N246">Common_InputFunctions.Utility_DisplayArrayInTable(Common_SourceData.Common_SourceData_MCFTemperatureZone_Data(),Table_SourceData_Common_MCFTemperatureZone[[#Headers],[Temperature zone]],0)</f>
        <v>1.4999999999999999E-2</v>
      </c>
      <c r="O246" s="19" cm="1">
        <f t="array" ref="O246">Common_InputFunctions.Utility_DisplayArrayInTable(Common_SourceData.Common_SourceData_MCFTemperatureZone_Data(),Table_SourceData_Common_MCFTemperatureZone[[#Headers],[Temperature zone]],0)</f>
        <v>1.4999999999999999E-2</v>
      </c>
      <c r="P246" s="19" cm="1">
        <f t="array" ref="P246">Common_InputFunctions.Utility_DisplayArrayInTable(Common_SourceData.Common_SourceData_MCFTemperatureZone_Data(),Table_SourceData_Common_MCFTemperatureZone[[#Headers],[Temperature zone]],0)</f>
        <v>0</v>
      </c>
      <c r="Q246" s="19" cm="1">
        <f t="array" ref="Q246">Common_InputFunctions.Utility_DisplayArrayInTable(Common_SourceData.Common_SourceData_MCFTemperatureZone_Data(),Table_SourceData_Common_MCFTemperatureZone[[#Headers],[Temperature zone]],0)</f>
        <v>0</v>
      </c>
      <c r="R246" s="19" cm="1">
        <f t="array" ref="R246">Common_InputFunctions.Utility_DisplayArrayInTable(Common_SourceData.Common_SourceData_MCFTemperatureZone_Data(),Table_SourceData_Common_MCFTemperatureZone[[#Headers],[Temperature zone]],0)</f>
        <v>4.7000000000000002E-3</v>
      </c>
      <c r="S246" s="19" cm="1">
        <f t="array" ref="S246">Common_InputFunctions.Utility_DisplayArrayInTable(Common_SourceData.Common_SourceData_MCFTemperatureZone_Data(),Table_SourceData_Common_MCFTemperatureZone[[#Headers],[Temperature zone]],0)</f>
        <v>24</v>
      </c>
    </row>
    <row r="247" spans="1:19" ht="20.100000000000001" customHeight="1" x14ac:dyDescent="0.2">
      <c r="A247"/>
      <c r="D247" s="1" t="str" cm="1">
        <f t="array" ref="D247">Common_InputFunctions.Utility_DisplayArrayInTable(Common_SourceData.Common_SourceData_MCFTemperatureZone_Data(),Table_SourceData_Common_MCFTemperatureZone[[#Headers],[Temperature zone]],0)</f>
        <v>Temperate</v>
      </c>
      <c r="E247" s="19" cm="1">
        <f t="array" ref="E247">Common_InputFunctions.Utility_DisplayArrayInTable(Common_SourceData.Common_SourceData_MCFTemperatureZone_Data(),Table_SourceData_Common_MCFTemperatureZone[[#Headers],[Temperature zone]],0)</f>
        <v>25</v>
      </c>
      <c r="F247" s="19" cm="1">
        <f t="array" ref="F247">Common_InputFunctions.Utility_DisplayArrayInTable(Common_SourceData.Common_SourceData_MCFTemperatureZone_Data(),Table_SourceData_Common_MCFTemperatureZone[[#Headers],[Temperature zone]],0)</f>
        <v>0.79</v>
      </c>
      <c r="G247" s="19" cm="1">
        <f t="array" ref="G247">Common_InputFunctions.Utility_DisplayArrayInTable(Common_SourceData.Common_SourceData_MCFTemperatureZone_Data(),Table_SourceData_Common_MCFTemperatureZone[[#Headers],[Temperature zone]],0)</f>
        <v>0.1</v>
      </c>
      <c r="H247" s="19" cm="1">
        <f t="array" ref="H247">Common_InputFunctions.Utility_DisplayArrayInTable(Common_SourceData.Common_SourceData_MCFTemperatureZone_Data(),Table_SourceData_Common_MCFTemperatureZone[[#Headers],[Temperature zone]],0)</f>
        <v>0.41</v>
      </c>
      <c r="I247" s="19" cm="1">
        <f t="array" ref="I247">Common_InputFunctions.Utility_DisplayArrayInTable(Common_SourceData.Common_SourceData_MCFTemperatureZone_Data(),Table_SourceData_Common_MCFTemperatureZone[[#Headers],[Temperature zone]],0)</f>
        <v>5.0000000000000001E-3</v>
      </c>
      <c r="J247" s="19" cm="1">
        <f t="array" ref="J247">Common_InputFunctions.Utility_DisplayArrayInTable(Common_SourceData.Common_SourceData_MCFTemperatureZone_Data(),Table_SourceData_Common_MCFTemperatureZone[[#Headers],[Temperature zone]],0)</f>
        <v>0.01</v>
      </c>
      <c r="K247" s="19" cm="1">
        <f t="array" ref="K247">Common_InputFunctions.Utility_DisplayArrayInTable(Common_SourceData.Common_SourceData_MCFTemperatureZone_Data(),Table_SourceData_Common_MCFTemperatureZone[[#Headers],[Temperature zone]],0)</f>
        <v>0.02</v>
      </c>
      <c r="L247" s="19" cm="1">
        <f t="array" ref="L247">Common_InputFunctions.Utility_DisplayArrayInTable(Common_SourceData.Common_SourceData_MCFTemperatureZone_Data(),Table_SourceData_Common_MCFTemperatureZone[[#Headers],[Temperature zone]],0)</f>
        <v>0.03</v>
      </c>
      <c r="M247" s="19" cm="1">
        <f t="array" ref="M247">Common_InputFunctions.Utility_DisplayArrayInTable(Common_SourceData.Common_SourceData_MCFTemperatureZone_Data(),Table_SourceData_Common_MCFTemperatureZone[[#Headers],[Temperature zone]],0)</f>
        <v>0.04</v>
      </c>
      <c r="N247" s="19" cm="1">
        <f t="array" ref="N247">Common_InputFunctions.Utility_DisplayArrayInTable(Common_SourceData.Common_SourceData_MCFTemperatureZone_Data(),Table_SourceData_Common_MCFTemperatureZone[[#Headers],[Temperature zone]],0)</f>
        <v>1.4999999999999999E-2</v>
      </c>
      <c r="O247" s="19" cm="1">
        <f t="array" ref="O247">Common_InputFunctions.Utility_DisplayArrayInTable(Common_SourceData.Common_SourceData_MCFTemperatureZone_Data(),Table_SourceData_Common_MCFTemperatureZone[[#Headers],[Temperature zone]],0)</f>
        <v>1.4999999999999999E-2</v>
      </c>
      <c r="P247" s="19" cm="1">
        <f t="array" ref="P247">Common_InputFunctions.Utility_DisplayArrayInTable(Common_SourceData.Common_SourceData_MCFTemperatureZone_Data(),Table_SourceData_Common_MCFTemperatureZone[[#Headers],[Temperature zone]],0)</f>
        <v>0</v>
      </c>
      <c r="Q247" s="19" cm="1">
        <f t="array" ref="Q247">Common_InputFunctions.Utility_DisplayArrayInTable(Common_SourceData.Common_SourceData_MCFTemperatureZone_Data(),Table_SourceData_Common_MCFTemperatureZone[[#Headers],[Temperature zone]],0)</f>
        <v>0</v>
      </c>
      <c r="R247" s="19" cm="1">
        <f t="array" ref="R247">Common_InputFunctions.Utility_DisplayArrayInTable(Common_SourceData.Common_SourceData_MCFTemperatureZone_Data(),Table_SourceData_Common_MCFTemperatureZone[[#Headers],[Temperature zone]],0)</f>
        <v>4.7000000000000002E-3</v>
      </c>
      <c r="S247" s="19" cm="1">
        <f t="array" ref="S247">Common_InputFunctions.Utility_DisplayArrayInTable(Common_SourceData.Common_SourceData_MCFTemperatureZone_Data(),Table_SourceData_Common_MCFTemperatureZone[[#Headers],[Temperature zone]],0)</f>
        <v>25</v>
      </c>
    </row>
    <row r="248" spans="1:19" ht="20.100000000000001" customHeight="1" x14ac:dyDescent="0.2">
      <c r="A248" s="79" t="str">
        <f>HYPERLINK("#A1", "▲ Back to top")</f>
        <v>▲ Back to top</v>
      </c>
      <c r="D248" s="1" t="str" cm="1">
        <f t="array" ref="D248">Common_InputFunctions.Utility_DisplayArrayInTable(Common_SourceData.Common_SourceData_MCFTemperatureZone_Data(),Table_SourceData_Common_MCFTemperatureZone[[#Headers],[Temperature zone]],0)</f>
        <v>Warm</v>
      </c>
      <c r="E248" s="19" cm="1">
        <f t="array" ref="E248">Common_InputFunctions.Utility_DisplayArrayInTable(Common_SourceData.Common_SourceData_MCFTemperatureZone_Data(),Table_SourceData_Common_MCFTemperatureZone[[#Headers],[Temperature zone]],0)</f>
        <v>26</v>
      </c>
      <c r="F248" s="19" cm="1">
        <f t="array" ref="F248">Common_InputFunctions.Utility_DisplayArrayInTable(Common_SourceData.Common_SourceData_MCFTemperatureZone_Data(),Table_SourceData_Common_MCFTemperatureZone[[#Headers],[Temperature zone]],0)</f>
        <v>0.79</v>
      </c>
      <c r="G248" s="19" cm="1">
        <f t="array" ref="G248">Common_InputFunctions.Utility_DisplayArrayInTable(Common_SourceData.Common_SourceData_MCFTemperatureZone_Data(),Table_SourceData_Common_MCFTemperatureZone[[#Headers],[Temperature zone]],0)</f>
        <v>0.1</v>
      </c>
      <c r="H248" s="19" cm="1">
        <f t="array" ref="H248">Common_InputFunctions.Utility_DisplayArrayInTable(Common_SourceData.Common_SourceData_MCFTemperatureZone_Data(),Table_SourceData_Common_MCFTemperatureZone[[#Headers],[Temperature zone]],0)</f>
        <v>0.44</v>
      </c>
      <c r="I248" s="19" cm="1">
        <f t="array" ref="I248">Common_InputFunctions.Utility_DisplayArrayInTable(Common_SourceData.Common_SourceData_MCFTemperatureZone_Data(),Table_SourceData_Common_MCFTemperatureZone[[#Headers],[Temperature zone]],0)</f>
        <v>0.01</v>
      </c>
      <c r="J248" s="19" cm="1">
        <f t="array" ref="J248">Common_InputFunctions.Utility_DisplayArrayInTable(Common_SourceData.Common_SourceData_MCFTemperatureZone_Data(),Table_SourceData_Common_MCFTemperatureZone[[#Headers],[Temperature zone]],0)</f>
        <v>1.4999999999999999E-2</v>
      </c>
      <c r="K248" s="19" cm="1">
        <f t="array" ref="K248">Common_InputFunctions.Utility_DisplayArrayInTable(Common_SourceData.Common_SourceData_MCFTemperatureZone_Data(),Table_SourceData_Common_MCFTemperatureZone[[#Headers],[Temperature zone]],0)</f>
        <v>0.02</v>
      </c>
      <c r="L248" s="19" cm="1">
        <f t="array" ref="L248">Common_InputFunctions.Utility_DisplayArrayInTable(Common_SourceData.Common_SourceData_MCFTemperatureZone_Data(),Table_SourceData_Common_MCFTemperatureZone[[#Headers],[Temperature zone]],0)</f>
        <v>0.03</v>
      </c>
      <c r="M248" s="19" cm="1">
        <f t="array" ref="M248">Common_InputFunctions.Utility_DisplayArrayInTable(Common_SourceData.Common_SourceData_MCFTemperatureZone_Data(),Table_SourceData_Common_MCFTemperatureZone[[#Headers],[Temperature zone]],0)</f>
        <v>0.04</v>
      </c>
      <c r="N248" s="19" cm="1">
        <f t="array" ref="N248">Common_InputFunctions.Utility_DisplayArrayInTable(Common_SourceData.Common_SourceData_MCFTemperatureZone_Data(),Table_SourceData_Common_MCFTemperatureZone[[#Headers],[Temperature zone]],0)</f>
        <v>1.4999999999999999E-2</v>
      </c>
      <c r="O248" s="19" cm="1">
        <f t="array" ref="O248">Common_InputFunctions.Utility_DisplayArrayInTable(Common_SourceData.Common_SourceData_MCFTemperatureZone_Data(),Table_SourceData_Common_MCFTemperatureZone[[#Headers],[Temperature zone]],0)</f>
        <v>1.4999999999999999E-2</v>
      </c>
      <c r="P248" s="19" cm="1">
        <f t="array" ref="P248">Common_InputFunctions.Utility_DisplayArrayInTable(Common_SourceData.Common_SourceData_MCFTemperatureZone_Data(),Table_SourceData_Common_MCFTemperatureZone[[#Headers],[Temperature zone]],0)</f>
        <v>0</v>
      </c>
      <c r="Q248" s="19" cm="1">
        <f t="array" ref="Q248">Common_InputFunctions.Utility_DisplayArrayInTable(Common_SourceData.Common_SourceData_MCFTemperatureZone_Data(),Table_SourceData_Common_MCFTemperatureZone[[#Headers],[Temperature zone]],0)</f>
        <v>0</v>
      </c>
      <c r="R248" s="19" cm="1">
        <f t="array" ref="R248">Common_InputFunctions.Utility_DisplayArrayInTable(Common_SourceData.Common_SourceData_MCFTemperatureZone_Data(),Table_SourceData_Common_MCFTemperatureZone[[#Headers],[Temperature zone]],0)</f>
        <v>4.7000000000000002E-3</v>
      </c>
      <c r="S248" s="19" cm="1">
        <f t="array" ref="S248">Common_InputFunctions.Utility_DisplayArrayInTable(Common_SourceData.Common_SourceData_MCFTemperatureZone_Data(),Table_SourceData_Common_MCFTemperatureZone[[#Headers],[Temperature zone]],0)</f>
        <v>26</v>
      </c>
    </row>
    <row r="249" spans="1:19" ht="20.100000000000001" customHeight="1" x14ac:dyDescent="0.2">
      <c r="A249"/>
      <c r="D249" s="1" t="str" cm="1">
        <f t="array" ref="D249">Common_InputFunctions.Utility_DisplayArrayInTable(Common_SourceData.Common_SourceData_MCFTemperatureZone_Data(),Table_SourceData_Common_MCFTemperatureZone[[#Headers],[Temperature zone]],0)</f>
        <v>Warm</v>
      </c>
      <c r="E249" s="19" cm="1">
        <f t="array" ref="E249">Common_InputFunctions.Utility_DisplayArrayInTable(Common_SourceData.Common_SourceData_MCFTemperatureZone_Data(),Table_SourceData_Common_MCFTemperatureZone[[#Headers],[Temperature zone]],0)</f>
        <v>27</v>
      </c>
      <c r="F249" s="19" cm="1">
        <f t="array" ref="F249">Common_InputFunctions.Utility_DisplayArrayInTable(Common_SourceData.Common_SourceData_MCFTemperatureZone_Data(),Table_SourceData_Common_MCFTemperatureZone[[#Headers],[Temperature zone]],0)</f>
        <v>0.8</v>
      </c>
      <c r="G249" s="19" cm="1">
        <f t="array" ref="G249">Common_InputFunctions.Utility_DisplayArrayInTable(Common_SourceData.Common_SourceData_MCFTemperatureZone_Data(),Table_SourceData_Common_MCFTemperatureZone[[#Headers],[Temperature zone]],0)</f>
        <v>0.1</v>
      </c>
      <c r="H249" s="19" cm="1">
        <f t="array" ref="H249">Common_InputFunctions.Utility_DisplayArrayInTable(Common_SourceData.Common_SourceData_MCFTemperatureZone_Data(),Table_SourceData_Common_MCFTemperatureZone[[#Headers],[Temperature zone]],0)</f>
        <v>0.48</v>
      </c>
      <c r="I249" s="19" cm="1">
        <f t="array" ref="I249">Common_InputFunctions.Utility_DisplayArrayInTable(Common_SourceData.Common_SourceData_MCFTemperatureZone_Data(),Table_SourceData_Common_MCFTemperatureZone[[#Headers],[Temperature zone]],0)</f>
        <v>0.01</v>
      </c>
      <c r="J249" s="19" cm="1">
        <f t="array" ref="J249">Common_InputFunctions.Utility_DisplayArrayInTable(Common_SourceData.Common_SourceData_MCFTemperatureZone_Data(),Table_SourceData_Common_MCFTemperatureZone[[#Headers],[Temperature zone]],0)</f>
        <v>1.4999999999999999E-2</v>
      </c>
      <c r="K249" s="19" cm="1">
        <f t="array" ref="K249">Common_InputFunctions.Utility_DisplayArrayInTable(Common_SourceData.Common_SourceData_MCFTemperatureZone_Data(),Table_SourceData_Common_MCFTemperatureZone[[#Headers],[Temperature zone]],0)</f>
        <v>0.02</v>
      </c>
      <c r="L249" s="19" cm="1">
        <f t="array" ref="L249">Common_InputFunctions.Utility_DisplayArrayInTable(Common_SourceData.Common_SourceData_MCFTemperatureZone_Data(),Table_SourceData_Common_MCFTemperatureZone[[#Headers],[Temperature zone]],0)</f>
        <v>0.03</v>
      </c>
      <c r="M249" s="19" cm="1">
        <f t="array" ref="M249">Common_InputFunctions.Utility_DisplayArrayInTable(Common_SourceData.Common_SourceData_MCFTemperatureZone_Data(),Table_SourceData_Common_MCFTemperatureZone[[#Headers],[Temperature zone]],0)</f>
        <v>0.04</v>
      </c>
      <c r="N249" s="19" cm="1">
        <f t="array" ref="N249">Common_InputFunctions.Utility_DisplayArrayInTable(Common_SourceData.Common_SourceData_MCFTemperatureZone_Data(),Table_SourceData_Common_MCFTemperatureZone[[#Headers],[Temperature zone]],0)</f>
        <v>1.4999999999999999E-2</v>
      </c>
      <c r="O249" s="19" cm="1">
        <f t="array" ref="O249">Common_InputFunctions.Utility_DisplayArrayInTable(Common_SourceData.Common_SourceData_MCFTemperatureZone_Data(),Table_SourceData_Common_MCFTemperatureZone[[#Headers],[Temperature zone]],0)</f>
        <v>1.4999999999999999E-2</v>
      </c>
      <c r="P249" s="19" cm="1">
        <f t="array" ref="P249">Common_InputFunctions.Utility_DisplayArrayInTable(Common_SourceData.Common_SourceData_MCFTemperatureZone_Data(),Table_SourceData_Common_MCFTemperatureZone[[#Headers],[Temperature zone]],0)</f>
        <v>0</v>
      </c>
      <c r="Q249" s="19" cm="1">
        <f t="array" ref="Q249">Common_InputFunctions.Utility_DisplayArrayInTable(Common_SourceData.Common_SourceData_MCFTemperatureZone_Data(),Table_SourceData_Common_MCFTemperatureZone[[#Headers],[Temperature zone]],0)</f>
        <v>0</v>
      </c>
      <c r="R249" s="19" cm="1">
        <f t="array" ref="R249">Common_InputFunctions.Utility_DisplayArrayInTable(Common_SourceData.Common_SourceData_MCFTemperatureZone_Data(),Table_SourceData_Common_MCFTemperatureZone[[#Headers],[Temperature zone]],0)</f>
        <v>4.7000000000000002E-3</v>
      </c>
      <c r="S249" s="19" cm="1">
        <f t="array" ref="S249">Common_InputFunctions.Utility_DisplayArrayInTable(Common_SourceData.Common_SourceData_MCFTemperatureZone_Data(),Table_SourceData_Common_MCFTemperatureZone[[#Headers],[Temperature zone]],0)</f>
        <v>27</v>
      </c>
    </row>
    <row r="250" spans="1:19" ht="20.100000000000001" customHeight="1" x14ac:dyDescent="0.2">
      <c r="A250"/>
      <c r="D250" s="1" t="str" cm="1">
        <f t="array" ref="D250">Common_InputFunctions.Utility_DisplayArrayInTable(Common_SourceData.Common_SourceData_MCFTemperatureZone_Data(),Table_SourceData_Common_MCFTemperatureZone[[#Headers],[Temperature zone]],0)</f>
        <v>Warm</v>
      </c>
      <c r="E250" s="19" t="str" cm="1">
        <f t="array" ref="E250">Common_InputFunctions.Utility_DisplayArrayInTable(Common_SourceData.Common_SourceData_MCFTemperatureZone_Data(),Table_SourceData_Common_MCFTemperatureZone[[#Headers],[Temperature zone]],0)</f>
        <v>≥28</v>
      </c>
      <c r="F250" s="19" cm="1">
        <f t="array" ref="F250">Common_InputFunctions.Utility_DisplayArrayInTable(Common_SourceData.Common_SourceData_MCFTemperatureZone_Data(),Table_SourceData_Common_MCFTemperatureZone[[#Headers],[Temperature zone]],0)</f>
        <v>0.8</v>
      </c>
      <c r="G250" s="19" cm="1">
        <f t="array" ref="G250">Common_InputFunctions.Utility_DisplayArrayInTable(Common_SourceData.Common_SourceData_MCFTemperatureZone_Data(),Table_SourceData_Common_MCFTemperatureZone[[#Headers],[Temperature zone]],0)</f>
        <v>0.1</v>
      </c>
      <c r="H250" s="19" cm="1">
        <f t="array" ref="H250">Common_InputFunctions.Utility_DisplayArrayInTable(Common_SourceData.Common_SourceData_MCFTemperatureZone_Data(),Table_SourceData_Common_MCFTemperatureZone[[#Headers],[Temperature zone]],0)</f>
        <v>0.5</v>
      </c>
      <c r="I250" s="19" cm="1">
        <f t="array" ref="I250">Common_InputFunctions.Utility_DisplayArrayInTable(Common_SourceData.Common_SourceData_MCFTemperatureZone_Data(),Table_SourceData_Common_MCFTemperatureZone[[#Headers],[Temperature zone]],0)</f>
        <v>0.01</v>
      </c>
      <c r="J250" s="19" cm="1">
        <f t="array" ref="J250">Common_InputFunctions.Utility_DisplayArrayInTable(Common_SourceData.Common_SourceData_MCFTemperatureZone_Data(),Table_SourceData_Common_MCFTemperatureZone[[#Headers],[Temperature zone]],0)</f>
        <v>1.4999999999999999E-2</v>
      </c>
      <c r="K250" s="19" cm="1">
        <f t="array" ref="K250">Common_InputFunctions.Utility_DisplayArrayInTable(Common_SourceData.Common_SourceData_MCFTemperatureZone_Data(),Table_SourceData_Common_MCFTemperatureZone[[#Headers],[Temperature zone]],0)</f>
        <v>0.02</v>
      </c>
      <c r="L250" s="19" cm="1">
        <f t="array" ref="L250">Common_InputFunctions.Utility_DisplayArrayInTable(Common_SourceData.Common_SourceData_MCFTemperatureZone_Data(),Table_SourceData_Common_MCFTemperatureZone[[#Headers],[Temperature zone]],0)</f>
        <v>0.03</v>
      </c>
      <c r="M250" s="19" cm="1">
        <f t="array" ref="M250">Common_InputFunctions.Utility_DisplayArrayInTable(Common_SourceData.Common_SourceData_MCFTemperatureZone_Data(),Table_SourceData_Common_MCFTemperatureZone[[#Headers],[Temperature zone]],0)</f>
        <v>0.04</v>
      </c>
      <c r="N250" s="19" cm="1">
        <f t="array" ref="N250">Common_InputFunctions.Utility_DisplayArrayInTable(Common_SourceData.Common_SourceData_MCFTemperatureZone_Data(),Table_SourceData_Common_MCFTemperatureZone[[#Headers],[Temperature zone]],0)</f>
        <v>1.4999999999999999E-2</v>
      </c>
      <c r="O250" s="19" cm="1">
        <f t="array" ref="O250">Common_InputFunctions.Utility_DisplayArrayInTable(Common_SourceData.Common_SourceData_MCFTemperatureZone_Data(),Table_SourceData_Common_MCFTemperatureZone[[#Headers],[Temperature zone]],0)</f>
        <v>1.4999999999999999E-2</v>
      </c>
      <c r="P250" s="19" cm="1">
        <f t="array" ref="P250">Common_InputFunctions.Utility_DisplayArrayInTable(Common_SourceData.Common_SourceData_MCFTemperatureZone_Data(),Table_SourceData_Common_MCFTemperatureZone[[#Headers],[Temperature zone]],0)</f>
        <v>0</v>
      </c>
      <c r="Q250" s="19" cm="1">
        <f t="array" ref="Q250">Common_InputFunctions.Utility_DisplayArrayInTable(Common_SourceData.Common_SourceData_MCFTemperatureZone_Data(),Table_SourceData_Common_MCFTemperatureZone[[#Headers],[Temperature zone]],0)</f>
        <v>0</v>
      </c>
      <c r="R250" s="19" cm="1">
        <f t="array" ref="R250">Common_InputFunctions.Utility_DisplayArrayInTable(Common_SourceData.Common_SourceData_MCFTemperatureZone_Data(),Table_SourceData_Common_MCFTemperatureZone[[#Headers],[Temperature zone]],0)</f>
        <v>4.7000000000000002E-3</v>
      </c>
      <c r="S250" s="19" cm="1">
        <f t="array" ref="S250">Common_InputFunctions.Utility_DisplayArrayInTable(Common_SourceData.Common_SourceData_MCFTemperatureZone_Data(),Table_SourceData_Common_MCFTemperatureZone[[#Headers],[Temperature zone]],0)</f>
        <v>28</v>
      </c>
    </row>
    <row r="251" spans="1:19" ht="20.100000000000001" customHeight="1" x14ac:dyDescent="0.2">
      <c r="A251"/>
    </row>
    <row r="252" spans="1:19" ht="20.100000000000001" customHeight="1" x14ac:dyDescent="0.2">
      <c r="A252"/>
    </row>
    <row r="253" spans="1:19" ht="20.100000000000001" customHeight="1" x14ac:dyDescent="0.2">
      <c r="A253"/>
      <c r="D253" s="2" t="str" cm="1">
        <f t="array" ref="D253">Common_SourceData.Common_SourceData_EFOrganicFertiliserAndCropResidues_Title()</f>
        <v>Emission factor for organic fertiliser and crop residues returned to the soil</v>
      </c>
    </row>
    <row r="254" spans="1:19" ht="20.100000000000001" customHeight="1" x14ac:dyDescent="0.2">
      <c r="A254"/>
      <c r="D254" s="17" t="str" cm="1">
        <f t="array" ref="D254">Common_SourceData.Common_SourceData_EFOrganicFertiliserAndCropResidues_Source()</f>
        <v>VEERG 2026: Table A.2.1.4</v>
      </c>
    </row>
    <row r="255" spans="1:19" ht="20.100000000000001" customHeight="1" x14ac:dyDescent="0.2">
      <c r="A255"/>
      <c r="D255" s="1" t="str" cm="1">
        <f t="array" ref="D255">Common_SourceData.Common_SourceData_EFOrganicFertiliserAndCropResidues_Variable()</f>
        <v>EFNi &amp; EFN2Oi</v>
      </c>
    </row>
    <row r="256" spans="1:19" ht="20.100000000000001" customHeight="1" x14ac:dyDescent="0.2">
      <c r="A256"/>
      <c r="D256" s="9" t="str" cm="1">
        <f t="array" ref="D256">Common_SourceData.Common_SourceData_EFOrganicFertiliserAndCropResidues_Unit()</f>
        <v>kg N2O - N / kg N</v>
      </c>
    </row>
    <row r="257" spans="1:66" ht="20.100000000000001" customHeight="1" x14ac:dyDescent="0.2">
      <c r="A257"/>
      <c r="D257" s="19" t="s">
        <v>84</v>
      </c>
      <c r="E257" s="19" t="s">
        <v>85</v>
      </c>
    </row>
    <row r="258" spans="1:66" ht="20.100000000000001" customHeight="1" x14ac:dyDescent="0.2">
      <c r="A258"/>
      <c r="D258" s="19" t="str" cm="1">
        <f t="array" ref="D258">Common_InputFunctions.Utility_DisplayArrayInTable(Common_SourceData.Common_SourceData_EFOrganicFertiliserAndCropResidues_Data(), Table_SourceData_Common_EFOrganicFertCropResidues[[#Headers],[Climate Zone]], 0)</f>
        <v>Wet climate zone</v>
      </c>
      <c r="E258" s="19" cm="1">
        <f t="array" ref="E258">Common_InputFunctions.Utility_DisplayArrayInTable(Common_SourceData.Common_SourceData_EFOrganicFertiliserAndCropResidues_Data(), Table_SourceData_Common_EFOrganicFertCropResidues[[#Headers],[Climate Zone]], 0)</f>
        <v>6.0000000000000001E-3</v>
      </c>
    </row>
    <row r="259" spans="1:66" ht="20.100000000000001" customHeight="1" x14ac:dyDescent="0.2">
      <c r="A259"/>
      <c r="D259" s="1" t="str" cm="1">
        <f t="array" ref="D259">Common_InputFunctions.Utility_DisplayArrayInTable(Common_SourceData.Common_SourceData_EFOrganicFertiliserAndCropResidues_Data(), Table_SourceData_Common_EFOrganicFertCropResidues[[#Headers],[Climate Zone]], 0)</f>
        <v>Dry climate zone</v>
      </c>
      <c r="E259" s="19" cm="1">
        <f t="array" ref="E259">Common_InputFunctions.Utility_DisplayArrayInTable(Common_SourceData.Common_SourceData_EFOrganicFertiliserAndCropResidues_Data(), Table_SourceData_Common_EFOrganicFertCropResidues[[#Headers],[Climate Zone]], 0)</f>
        <v>5.0000000000000001E-3</v>
      </c>
    </row>
    <row r="260" spans="1:66" ht="20.100000000000001" customHeight="1" x14ac:dyDescent="0.2">
      <c r="A260"/>
    </row>
    <row r="261" spans="1:66" ht="20.100000000000001" customHeight="1" x14ac:dyDescent="0.2">
      <c r="A261"/>
    </row>
    <row r="262" spans="1:66" ht="20.100000000000001" customHeight="1" x14ac:dyDescent="0.2">
      <c r="A262"/>
    </row>
    <row r="263" spans="1:66" ht="20.100000000000001" customHeight="1" x14ac:dyDescent="0.2">
      <c r="A263"/>
      <c r="D263" s="2" t="s">
        <v>154</v>
      </c>
    </row>
    <row r="264" spans="1:66" ht="20.100000000000001" customHeight="1" x14ac:dyDescent="0.2">
      <c r="A264"/>
      <c r="D264" s="1" t="s">
        <v>155</v>
      </c>
    </row>
    <row r="265" spans="1:66" ht="20.100000000000001" customHeight="1" x14ac:dyDescent="0.2">
      <c r="A265"/>
      <c r="D265" s="19" t="s">
        <v>198</v>
      </c>
      <c r="E265" s="19" t="s">
        <v>156</v>
      </c>
      <c r="F265" s="19" t="s">
        <v>157</v>
      </c>
      <c r="G265" s="19" t="s">
        <v>150</v>
      </c>
      <c r="V265" s="1"/>
      <c r="BN265" s="21"/>
    </row>
    <row r="266" spans="1:66" ht="20.100000000000001" customHeight="1" x14ac:dyDescent="0.2">
      <c r="A266"/>
      <c r="D266" s="19" t="s">
        <v>199</v>
      </c>
      <c r="E266" s="19" t="s">
        <v>158</v>
      </c>
      <c r="F266" s="19" t="s">
        <v>159</v>
      </c>
      <c r="G266" s="19">
        <v>5</v>
      </c>
      <c r="V266" s="1"/>
      <c r="BN266" s="21"/>
    </row>
    <row r="267" spans="1:66" ht="20.100000000000001" customHeight="1" x14ac:dyDescent="0.2">
      <c r="A267"/>
      <c r="D267" s="19" t="s">
        <v>200</v>
      </c>
      <c r="E267" s="19" t="s">
        <v>160</v>
      </c>
      <c r="F267" s="19" t="s">
        <v>151</v>
      </c>
      <c r="G267" s="19">
        <v>4</v>
      </c>
      <c r="V267" s="1"/>
      <c r="BN267" s="21"/>
    </row>
    <row r="268" spans="1:66" ht="20.100000000000001" customHeight="1" x14ac:dyDescent="0.2">
      <c r="A268"/>
      <c r="D268" s="19" t="s">
        <v>201</v>
      </c>
      <c r="E268" s="19" t="s">
        <v>161</v>
      </c>
      <c r="F268" s="19" t="s">
        <v>162</v>
      </c>
      <c r="G268" s="19">
        <v>3</v>
      </c>
      <c r="V268" s="1"/>
      <c r="BN268" s="21"/>
    </row>
    <row r="269" spans="1:66" ht="20.100000000000001" customHeight="1" x14ac:dyDescent="0.2">
      <c r="A269"/>
      <c r="D269" s="19" t="s">
        <v>202</v>
      </c>
      <c r="E269" s="19" t="s">
        <v>163</v>
      </c>
      <c r="F269" s="19" t="s">
        <v>164</v>
      </c>
      <c r="G269" s="19">
        <v>2</v>
      </c>
      <c r="V269" s="1"/>
      <c r="BN269" s="21"/>
    </row>
    <row r="270" spans="1:66" ht="20.100000000000001" customHeight="1" x14ac:dyDescent="0.2">
      <c r="A270"/>
      <c r="D270" s="19" t="s">
        <v>203</v>
      </c>
      <c r="E270" s="19" t="s">
        <v>165</v>
      </c>
      <c r="F270" s="19" t="s">
        <v>166</v>
      </c>
      <c r="G270" s="19">
        <v>1</v>
      </c>
      <c r="V270" s="1"/>
      <c r="BN270" s="21"/>
    </row>
    <row r="271" spans="1:66" ht="20.100000000000001" customHeight="1" x14ac:dyDescent="0.2">
      <c r="A271"/>
    </row>
    <row r="272" spans="1:66" ht="20.100000000000001" customHeight="1" x14ac:dyDescent="0.2">
      <c r="A272"/>
    </row>
    <row r="273" spans="1:66" ht="20.100000000000001" customHeight="1" x14ac:dyDescent="0.2">
      <c r="A273"/>
      <c r="D273" s="1" t="s">
        <v>167</v>
      </c>
    </row>
    <row r="274" spans="1:66" ht="20.100000000000001" customHeight="1" x14ac:dyDescent="0.2">
      <c r="A274"/>
      <c r="D274" s="19" t="s">
        <v>198</v>
      </c>
      <c r="E274" s="19" t="s">
        <v>156</v>
      </c>
      <c r="F274" s="19" t="s">
        <v>157</v>
      </c>
      <c r="G274" s="19" t="s">
        <v>150</v>
      </c>
      <c r="V274" s="1"/>
      <c r="BN274" s="21"/>
    </row>
    <row r="275" spans="1:66" ht="20.100000000000001" customHeight="1" x14ac:dyDescent="0.2">
      <c r="A275"/>
      <c r="D275" s="19" t="s">
        <v>204</v>
      </c>
      <c r="E275" s="19" t="s">
        <v>168</v>
      </c>
      <c r="F275" s="19" t="s">
        <v>152</v>
      </c>
      <c r="G275" s="19">
        <v>5</v>
      </c>
      <c r="V275" s="1"/>
      <c r="BN275" s="21"/>
    </row>
    <row r="276" spans="1:66" ht="20.100000000000001" customHeight="1" x14ac:dyDescent="0.2">
      <c r="A276"/>
      <c r="D276" s="19" t="s">
        <v>205</v>
      </c>
      <c r="E276" s="19" t="s">
        <v>169</v>
      </c>
      <c r="F276" s="19" t="s">
        <v>170</v>
      </c>
      <c r="G276" s="19">
        <v>4</v>
      </c>
      <c r="V276" s="1"/>
      <c r="BN276" s="21"/>
    </row>
    <row r="277" spans="1:66" ht="20.100000000000001" customHeight="1" x14ac:dyDescent="0.2">
      <c r="A277"/>
      <c r="D277" s="19" t="s">
        <v>206</v>
      </c>
      <c r="E277" s="19" t="s">
        <v>171</v>
      </c>
      <c r="F277" s="19" t="s">
        <v>172</v>
      </c>
      <c r="G277" s="19">
        <v>3</v>
      </c>
      <c r="V277" s="1"/>
      <c r="BN277" s="21"/>
    </row>
    <row r="278" spans="1:66" ht="20.100000000000001" customHeight="1" x14ac:dyDescent="0.2">
      <c r="A278" s="79" t="str">
        <f>HYPERLINK("#A1", "▲ Back to top")</f>
        <v>▲ Back to top</v>
      </c>
      <c r="D278" s="19" t="s">
        <v>207</v>
      </c>
      <c r="E278" s="19" t="s">
        <v>173</v>
      </c>
      <c r="F278" s="19" t="s">
        <v>174</v>
      </c>
      <c r="G278" s="19">
        <v>2</v>
      </c>
      <c r="V278" s="1"/>
      <c r="BN278" s="21"/>
    </row>
    <row r="279" spans="1:66" ht="20.100000000000001" customHeight="1" x14ac:dyDescent="0.2">
      <c r="A279"/>
      <c r="D279" s="19" t="s">
        <v>208</v>
      </c>
      <c r="E279" s="19" t="s">
        <v>175</v>
      </c>
      <c r="F279" s="19" t="s">
        <v>176</v>
      </c>
      <c r="G279" s="19">
        <v>1</v>
      </c>
      <c r="V279" s="1"/>
      <c r="BN279" s="21"/>
    </row>
    <row r="280" spans="1:66" ht="20.100000000000001" customHeight="1" x14ac:dyDescent="0.2">
      <c r="A280"/>
    </row>
    <row r="281" spans="1:66" ht="20.100000000000001" customHeight="1" x14ac:dyDescent="0.2">
      <c r="A281"/>
    </row>
    <row r="282" spans="1:66" ht="20.100000000000001" customHeight="1" x14ac:dyDescent="0.2">
      <c r="A282"/>
      <c r="D282" s="1" t="s">
        <v>177</v>
      </c>
    </row>
    <row r="283" spans="1:66" ht="20.100000000000001" customHeight="1" x14ac:dyDescent="0.2">
      <c r="A283"/>
      <c r="D283" s="19" t="s">
        <v>198</v>
      </c>
      <c r="E283" s="19" t="s">
        <v>156</v>
      </c>
      <c r="F283" s="19" t="s">
        <v>157</v>
      </c>
      <c r="G283" s="19" t="s">
        <v>150</v>
      </c>
      <c r="V283" s="1"/>
      <c r="BN283" s="21"/>
    </row>
    <row r="284" spans="1:66" ht="20.100000000000001" customHeight="1" x14ac:dyDescent="0.2">
      <c r="A284"/>
      <c r="D284" s="19" t="s">
        <v>209</v>
      </c>
      <c r="E284" s="19" t="s">
        <v>178</v>
      </c>
      <c r="F284" s="19" t="s">
        <v>179</v>
      </c>
      <c r="G284" s="19">
        <v>5</v>
      </c>
      <c r="V284" s="1"/>
      <c r="BN284" s="21"/>
    </row>
    <row r="285" spans="1:66" ht="20.100000000000001" customHeight="1" x14ac:dyDescent="0.2">
      <c r="A285"/>
      <c r="D285" s="19" t="s">
        <v>210</v>
      </c>
      <c r="E285" s="19" t="s">
        <v>180</v>
      </c>
      <c r="F285" s="19" t="s">
        <v>181</v>
      </c>
      <c r="G285" s="19">
        <v>4</v>
      </c>
      <c r="V285" s="1"/>
      <c r="BN285" s="21"/>
    </row>
    <row r="286" spans="1:66" ht="20.100000000000001" customHeight="1" x14ac:dyDescent="0.2">
      <c r="A286"/>
      <c r="D286" s="19" t="s">
        <v>211</v>
      </c>
      <c r="E286" s="19" t="s">
        <v>182</v>
      </c>
      <c r="F286" s="19" t="s">
        <v>153</v>
      </c>
      <c r="G286" s="19">
        <v>3</v>
      </c>
      <c r="V286" s="1"/>
      <c r="BN286" s="21"/>
    </row>
    <row r="287" spans="1:66" ht="20.100000000000001" customHeight="1" x14ac:dyDescent="0.2">
      <c r="A287"/>
      <c r="D287" s="19" t="s">
        <v>212</v>
      </c>
      <c r="E287" s="19" t="s">
        <v>183</v>
      </c>
      <c r="F287" s="19" t="s">
        <v>184</v>
      </c>
      <c r="G287" s="19">
        <v>2</v>
      </c>
      <c r="V287" s="1"/>
      <c r="BN287" s="21"/>
    </row>
    <row r="288" spans="1:66" ht="20.100000000000001" customHeight="1" x14ac:dyDescent="0.2">
      <c r="A288"/>
      <c r="D288" s="19" t="s">
        <v>213</v>
      </c>
      <c r="E288" s="19" t="s">
        <v>185</v>
      </c>
      <c r="F288" s="19" t="s">
        <v>186</v>
      </c>
      <c r="G288" s="19">
        <v>1</v>
      </c>
      <c r="V288" s="1"/>
      <c r="BN288" s="21"/>
    </row>
    <row r="289" spans="1:66" ht="20.100000000000001" customHeight="1" x14ac:dyDescent="0.2">
      <c r="A289"/>
    </row>
    <row r="290" spans="1:66" ht="20.100000000000001" customHeight="1" x14ac:dyDescent="0.2">
      <c r="A290"/>
    </row>
    <row r="291" spans="1:66" ht="20.100000000000001" customHeight="1" x14ac:dyDescent="0.2">
      <c r="A291"/>
      <c r="D291" s="1" t="s">
        <v>187</v>
      </c>
    </row>
    <row r="292" spans="1:66" ht="20.100000000000001" customHeight="1" x14ac:dyDescent="0.2">
      <c r="A292"/>
      <c r="D292" s="19" t="s">
        <v>198</v>
      </c>
      <c r="E292" s="19" t="s">
        <v>156</v>
      </c>
      <c r="F292" s="19" t="s">
        <v>157</v>
      </c>
      <c r="G292" s="19" t="s">
        <v>150</v>
      </c>
      <c r="V292" s="1"/>
      <c r="BN292" s="21"/>
    </row>
    <row r="293" spans="1:66" ht="20.100000000000001" customHeight="1" x14ac:dyDescent="0.2">
      <c r="A293"/>
      <c r="D293" s="19" t="s">
        <v>214</v>
      </c>
      <c r="E293" s="19" t="s">
        <v>188</v>
      </c>
      <c r="F293" s="19" t="s">
        <v>189</v>
      </c>
      <c r="G293" s="19">
        <v>5</v>
      </c>
      <c r="V293" s="1"/>
      <c r="BN293" s="21"/>
    </row>
    <row r="294" spans="1:66" ht="20.100000000000001" customHeight="1" x14ac:dyDescent="0.2">
      <c r="A294"/>
      <c r="D294" s="19" t="s">
        <v>215</v>
      </c>
      <c r="E294" s="19" t="s">
        <v>190</v>
      </c>
      <c r="F294" s="19" t="s">
        <v>191</v>
      </c>
      <c r="G294" s="19">
        <v>4</v>
      </c>
      <c r="V294" s="1"/>
      <c r="BN294" s="21"/>
    </row>
    <row r="295" spans="1:66" ht="20.100000000000001" customHeight="1" x14ac:dyDescent="0.2">
      <c r="A295"/>
      <c r="D295" s="19" t="s">
        <v>216</v>
      </c>
      <c r="E295" s="19" t="s">
        <v>192</v>
      </c>
      <c r="F295" s="19" t="s">
        <v>193</v>
      </c>
      <c r="G295" s="19">
        <v>3</v>
      </c>
      <c r="V295" s="1"/>
      <c r="BN295" s="21"/>
    </row>
    <row r="296" spans="1:66" ht="20.100000000000001" customHeight="1" x14ac:dyDescent="0.2">
      <c r="A296"/>
      <c r="D296" s="19" t="s">
        <v>217</v>
      </c>
      <c r="E296" s="19" t="s">
        <v>194</v>
      </c>
      <c r="F296" s="19" t="s">
        <v>195</v>
      </c>
      <c r="G296" s="19">
        <v>2</v>
      </c>
      <c r="V296" s="1"/>
      <c r="BN296" s="21"/>
    </row>
    <row r="297" spans="1:66" ht="20.100000000000001" customHeight="1" x14ac:dyDescent="0.2">
      <c r="A297"/>
      <c r="D297" s="19" t="s">
        <v>218</v>
      </c>
      <c r="E297" s="19" t="s">
        <v>196</v>
      </c>
      <c r="F297" s="19" t="s">
        <v>197</v>
      </c>
      <c r="G297" s="19">
        <v>1</v>
      </c>
      <c r="V297" s="1"/>
      <c r="BN297" s="21"/>
    </row>
    <row r="298" spans="1:66" ht="20.100000000000001" customHeight="1" x14ac:dyDescent="0.2">
      <c r="A298"/>
    </row>
    <row r="299" spans="1:66" ht="20.100000000000001" customHeight="1" x14ac:dyDescent="0.2">
      <c r="A299"/>
    </row>
    <row r="300" spans="1:66" ht="20.100000000000001" customHeight="1" x14ac:dyDescent="0.2">
      <c r="A300"/>
    </row>
    <row r="301" spans="1:66" ht="20.100000000000001" customHeight="1" x14ac:dyDescent="0.2">
      <c r="A301"/>
    </row>
    <row r="302" spans="1:66" ht="20.100000000000001" customHeight="1" x14ac:dyDescent="0.2">
      <c r="A302"/>
    </row>
    <row r="303" spans="1:66" ht="20.100000000000001" customHeight="1" x14ac:dyDescent="0.2">
      <c r="A303"/>
    </row>
    <row r="304" spans="1:66" ht="20.100000000000001" customHeight="1" x14ac:dyDescent="0.2">
      <c r="A304"/>
    </row>
    <row r="305" spans="1:1" ht="20.100000000000001" customHeight="1" x14ac:dyDescent="0.2">
      <c r="A305"/>
    </row>
    <row r="306" spans="1:1" ht="20.100000000000001" customHeight="1" x14ac:dyDescent="0.2">
      <c r="A306"/>
    </row>
    <row r="307" spans="1:1" ht="20.100000000000001" customHeight="1" x14ac:dyDescent="0.2">
      <c r="A307"/>
    </row>
    <row r="308" spans="1:1" ht="20.100000000000001" customHeight="1" x14ac:dyDescent="0.2">
      <c r="A308"/>
    </row>
    <row r="309" spans="1:1" ht="20.100000000000001" customHeight="1" x14ac:dyDescent="0.2">
      <c r="A309"/>
    </row>
    <row r="310" spans="1:1" ht="20.100000000000001" customHeight="1" x14ac:dyDescent="0.2">
      <c r="A310"/>
    </row>
    <row r="311" spans="1:1" ht="20.100000000000001" customHeight="1" x14ac:dyDescent="0.2">
      <c r="A311"/>
    </row>
    <row r="312" spans="1:1" ht="20.100000000000001" customHeight="1" x14ac:dyDescent="0.2">
      <c r="A312"/>
    </row>
    <row r="313" spans="1:1" ht="20.100000000000001" customHeight="1" x14ac:dyDescent="0.2">
      <c r="A313"/>
    </row>
    <row r="314" spans="1:1" ht="20.100000000000001" customHeight="1" x14ac:dyDescent="0.2">
      <c r="A314"/>
    </row>
    <row r="315" spans="1:1" ht="20.100000000000001" customHeight="1" x14ac:dyDescent="0.2">
      <c r="A315"/>
    </row>
    <row r="316" spans="1:1" ht="20.100000000000001" customHeight="1" x14ac:dyDescent="0.2">
      <c r="A316"/>
    </row>
    <row r="317" spans="1:1" ht="20.100000000000001" customHeight="1" x14ac:dyDescent="0.2">
      <c r="A317"/>
    </row>
    <row r="318" spans="1:1" ht="20.100000000000001" customHeight="1" x14ac:dyDescent="0.2">
      <c r="A318"/>
    </row>
    <row r="319" spans="1:1" ht="20.100000000000001" customHeight="1" x14ac:dyDescent="0.2">
      <c r="A319"/>
    </row>
    <row r="320" spans="1:1" ht="20.100000000000001" customHeight="1" x14ac:dyDescent="0.2">
      <c r="A320"/>
    </row>
    <row r="321" spans="1:1" ht="20.100000000000001" customHeight="1" x14ac:dyDescent="0.2">
      <c r="A321"/>
    </row>
    <row r="322" spans="1:1" ht="20.100000000000001" customHeight="1" x14ac:dyDescent="0.2">
      <c r="A322"/>
    </row>
    <row r="323" spans="1:1" ht="20.100000000000001" customHeight="1" x14ac:dyDescent="0.2">
      <c r="A323"/>
    </row>
    <row r="324" spans="1:1" ht="20.100000000000001" customHeight="1" x14ac:dyDescent="0.2">
      <c r="A324"/>
    </row>
    <row r="325" spans="1:1" ht="20.100000000000001" customHeight="1" x14ac:dyDescent="0.2">
      <c r="A325"/>
    </row>
    <row r="326" spans="1:1" ht="20.100000000000001" customHeight="1" x14ac:dyDescent="0.2">
      <c r="A326"/>
    </row>
    <row r="327" spans="1:1" ht="20.100000000000001" customHeight="1" x14ac:dyDescent="0.2">
      <c r="A327"/>
    </row>
    <row r="328" spans="1:1" ht="20.100000000000001" customHeight="1" x14ac:dyDescent="0.2">
      <c r="A328"/>
    </row>
    <row r="329" spans="1:1" ht="20.100000000000001" customHeight="1" x14ac:dyDescent="0.2">
      <c r="A329"/>
    </row>
    <row r="330" spans="1:1" ht="20.100000000000001" customHeight="1" x14ac:dyDescent="0.2">
      <c r="A330"/>
    </row>
    <row r="331" spans="1:1" ht="20.100000000000001" customHeight="1" x14ac:dyDescent="0.2">
      <c r="A331"/>
    </row>
    <row r="332" spans="1:1" ht="20.100000000000001" customHeight="1" x14ac:dyDescent="0.2">
      <c r="A332"/>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3CF1ED-D418-4A27-8135-CF1F7263F109}">
  <sheetPr>
    <tabColor theme="5" tint="-0.249977111117893"/>
  </sheetPr>
  <dimension ref="A1:K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s>
  <sheetData>
    <row r="1" spans="1:11" s="10" customFormat="1" ht="30" customHeight="1" x14ac:dyDescent="0.35">
      <c r="A1" s="10" t="e" vm="1">
        <v>#VALUE!</v>
      </c>
      <c r="C1" s="10" t="s">
        <v>681</v>
      </c>
    </row>
    <row r="2" spans="1:11" s="3" customFormat="1" ht="20.100000000000001" customHeight="1" x14ac:dyDescent="0.2">
      <c r="A2"/>
    </row>
    <row r="3" spans="1:11" ht="20.100000000000001" customHeight="1" x14ac:dyDescent="0.2">
      <c r="A3" s="5" t="str">
        <f>HYPERLINK("#'Home'!A1", "Home")</f>
        <v>Home</v>
      </c>
      <c r="C3" s="28"/>
      <c r="D3" s="28"/>
      <c r="E3" s="28"/>
      <c r="F3" s="28"/>
      <c r="G3" s="28"/>
      <c r="H3" s="28"/>
      <c r="I3" s="28"/>
      <c r="J3" s="28"/>
      <c r="K3" s="28"/>
    </row>
    <row r="4" spans="1:11" ht="20.100000000000001" customHeight="1" x14ac:dyDescent="0.2">
      <c r="A4" s="5" t="str">
        <f>HYPERLINK("#'Results - Activity period'!A1", "Results - Activity period")</f>
        <v>Results - Activity period</v>
      </c>
    </row>
    <row r="5" spans="1:11" ht="20.100000000000001" customHeight="1" x14ac:dyDescent="0.2">
      <c r="A5" s="5" t="str">
        <f>HYPERLINK("#'Results - Product EI'!A1", "Results - Product Emissions Intensity")</f>
        <v>Results - Product Emissions Intensity</v>
      </c>
      <c r="D5" s="1" t="s">
        <v>311</v>
      </c>
      <c r="E5" s="13" t="s">
        <v>325</v>
      </c>
      <c r="F5" s="16" t="s">
        <v>100</v>
      </c>
    </row>
    <row r="6" spans="1:11" ht="20.100000000000001" customHeight="1" x14ac:dyDescent="0.2">
      <c r="D6" s="1" t="s">
        <v>682</v>
      </c>
      <c r="E6" s="13" t="s">
        <v>683</v>
      </c>
      <c r="F6" s="16" t="s">
        <v>100</v>
      </c>
    </row>
    <row r="7" spans="1:11" ht="20.100000000000001" customHeight="1" x14ac:dyDescent="0.2">
      <c r="D7" s="1" t="s">
        <v>63</v>
      </c>
      <c r="E7" s="13" t="s">
        <v>517</v>
      </c>
      <c r="F7" s="16" t="s">
        <v>100</v>
      </c>
    </row>
    <row r="8" spans="1:11" ht="20.100000000000001" customHeight="1" x14ac:dyDescent="0.2">
      <c r="A8" s="7" t="s">
        <v>0</v>
      </c>
      <c r="D8" s="1" t="s">
        <v>684</v>
      </c>
      <c r="E8" s="74">
        <v>100</v>
      </c>
      <c r="F8" s="16" t="s">
        <v>685</v>
      </c>
    </row>
    <row r="9" spans="1:11" ht="20.100000000000001" customHeight="1" x14ac:dyDescent="0.2">
      <c r="A9" s="5" t="str">
        <f>HYPERLINK("#'Input - Enterprise'!A1", "Enterprise")</f>
        <v>Enterprise</v>
      </c>
    </row>
    <row r="10" spans="1:11" ht="20.100000000000001" customHeight="1" x14ac:dyDescent="0.2">
      <c r="A10" s="5" t="str">
        <f>HYPERLINK("#'Input - Site'!A1", "Site")</f>
        <v>Site</v>
      </c>
    </row>
    <row r="11" spans="1:11" ht="20.100000000000001" customHeight="1" x14ac:dyDescent="0.2">
      <c r="A11" s="5" t="str">
        <f>HYPERLINK("#'Input - Poultry'!A1", "Poultry")</f>
        <v>Poultry</v>
      </c>
    </row>
    <row r="12" spans="1:11" ht="20.100000000000001" customHeight="1" x14ac:dyDescent="0.2">
      <c r="A12" s="5" t="str">
        <f>HYPERLINK("#'Input - Livestock sales'!A1", "Livestock sales")</f>
        <v>Livestock sales</v>
      </c>
    </row>
    <row r="13" spans="1:11" ht="20.100000000000001" customHeight="1" x14ac:dyDescent="0.2">
      <c r="A13" s="5" t="str">
        <f>HYPERLINK("#'Input - Poultry purchases'!A1", "Poultry purchases")</f>
        <v>Poultry purchases</v>
      </c>
    </row>
    <row r="14" spans="1:11" ht="20.100000000000001" customHeight="1" x14ac:dyDescent="0.2">
      <c r="A14" s="5" t="str">
        <f>HYPERLINK("#'Input - Fuel'!A1", "Fuel")</f>
        <v>Fuel</v>
      </c>
    </row>
    <row r="15" spans="1:11" ht="20.100000000000001" customHeight="1" x14ac:dyDescent="0.2">
      <c r="A15" s="5" t="str">
        <f>HYPERLINK("#'Input - Electricity'!A1", "Electricity")</f>
        <v>Electricity</v>
      </c>
    </row>
    <row r="16" spans="1:11" ht="20.100000000000001" customHeight="1" x14ac:dyDescent="0.2">
      <c r="A16" s="5" t="str">
        <f>HYPERLINK("#'Input - Common farm inputs'!A1", "Common farm inputs")</f>
        <v>Common farm inputs</v>
      </c>
    </row>
    <row r="17" spans="1:1" ht="20.100000000000001" customHeight="1" x14ac:dyDescent="0.2">
      <c r="A17" s="5" t="str">
        <f>HYPERLINK("#'Input - Livestock farm Inputs'!A1", "Livestock farm Inputs")</f>
        <v>Livestock farm Inputs</v>
      </c>
    </row>
    <row r="18" spans="1:1" ht="20.100000000000001" customHeight="1" x14ac:dyDescent="0.2">
      <c r="A18" s="5" t="str">
        <f>HYPERLINK("#'Input - Freight'!A1", "Freight")</f>
        <v>Freight</v>
      </c>
    </row>
    <row r="19" spans="1:1" ht="20.100000000000001" customHeight="1" x14ac:dyDescent="0.2">
      <c r="A19" s="5" t="str">
        <f>HYPERLINK("#'Input - Solid waste'!A1", "Solid waste")</f>
        <v>Solid waste</v>
      </c>
    </row>
    <row r="20" spans="1:1" ht="20.100000000000001" customHeight="1" x14ac:dyDescent="0.2">
      <c r="A20" s="5" t="str">
        <f>HYPERLINK("#'Input - Manure sent off-site'!A1", "Manure sent off-site")</f>
        <v>Manure sent off-site</v>
      </c>
    </row>
    <row r="21" spans="1:1" ht="20.100000000000001" customHeight="1" x14ac:dyDescent="0.2">
      <c r="A21" s="5" t="str">
        <f>HYPERLINK("#'Input - Data quality'!A1", "Data quality")</f>
        <v>Data quality</v>
      </c>
    </row>
    <row r="22" spans="1:1" ht="20.100000000000001" customHeight="1" x14ac:dyDescent="0.2">
      <c r="A22" s="100" t="str">
        <f>HYPERLINK("#'Input - Fert Prod System'!A1", "Fert Prod System")</f>
        <v>Fert Prod System</v>
      </c>
    </row>
    <row r="23" spans="1:1" ht="20.100000000000001" customHeight="1" x14ac:dyDescent="0.2">
      <c r="A23" s="5" t="str">
        <f>HYPERLINK("#'Input - Fertiliser'!A1", "Fertiliser")</f>
        <v>Fertiliser</v>
      </c>
    </row>
    <row r="26" spans="1:1" ht="20.100000000000001" customHeight="1" x14ac:dyDescent="0.2">
      <c r="A26" s="6" t="s">
        <v>2</v>
      </c>
    </row>
    <row r="27" spans="1:1" ht="20.100000000000001" customHeight="1" x14ac:dyDescent="0.2">
      <c r="A27" s="5" t="str">
        <f>HYPERLINK("#'4.6.1.1-2 Methane'!A1", "4.6.1.1-2 Manure Methane")</f>
        <v>4.6.1.1-2 Manure Methane</v>
      </c>
    </row>
    <row r="28" spans="1:1" ht="20.100000000000001" customHeight="1" x14ac:dyDescent="0.2">
      <c r="A28" s="5" t="str">
        <f>HYPERLINK("#'4.6.1.3-4 Direct N20'!A1", "4.6.1.3-4 Manure Direct N2O")</f>
        <v>4.6.1.3-4 Manure Direct N2O</v>
      </c>
    </row>
    <row r="29" spans="1:1" ht="20.100000000000001" customHeight="1" x14ac:dyDescent="0.2">
      <c r="A29" s="5" t="str">
        <f>HYPERLINK("#'4.6.1.5-6 Atmos Dep'!A1", "4.6.1.5-6 Manure Atmos Dep")</f>
        <v>4.6.1.5-6 Manure Atmos Dep</v>
      </c>
    </row>
    <row r="30" spans="1:1" ht="20.100000000000001" customHeight="1" x14ac:dyDescent="0.2">
      <c r="A30" s="5" t="str">
        <f>HYPERLINK("#'4.6.1.7-8 Leaching and runoff'!A1", "4.6.1.7-8 Manure Leaching and runoff")</f>
        <v>4.6.1.7-8 Manure Leaching and runoff</v>
      </c>
    </row>
    <row r="31" spans="1:1" ht="20.100000000000001" customHeight="1" x14ac:dyDescent="0.2">
      <c r="A31" s="5" t="str">
        <f>HYPERLINK("#'4.6.1.9 Manure applied to soils'!A1", "4.6.1.9 Manure applied to soils")</f>
        <v>4.6.1.9 Manure applied to soils</v>
      </c>
    </row>
    <row r="32" spans="1:1"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5"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dataValidations count="3">
    <dataValidation type="list" allowBlank="1" showInputMessage="1" showErrorMessage="1" sqref="E5" xr:uid="{3886E6B0-659A-47D0-960C-568E866BEB68}">
      <formula1>INDIRECT("Table_SourceData_Fertiliser_CropProdSystems[Production system]")</formula1>
    </dataValidation>
    <dataValidation type="list" allowBlank="1" showInputMessage="1" showErrorMessage="1" sqref="E7" xr:uid="{F451FADF-9FC9-47FA-90CB-DB5A9720D35C}">
      <formula1>INDIRECT("Table_SourceData_Fertiliser_IrrigationMethods[Irrigation method]")</formula1>
    </dataValidation>
    <dataValidation type="list" allowBlank="1" showInputMessage="1" showErrorMessage="1" sqref="E6" xr:uid="{13066D19-8AE3-4023-9CFE-A6842C8E7F59}">
      <formula1>INDIRECT("Table_SourceData_Fertiliser_CropTypes[Production system]")</formula1>
    </dataValidation>
  </dataValidation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629BA-BABB-46D9-950F-F030B3BDB7C1}">
  <sheetPr>
    <tabColor theme="5" tint="-0.249977111117893"/>
  </sheetPr>
  <dimension ref="A1:AA378"/>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4" width="52.140625" style="1" customWidth="1"/>
    <col min="5" max="24" width="30.7109375" style="1" customWidth="1"/>
    <col min="25" max="26" width="20.7109375" style="1" customWidth="1"/>
    <col min="27" max="27" width="4.7109375" style="1" customWidth="1"/>
  </cols>
  <sheetData>
    <row r="1" spans="1:27" s="10" customFormat="1" ht="30" customHeight="1" x14ac:dyDescent="0.35">
      <c r="A1" s="10" t="e" vm="1">
        <v>#VALUE!</v>
      </c>
      <c r="C1" s="10" t="s">
        <v>686</v>
      </c>
    </row>
    <row r="2" spans="1:27" s="3" customFormat="1" ht="20.100000000000001" customHeight="1" x14ac:dyDescent="0.2">
      <c r="A2"/>
    </row>
    <row r="3" spans="1:27" ht="20.100000000000001" customHeight="1" x14ac:dyDescent="0.2">
      <c r="A3" s="5" t="str">
        <f>HYPERLINK("#'Home'!A1", "Home")</f>
        <v>Home</v>
      </c>
      <c r="C3" s="28"/>
      <c r="D3" s="28"/>
      <c r="E3" s="28"/>
      <c r="F3" s="28"/>
      <c r="G3" s="28"/>
      <c r="H3" s="28"/>
      <c r="I3" s="28"/>
      <c r="J3" s="28"/>
      <c r="K3" s="28"/>
      <c r="L3" s="28"/>
      <c r="M3" s="28"/>
      <c r="N3" s="28"/>
      <c r="O3" s="28"/>
      <c r="P3" s="28"/>
      <c r="Q3" s="28"/>
      <c r="R3" s="28"/>
      <c r="S3" s="28"/>
      <c r="T3" s="28"/>
      <c r="U3" s="28"/>
      <c r="V3" s="28"/>
      <c r="W3" s="28"/>
      <c r="X3" s="28"/>
      <c r="Y3" s="28"/>
      <c r="Z3" s="28"/>
      <c r="AA3" s="28"/>
    </row>
    <row r="4" spans="1:27" ht="20.100000000000001" customHeight="1" x14ac:dyDescent="0.2">
      <c r="A4" s="5" t="str">
        <f>HYPERLINK("#'Results - Activity period'!A1", "Results - Activity period")</f>
        <v>Results - Activity period</v>
      </c>
    </row>
    <row r="5" spans="1:27" ht="20.100000000000001" customHeight="1" x14ac:dyDescent="0.2">
      <c r="A5" s="5" t="str">
        <f>HYPERLINK("#'Results - Product EI'!A1", "Results - Product Emissions Intensity")</f>
        <v>Results - Product Emissions Intensity</v>
      </c>
      <c r="D5" s="2" t="s">
        <v>687</v>
      </c>
      <c r="E5" s="24"/>
      <c r="F5" s="24"/>
      <c r="G5" s="24"/>
      <c r="H5" s="24"/>
      <c r="I5" s="24"/>
      <c r="J5" s="24"/>
      <c r="K5" s="24"/>
      <c r="L5" s="24"/>
      <c r="M5" s="24"/>
    </row>
    <row r="6" spans="1:27" ht="20.100000000000001" customHeight="1" x14ac:dyDescent="0.2">
      <c r="D6" s="8"/>
      <c r="E6" s="8"/>
      <c r="F6" s="8"/>
      <c r="G6" s="8"/>
      <c r="H6" s="8"/>
      <c r="I6" s="8"/>
      <c r="J6" s="8"/>
      <c r="K6" s="8"/>
      <c r="L6" s="8"/>
      <c r="M6" s="8"/>
    </row>
    <row r="7" spans="1:27" ht="20.100000000000001" customHeight="1" x14ac:dyDescent="0.2">
      <c r="D7" s="131" t="s">
        <v>688</v>
      </c>
      <c r="E7" s="43"/>
      <c r="F7" s="43"/>
      <c r="G7" s="43"/>
      <c r="H7" s="44"/>
      <c r="I7" s="193"/>
      <c r="J7" s="194"/>
      <c r="K7" s="194"/>
      <c r="L7" s="194"/>
      <c r="M7" s="194"/>
    </row>
    <row r="8" spans="1:27" ht="20.100000000000001" customHeight="1" x14ac:dyDescent="0.2">
      <c r="A8" s="7" t="s">
        <v>0</v>
      </c>
      <c r="D8" s="45" t="s">
        <v>689</v>
      </c>
      <c r="E8" s="46"/>
      <c r="F8" s="46"/>
      <c r="G8" s="46"/>
      <c r="H8" s="47"/>
      <c r="I8" s="8"/>
      <c r="J8" s="8"/>
      <c r="K8" s="8"/>
      <c r="L8" s="8"/>
      <c r="M8" s="8"/>
    </row>
    <row r="9" spans="1:27" ht="20.100000000000001" customHeight="1" x14ac:dyDescent="0.2">
      <c r="A9" s="5" t="str">
        <f>HYPERLINK("#'Input - Enterprise'!A1", "Enterprise")</f>
        <v>Enterprise</v>
      </c>
      <c r="D9" s="8"/>
      <c r="E9" s="8"/>
      <c r="F9" s="8"/>
      <c r="G9" s="8"/>
      <c r="H9" s="8"/>
      <c r="I9" s="8"/>
      <c r="J9" s="8"/>
      <c r="K9" s="8"/>
      <c r="L9" s="8"/>
      <c r="M9" s="8"/>
    </row>
    <row r="10" spans="1:27" ht="20.100000000000001" customHeight="1" x14ac:dyDescent="0.2">
      <c r="A10" s="5" t="str">
        <f>HYPERLINK("#'Input - Site'!A1", "Site")</f>
        <v>Site</v>
      </c>
      <c r="D10" s="77" t="s">
        <v>690</v>
      </c>
      <c r="E10" s="8"/>
      <c r="F10" s="8"/>
      <c r="G10" s="8"/>
      <c r="H10" s="8"/>
      <c r="I10" s="8"/>
      <c r="J10" s="8"/>
      <c r="K10" s="8"/>
      <c r="L10" s="8"/>
      <c r="M10" s="8"/>
    </row>
    <row r="11" spans="1:27" ht="20.100000000000001" customHeight="1" x14ac:dyDescent="0.2">
      <c r="A11" s="5" t="str">
        <f>HYPERLINK("#'Input - Poultry'!A1", "Poultry")</f>
        <v>Poultry</v>
      </c>
      <c r="D11" s="195" t="s">
        <v>691</v>
      </c>
      <c r="E11" s="196" t="s">
        <v>692</v>
      </c>
      <c r="F11" s="197" t="s">
        <v>693</v>
      </c>
      <c r="G11" s="196" t="s">
        <v>694</v>
      </c>
      <c r="H11" s="197" t="s">
        <v>695</v>
      </c>
      <c r="I11" s="196" t="s">
        <v>696</v>
      </c>
      <c r="J11" s="195" t="s">
        <v>697</v>
      </c>
      <c r="K11" s="195" t="s">
        <v>698</v>
      </c>
      <c r="L11" s="195" t="s">
        <v>699</v>
      </c>
      <c r="M11" s="195" t="s">
        <v>700</v>
      </c>
      <c r="N11" s="195" t="s">
        <v>701</v>
      </c>
      <c r="O11" s="195" t="s">
        <v>702</v>
      </c>
      <c r="P11" s="195" t="s">
        <v>703</v>
      </c>
      <c r="Q11" s="195" t="s">
        <v>704</v>
      </c>
      <c r="R11" s="195" t="s">
        <v>705</v>
      </c>
      <c r="S11" s="195" t="s">
        <v>706</v>
      </c>
      <c r="T11" s="195" t="s">
        <v>707</v>
      </c>
      <c r="U11" s="195" t="s">
        <v>708</v>
      </c>
      <c r="V11" s="195" t="s">
        <v>709</v>
      </c>
      <c r="W11" s="195" t="s">
        <v>710</v>
      </c>
      <c r="X11" s="195" t="s">
        <v>711</v>
      </c>
      <c r="Y11" s="195" t="s">
        <v>712</v>
      </c>
      <c r="Z11" s="195" t="s">
        <v>713</v>
      </c>
    </row>
    <row r="12" spans="1:27" ht="20.100000000000001" customHeight="1" x14ac:dyDescent="0.2">
      <c r="A12" s="5" t="str">
        <f>HYPERLINK("#'Input - Livestock sales'!A1", "Livestock sales")</f>
        <v>Livestock sales</v>
      </c>
      <c r="D12" s="198" t="s">
        <v>714</v>
      </c>
      <c r="E12" s="199">
        <v>100</v>
      </c>
      <c r="F12" s="15" t="str">
        <f>IFERROR(_xlfn.XLOOKUP(Table_Input_InorganicFertiliser_Brands[[#This Row],[Product (select)]],FertiliserProducts[Product],FertiliserProducts[Unit]), "kg")</f>
        <v>kg</v>
      </c>
      <c r="G12" s="199">
        <f t="shared" ref="G12" si="0">X_Cell_Fertiliser_AreaUnderCropping</f>
        <v>100</v>
      </c>
      <c r="H12" s="200">
        <f>IFERROR(_xlfn.XLOOKUP(Table_Input_InorganicFertiliser_Brands[[#This Row],[Product (select)]],FertiliserProducts[Product],FertiliserProducts[Density]), 1)</f>
        <v>1</v>
      </c>
      <c r="I12" s="201">
        <f>(Table_Input_InorganicFertiliser_Brands[[#This Row],[Amount applied per hectare]]*Table_Input_InorganicFertiliser_Brands[[#This Row],[Density]])*Table_Input_InorganicFertiliser_Brands[[#This Row],[Application area (ha)]]</f>
        <v>10000</v>
      </c>
      <c r="J12" s="201" t="str" cm="1">
        <f t="array" ref="J12">Fertiliser_InputFunctions.Fertiliser_FertiliserProductLookup(Table_Input_InorganicFertiliser_Brands[[#This Row],[Product (select)]], Table_Input_InorganicFertiliser_Brands[[#Headers],[Ingredient 1]], FertiliserProducts[#Data], FertiliserProducts[Product], FertiliserProducts[#Headers])</f>
        <v>Urea</v>
      </c>
      <c r="K12" s="201" cm="1">
        <f t="array" ref="K12">Fertiliser_InputFunctions.Fertiliser_FertiliserProductLookup(Table_Input_InorganicFertiliser_Brands[[#This Row],[Product (select)]], Table_Input_InorganicFertiliser_Brands[[#Headers],[Ingredient 1 percent]], FertiliserProducts[#Data], FertiliserProducts[Product], FertiliserProducts[#Headers])</f>
        <v>1</v>
      </c>
      <c r="L12" s="201" t="str" cm="1">
        <f t="array" ref="L12">Fertiliser_InputFunctions.Fertiliser_FertiliserProductLookup(Table_Input_InorganicFertiliser_Brands[[#This Row],[Product (select)]], Table_Input_InorganicFertiliser_Brands[[#Headers],[Ingredient 2]], FertiliserProducts[#Data], FertiliserProducts[Product], FertiliserProducts[#Headers])</f>
        <v/>
      </c>
      <c r="M12" s="201" t="str" cm="1">
        <f t="array" ref="M12">Fertiliser_InputFunctions.Fertiliser_FertiliserProductLookup(Table_Input_InorganicFertiliser_Brands[[#This Row],[Product (select)]], Table_Input_InorganicFertiliser_Brands[[#Headers],[Ingredient 2 percent]], FertiliserProducts[#Data], FertiliserProducts[Product], FertiliserProducts[#Headers])</f>
        <v/>
      </c>
      <c r="N12" s="201" t="str" cm="1">
        <f t="array" ref="N12">Fertiliser_InputFunctions.Fertiliser_FertiliserProductLookup(Table_Input_InorganicFertiliser_Brands[[#This Row],[Product (select)]], Table_Input_InorganicFertiliser_Brands[[#Headers],[Ingredient 3]], FertiliserProducts[#Data], FertiliserProducts[Product], FertiliserProducts[#Headers])</f>
        <v/>
      </c>
      <c r="O12" s="201" t="str" cm="1">
        <f t="array" ref="O12">Fertiliser_InputFunctions.Fertiliser_FertiliserProductLookup(Table_Input_InorganicFertiliser_Brands[[#This Row],[Product (select)]], Table_Input_InorganicFertiliser_Brands[[#Headers],[Ingredient 3 percent]], FertiliserProducts[#Data], FertiliserProducts[Product], FertiliserProducts[#Headers])</f>
        <v/>
      </c>
      <c r="P12" s="201" t="str" cm="1">
        <f t="array" ref="P12">Fertiliser_InputFunctions.Fertiliser_FertiliserProductLookup(Table_Input_InorganicFertiliser_Brands[[#This Row],[Product (select)]], Table_Input_InorganicFertiliser_Brands[[#Headers],[Ingredient 4]], FertiliserProducts[#Data], FertiliserProducts[Product], FertiliserProducts[#Headers])</f>
        <v/>
      </c>
      <c r="Q12" s="201" t="str" cm="1">
        <f t="array" ref="Q12">Fertiliser_InputFunctions.Fertiliser_FertiliserProductLookup(Table_Input_InorganicFertiliser_Brands[[#This Row],[Product (select)]], Table_Input_InorganicFertiliser_Brands[[#Headers],[Ingredient 4 percent]], FertiliserProducts[#Data], FertiliserProducts[Product], FertiliserProducts[#Headers])</f>
        <v/>
      </c>
      <c r="R12" s="201" t="str" cm="1">
        <f t="array" ref="R12">Fertiliser_InputFunctions.Fertiliser_FertiliserProductLookup(Table_Input_InorganicFertiliser_Brands[[#This Row],[Product (select)]], Table_Input_InorganicFertiliser_Brands[[#Headers],[Ingredient 5]], FertiliserProducts[#Data], FertiliserProducts[Product], FertiliserProducts[#Headers])</f>
        <v/>
      </c>
      <c r="S12" s="201" t="str" cm="1">
        <f t="array" ref="S12">Fertiliser_InputFunctions.Fertiliser_FertiliserProductLookup(Table_Input_InorganicFertiliser_Brands[[#This Row],[Product (select)]], Table_Input_InorganicFertiliser_Brands[[#Headers],[Ingredient 5 percent]], FertiliserProducts[#Data], FertiliserProducts[Product], FertiliserProducts[#Headers])</f>
        <v/>
      </c>
      <c r="T12" s="201" t="str" cm="1">
        <f t="array" ref="T12">Fertiliser_InputFunctions.Fertiliser_FertiliserProductLookup(Table_Input_InorganicFertiliser_Brands[[#This Row],[Product (select)]], Table_Input_InorganicFertiliser_Brands[[#Headers],[Ingredient 6]], FertiliserProducts[#Data], FertiliserProducts[Product], FertiliserProducts[#Headers])</f>
        <v/>
      </c>
      <c r="U12" s="201" t="str" cm="1">
        <f t="array" ref="U12">Fertiliser_InputFunctions.Fertiliser_FertiliserProductLookup(Table_Input_InorganicFertiliser_Brands[[#This Row],[Product (select)]], Table_Input_InorganicFertiliser_Brands[[#Headers],[Ingredient 6 percent]], FertiliserProducts[#Data], FertiliserProducts[Product], FertiliserProducts[#Headers])</f>
        <v/>
      </c>
      <c r="V12"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0.46</v>
      </c>
      <c r="W12" s="201" cm="1">
        <f t="array" ref="W12">IFERROR(Fertiliser_InputFunctions.Fertiliser_FertiliserProductLookup(Table_Input_InorganicFertiliser_Brands[[#This Row],[Product (select)]], "N declared", FertiliserProducts[#Data], FertiliserProducts[Product], FertiliserProducts[#Headers])*0.01, 0)</f>
        <v>0.46</v>
      </c>
      <c r="X12"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46</v>
      </c>
      <c r="Y12" s="201" t="str">
        <f>IFERROR(_xlfn.XLOOKUP(Table_Input_InorganicFertiliser_Brands[[#This Row],[Product (select)]],FertiliserProducts[Product],FertiliserProducts[Urea source]), "")</f>
        <v/>
      </c>
      <c r="Z12" s="201" t="str">
        <f>IFERROR(_xlfn.XLOOKUP(Table_Input_InorganicFertiliser_Brands[[#This Row],[Product (select)]],FertiliserProducts[Product],FertiliserProducts[Ammonia source]), "")</f>
        <v/>
      </c>
    </row>
    <row r="13" spans="1:27" ht="20.100000000000001" customHeight="1" x14ac:dyDescent="0.2">
      <c r="A13" s="5" t="str">
        <f>HYPERLINK("#'Input - Poultry purchases'!A1", "Poultry purchases")</f>
        <v>Poultry purchases</v>
      </c>
      <c r="D13" s="198" t="s">
        <v>715</v>
      </c>
      <c r="E13" s="199">
        <v>100</v>
      </c>
      <c r="F13" s="15" t="str">
        <f>IFERROR(_xlfn.XLOOKUP(Table_Input_InorganicFertiliser_Brands[[#This Row],[Product (select)]],FertiliserProducts[Product],FertiliserProducts[Unit]), "kg")</f>
        <v>kg</v>
      </c>
      <c r="G13" s="199">
        <f t="shared" ref="G13" si="1">X_Cell_Fertiliser_AreaUnderCropping</f>
        <v>100</v>
      </c>
      <c r="H13" s="200">
        <f>IFERROR(_xlfn.XLOOKUP(Table_Input_InorganicFertiliser_Brands[[#This Row],[Product (select)]],FertiliserProducts[Product],FertiliserProducts[Density]), 1)</f>
        <v>1</v>
      </c>
      <c r="I13" s="201">
        <f>(Table_Input_InorganicFertiliser_Brands[[#This Row],[Amount applied per hectare]]*Table_Input_InorganicFertiliser_Brands[[#This Row],[Density]])*Table_Input_InorganicFertiliser_Brands[[#This Row],[Application area (ha)]]</f>
        <v>10000</v>
      </c>
      <c r="J13" s="201" t="str" cm="1">
        <f t="array" ref="J13">Fertiliser_InputFunctions.Fertiliser_FertiliserProductLookup(Table_Input_InorganicFertiliser_Brands[[#This Row],[Product (select)]], Table_Input_InorganicFertiliser_Brands[[#Headers],[Ingredient 1]], FertiliserProducts[#Data], FertiliserProducts[Product], FertiliserProducts[#Headers])</f>
        <v>Urea</v>
      </c>
      <c r="K13" s="201" cm="1">
        <f t="array" ref="K13">Fertiliser_InputFunctions.Fertiliser_FertiliserProductLookup(Table_Input_InorganicFertiliser_Brands[[#This Row],[Product (select)]], Table_Input_InorganicFertiliser_Brands[[#Headers],[Ingredient 1 percent]], FertiliserProducts[#Data], FertiliserProducts[Product], FertiliserProducts[#Headers])</f>
        <v>0.52173899999999995</v>
      </c>
      <c r="L13" s="201" t="str" cm="1">
        <f t="array" ref="L13">Fertiliser_InputFunctions.Fertiliser_FertiliserProductLookup(Table_Input_InorganicFertiliser_Brands[[#This Row],[Product (select)]], Table_Input_InorganicFertiliser_Brands[[#Headers],[Ingredient 2]], FertiliserProducts[#Data], FertiliserProducts[Product], FertiliserProducts[#Headers])</f>
        <v>Potassium - Generic</v>
      </c>
      <c r="M13" s="201" cm="1">
        <f t="array" ref="M13">Fertiliser_InputFunctions.Fertiliser_FertiliserProductLookup(Table_Input_InorganicFertiliser_Brands[[#This Row],[Product (select)]], Table_Input_InorganicFertiliser_Brands[[#Headers],[Ingredient 2 percent]], FertiliserProducts[#Data], FertiliserProducts[Product], FertiliserProducts[#Headers])</f>
        <v>0.08</v>
      </c>
      <c r="N13" s="201" t="str" cm="1">
        <f t="array" ref="N13">Fertiliser_InputFunctions.Fertiliser_FertiliserProductLookup(Table_Input_InorganicFertiliser_Brands[[#This Row],[Product (select)]], Table_Input_InorganicFertiliser_Brands[[#Headers],[Ingredient 3]], FertiliserProducts[#Data], FertiliserProducts[Product], FertiliserProducts[#Headers])</f>
        <v>Sulfur - Generic</v>
      </c>
      <c r="O13" s="201" cm="1">
        <f t="array" ref="O13">Fertiliser_InputFunctions.Fertiliser_FertiliserProductLookup(Table_Input_InorganicFertiliser_Brands[[#This Row],[Product (select)]], Table_Input_InorganicFertiliser_Brands[[#Headers],[Ingredient 3 percent]], FertiliserProducts[#Data], FertiliserProducts[Product], FertiliserProducts[#Headers])</f>
        <v>5.2999999999999999E-2</v>
      </c>
      <c r="P13" s="201" t="str" cm="1">
        <f t="array" ref="P13">Fertiliser_InputFunctions.Fertiliser_FertiliserProductLookup(Table_Input_InorganicFertiliser_Brands[[#This Row],[Product (select)]], Table_Input_InorganicFertiliser_Brands[[#Headers],[Ingredient 4]], FertiliserProducts[#Data], FertiliserProducts[Product], FertiliserProducts[#Headers])</f>
        <v>Phosphorus - Generic</v>
      </c>
      <c r="Q13" s="201" cm="1">
        <f t="array" ref="Q13">Fertiliser_InputFunctions.Fertiliser_FertiliserProductLookup(Table_Input_InorganicFertiliser_Brands[[#This Row],[Product (select)]], Table_Input_InorganicFertiliser_Brands[[#Headers],[Ingredient 4 percent]], FertiliserProducts[#Data], FertiliserProducts[Product], FertiliserProducts[#Headers])</f>
        <v>5.1999999999999998E-2</v>
      </c>
      <c r="R13" s="201" t="str" cm="1">
        <f t="array" ref="R13">Fertiliser_InputFunctions.Fertiliser_FertiliserProductLookup(Table_Input_InorganicFertiliser_Brands[[#This Row],[Product (select)]], Table_Input_InorganicFertiliser_Brands[[#Headers],[Ingredient 5]], FertiliserProducts[#Data], FertiliserProducts[Product], FertiliserProducts[#Headers])</f>
        <v>Magnesium</v>
      </c>
      <c r="S13" s="201" cm="1">
        <f t="array" ref="S13">Fertiliser_InputFunctions.Fertiliser_FertiliserProductLookup(Table_Input_InorganicFertiliser_Brands[[#This Row],[Product (select)]], Table_Input_InorganicFertiliser_Brands[[#Headers],[Ingredient 5 percent]], FertiliserProducts[#Data], FertiliserProducts[Product], FertiliserProducts[#Headers])</f>
        <v>1.2999999999999999E-2</v>
      </c>
      <c r="T13" s="201" t="str" cm="1">
        <f t="array" ref="T13">Fertiliser_InputFunctions.Fertiliser_FertiliserProductLookup(Table_Input_InorganicFertiliser_Brands[[#This Row],[Product (select)]], Table_Input_InorganicFertiliser_Brands[[#Headers],[Ingredient 6]], FertiliserProducts[#Data], FertiliserProducts[Product], FertiliserProducts[#Headers])</f>
        <v>Zinc</v>
      </c>
      <c r="U13" s="201" cm="1">
        <f t="array" ref="U13">Fertiliser_InputFunctions.Fertiliser_FertiliserProductLookup(Table_Input_InorganicFertiliser_Brands[[#This Row],[Product (select)]], Table_Input_InorganicFertiliser_Brands[[#Headers],[Ingredient 6 percent]], FertiliserProducts[#Data], FertiliserProducts[Product], FertiliserProducts[#Headers])</f>
        <v>2E-3</v>
      </c>
      <c r="V13"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0.23999993999999999</v>
      </c>
      <c r="W13" s="202" cm="1">
        <f t="array" ref="W13">IFERROR(Fertiliser_InputFunctions.Fertiliser_FertiliserProductLookup(Table_Input_InorganicFertiliser_Brands[[#This Row],[Product (select)]], "N declared", FertiliserProducts[#Data], FertiliserProducts[Product], FertiliserProducts[#Headers])*0.01, 0)</f>
        <v>0.24</v>
      </c>
      <c r="X13"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24</v>
      </c>
      <c r="Y13" s="201" t="str">
        <f>IFERROR(_xlfn.XLOOKUP(Table_Input_InorganicFertiliser_Brands[[#This Row],[Product (select)]],FertiliserProducts[Product],FertiliserProducts[Urea source]), "")</f>
        <v/>
      </c>
      <c r="Z13" s="201" t="str">
        <f>IFERROR(_xlfn.XLOOKUP(Table_Input_InorganicFertiliser_Brands[[#This Row],[Product (select)]],FertiliserProducts[Product],FertiliserProducts[Ammonia source]), "")</f>
        <v/>
      </c>
    </row>
    <row r="14" spans="1:27" ht="20.100000000000001" customHeight="1" x14ac:dyDescent="0.2">
      <c r="A14" s="5" t="str">
        <f>HYPERLINK("#'Input - Fuel'!A1", "Fuel")</f>
        <v>Fuel</v>
      </c>
      <c r="D14" s="198" t="s">
        <v>716</v>
      </c>
      <c r="E14" s="199">
        <v>100</v>
      </c>
      <c r="F14" s="15" t="str">
        <f>IFERROR(_xlfn.XLOOKUP(Table_Input_InorganicFertiliser_Brands[[#This Row],[Product (select)]],FertiliserProducts[Product],FertiliserProducts[Unit]), "kg")</f>
        <v>kg</v>
      </c>
      <c r="G14" s="199">
        <f t="shared" ref="G14" si="2">X_Cell_Fertiliser_AreaUnderCropping</f>
        <v>100</v>
      </c>
      <c r="H14" s="200">
        <f>IFERROR(_xlfn.XLOOKUP(Table_Input_InorganicFertiliser_Brands[[#This Row],[Product (select)]],FertiliserProducts[Product],FertiliserProducts[Density]), 1)</f>
        <v>1</v>
      </c>
      <c r="I14" s="201">
        <f>(Table_Input_InorganicFertiliser_Brands[[#This Row],[Amount applied per hectare]]*Table_Input_InorganicFertiliser_Brands[[#This Row],[Density]])*Table_Input_InorganicFertiliser_Brands[[#This Row],[Application area (ha)]]</f>
        <v>10000</v>
      </c>
      <c r="J14" s="201" t="str" cm="1">
        <f t="array" ref="J14">Fertiliser_InputFunctions.Fertiliser_FertiliserProductLookup(Table_Input_InorganicFertiliser_Brands[[#This Row],[Product (select)]], Table_Input_InorganicFertiliser_Brands[[#Headers],[Ingredient 1]], FertiliserProducts[#Data], FertiliserProducts[Product], FertiliserProducts[#Headers])</f>
        <v>Nitrogen - Nitrate</v>
      </c>
      <c r="K14" s="201" cm="1">
        <f t="array" ref="K14">Fertiliser_InputFunctions.Fertiliser_FertiliserProductLookup(Table_Input_InorganicFertiliser_Brands[[#This Row],[Product (select)]], Table_Input_InorganicFertiliser_Brands[[#Headers],[Ingredient 1 percent]], FertiliserProducts[#Data], FertiliserProducts[Product], FertiliserProducts[#Headers])</f>
        <v>5.5E-2</v>
      </c>
      <c r="L14" s="201" t="str" cm="1">
        <f t="array" ref="L14">Fertiliser_InputFunctions.Fertiliser_FertiliserProductLookup(Table_Input_InorganicFertiliser_Brands[[#This Row],[Product (select)]], Table_Input_InorganicFertiliser_Brands[[#Headers],[Ingredient 2]], FertiliserProducts[#Data], FertiliserProducts[Product], FertiliserProducts[#Headers])</f>
        <v>Nitrogen - Ammoniacal</v>
      </c>
      <c r="M14" s="201" cm="1">
        <f t="array" ref="M14">Fertiliser_InputFunctions.Fertiliser_FertiliserProductLookup(Table_Input_InorganicFertiliser_Brands[[#This Row],[Product (select)]], Table_Input_InorganicFertiliser_Brands[[#Headers],[Ingredient 2 percent]], FertiliserProducts[#Data], FertiliserProducts[Product], FertiliserProducts[#Headers])</f>
        <v>0.124</v>
      </c>
      <c r="N14" s="201" t="str" cm="1">
        <f t="array" ref="N14">Fertiliser_InputFunctions.Fertiliser_FertiliserProductLookup(Table_Input_InorganicFertiliser_Brands[[#This Row],[Product (select)]], Table_Input_InorganicFertiliser_Brands[[#Headers],[Ingredient 3]], FertiliserProducts[#Data], FertiliserProducts[Product], FertiliserProducts[#Headers])</f>
        <v>Potassium - Generic</v>
      </c>
      <c r="O14" s="201" cm="1">
        <f t="array" ref="O14">Fertiliser_InputFunctions.Fertiliser_FertiliserProductLookup(Table_Input_InorganicFertiliser_Brands[[#This Row],[Product (select)]], Table_Input_InorganicFertiliser_Brands[[#Headers],[Ingredient 3 percent]], FertiliserProducts[#Data], FertiliserProducts[Product], FertiliserProducts[#Headers])</f>
        <v>0.15</v>
      </c>
      <c r="P14" s="201" t="str" cm="1">
        <f t="array" ref="P14">Fertiliser_InputFunctions.Fertiliser_FertiliserProductLookup(Table_Input_InorganicFertiliser_Brands[[#This Row],[Product (select)]], Table_Input_InorganicFertiliser_Brands[[#Headers],[Ingredient 4]], FertiliserProducts[#Data], FertiliserProducts[Product], FertiliserProducts[#Headers])</f>
        <v>Sulfur - Generic</v>
      </c>
      <c r="Q14" s="201" cm="1">
        <f t="array" ref="Q14">Fertiliser_InputFunctions.Fertiliser_FertiliserProductLookup(Table_Input_InorganicFertiliser_Brands[[#This Row],[Product (select)]], Table_Input_InorganicFertiliser_Brands[[#Headers],[Ingredient 4 percent]], FertiliserProducts[#Data], FertiliserProducts[Product], FertiliserProducts[#Headers])</f>
        <v>3.5999999999999997E-2</v>
      </c>
      <c r="R14" s="201" t="str" cm="1">
        <f t="array" ref="R14">Fertiliser_InputFunctions.Fertiliser_FertiliserProductLookup(Table_Input_InorganicFertiliser_Brands[[#This Row],[Product (select)]], Table_Input_InorganicFertiliser_Brands[[#Headers],[Ingredient 5]], FertiliserProducts[#Data], FertiliserProducts[Product], FertiliserProducts[#Headers])</f>
        <v>Calcium</v>
      </c>
      <c r="S14" s="201" cm="1">
        <f t="array" ref="S14">Fertiliser_InputFunctions.Fertiliser_FertiliserProductLookup(Table_Input_InorganicFertiliser_Brands[[#This Row],[Product (select)]], Table_Input_InorganicFertiliser_Brands[[#Headers],[Ingredient 5 percent]], FertiliserProducts[#Data], FertiliserProducts[Product], FertiliserProducts[#Headers])</f>
        <v>4.3999999999999997E-2</v>
      </c>
      <c r="T14" s="201" t="str" cm="1">
        <f t="array" ref="T14">Fertiliser_InputFunctions.Fertiliser_FertiliserProductLookup(Table_Input_InorganicFertiliser_Brands[[#This Row],[Product (select)]], Table_Input_InorganicFertiliser_Brands[[#Headers],[Ingredient 6]], FertiliserProducts[#Data], FertiliserProducts[Product], FertiliserProducts[#Headers])</f>
        <v/>
      </c>
      <c r="U14" s="201" t="str" cm="1">
        <f t="array" ref="U14">Fertiliser_InputFunctions.Fertiliser_FertiliserProductLookup(Table_Input_InorganicFertiliser_Brands[[#This Row],[Product (select)]], Table_Input_InorganicFertiliser_Brands[[#Headers],[Ingredient 6 percent]], FertiliserProducts[#Data], FertiliserProducts[Product], FertiliserProducts[#Headers])</f>
        <v/>
      </c>
      <c r="V14"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0.17899999999999999</v>
      </c>
      <c r="W14" s="202" cm="1">
        <f t="array" ref="W14">IFERROR(Fertiliser_InputFunctions.Fertiliser_FertiliserProductLookup(Table_Input_InorganicFertiliser_Brands[[#This Row],[Product (select)]], "N declared", FertiliserProducts[#Data], FertiliserProducts[Product], FertiliserProducts[#Headers])*0.01, 0)</f>
        <v>0.17899999999999999</v>
      </c>
      <c r="X14"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17.899999999999999</v>
      </c>
      <c r="Y14" s="201" t="str">
        <f>IFERROR(_xlfn.XLOOKUP(Table_Input_InorganicFertiliser_Brands[[#This Row],[Product (select)]],FertiliserProducts[Product],FertiliserProducts[Urea source]), "")</f>
        <v/>
      </c>
      <c r="Z14" s="201" t="str">
        <f>IFERROR(_xlfn.XLOOKUP(Table_Input_InorganicFertiliser_Brands[[#This Row],[Product (select)]],FertiliserProducts[Product],FertiliserProducts[Ammonia source]), "")</f>
        <v/>
      </c>
    </row>
    <row r="15" spans="1:27" ht="20.100000000000001" customHeight="1" x14ac:dyDescent="0.2">
      <c r="A15" s="5" t="str">
        <f>HYPERLINK("#'Input - Electricity'!A1", "Electricity")</f>
        <v>Electricity</v>
      </c>
      <c r="D15" s="198"/>
      <c r="E15" s="199"/>
      <c r="F15" s="15" t="str">
        <f>IFERROR(_xlfn.XLOOKUP(Table_Input_InorganicFertiliser_Brands[[#This Row],[Product (select)]],FertiliserProducts[Product],FertiliserProducts[Unit]), "kg")</f>
        <v>kg</v>
      </c>
      <c r="G15" s="199">
        <f t="shared" ref="G15" si="3">X_Cell_Fertiliser_AreaUnderCropping</f>
        <v>100</v>
      </c>
      <c r="H15" s="200">
        <f>IFERROR(_xlfn.XLOOKUP(Table_Input_InorganicFertiliser_Brands[[#This Row],[Product (select)]],FertiliserProducts[Product],FertiliserProducts[Density]), 1)</f>
        <v>1</v>
      </c>
      <c r="I15" s="201">
        <f>(Table_Input_InorganicFertiliser_Brands[[#This Row],[Amount applied per hectare]]*Table_Input_InorganicFertiliser_Brands[[#This Row],[Density]])*Table_Input_InorganicFertiliser_Brands[[#This Row],[Application area (ha)]]</f>
        <v>0</v>
      </c>
      <c r="J15" s="201" t="str" cm="1">
        <f t="array" ref="J15">Fertiliser_InputFunctions.Fertiliser_FertiliserProductLookup(Table_Input_InorganicFertiliser_Brands[[#This Row],[Product (select)]], Table_Input_InorganicFertiliser_Brands[[#Headers],[Ingredient 1]], FertiliserProducts[#Data], FertiliserProducts[Product], FertiliserProducts[#Headers])</f>
        <v/>
      </c>
      <c r="K15" s="201" t="str" cm="1">
        <f t="array" ref="K15">Fertiliser_InputFunctions.Fertiliser_FertiliserProductLookup(Table_Input_InorganicFertiliser_Brands[[#This Row],[Product (select)]], Table_Input_InorganicFertiliser_Brands[[#Headers],[Ingredient 1 percent]], FertiliserProducts[#Data], FertiliserProducts[Product], FertiliserProducts[#Headers])</f>
        <v/>
      </c>
      <c r="L15" s="201" t="str" cm="1">
        <f t="array" ref="L15">Fertiliser_InputFunctions.Fertiliser_FertiliserProductLookup(Table_Input_InorganicFertiliser_Brands[[#This Row],[Product (select)]], Table_Input_InorganicFertiliser_Brands[[#Headers],[Ingredient 2]], FertiliserProducts[#Data], FertiliserProducts[Product], FertiliserProducts[#Headers])</f>
        <v/>
      </c>
      <c r="M15" s="201" t="str" cm="1">
        <f t="array" ref="M15">Fertiliser_InputFunctions.Fertiliser_FertiliserProductLookup(Table_Input_InorganicFertiliser_Brands[[#This Row],[Product (select)]], Table_Input_InorganicFertiliser_Brands[[#Headers],[Ingredient 2 percent]], FertiliserProducts[#Data], FertiliserProducts[Product], FertiliserProducts[#Headers])</f>
        <v/>
      </c>
      <c r="N15" s="201" t="str" cm="1">
        <f t="array" ref="N15">Fertiliser_InputFunctions.Fertiliser_FertiliserProductLookup(Table_Input_InorganicFertiliser_Brands[[#This Row],[Product (select)]], Table_Input_InorganicFertiliser_Brands[[#Headers],[Ingredient 3]], FertiliserProducts[#Data], FertiliserProducts[Product], FertiliserProducts[#Headers])</f>
        <v/>
      </c>
      <c r="O15" s="201" t="str" cm="1">
        <f t="array" ref="O15">Fertiliser_InputFunctions.Fertiliser_FertiliserProductLookup(Table_Input_InorganicFertiliser_Brands[[#This Row],[Product (select)]], Table_Input_InorganicFertiliser_Brands[[#Headers],[Ingredient 3 percent]], FertiliserProducts[#Data], FertiliserProducts[Product], FertiliserProducts[#Headers])</f>
        <v/>
      </c>
      <c r="P15" s="201" t="str" cm="1">
        <f t="array" ref="P15">Fertiliser_InputFunctions.Fertiliser_FertiliserProductLookup(Table_Input_InorganicFertiliser_Brands[[#This Row],[Product (select)]], Table_Input_InorganicFertiliser_Brands[[#Headers],[Ingredient 4]], FertiliserProducts[#Data], FertiliserProducts[Product], FertiliserProducts[#Headers])</f>
        <v/>
      </c>
      <c r="Q15" s="201" t="str" cm="1">
        <f t="array" ref="Q15">Fertiliser_InputFunctions.Fertiliser_FertiliserProductLookup(Table_Input_InorganicFertiliser_Brands[[#This Row],[Product (select)]], Table_Input_InorganicFertiliser_Brands[[#Headers],[Ingredient 4 percent]], FertiliserProducts[#Data], FertiliserProducts[Product], FertiliserProducts[#Headers])</f>
        <v/>
      </c>
      <c r="R15" s="201" t="str" cm="1">
        <f t="array" ref="R15">Fertiliser_InputFunctions.Fertiliser_FertiliserProductLookup(Table_Input_InorganicFertiliser_Brands[[#This Row],[Product (select)]], Table_Input_InorganicFertiliser_Brands[[#Headers],[Ingredient 5]], FertiliserProducts[#Data], FertiliserProducts[Product], FertiliserProducts[#Headers])</f>
        <v/>
      </c>
      <c r="S15" s="201" t="str" cm="1">
        <f t="array" ref="S15">Fertiliser_InputFunctions.Fertiliser_FertiliserProductLookup(Table_Input_InorganicFertiliser_Brands[[#This Row],[Product (select)]], Table_Input_InorganicFertiliser_Brands[[#Headers],[Ingredient 5 percent]], FertiliserProducts[#Data], FertiliserProducts[Product], FertiliserProducts[#Headers])</f>
        <v/>
      </c>
      <c r="T15" s="201" t="str" cm="1">
        <f t="array" ref="T15">Fertiliser_InputFunctions.Fertiliser_FertiliserProductLookup(Table_Input_InorganicFertiliser_Brands[[#This Row],[Product (select)]], Table_Input_InorganicFertiliser_Brands[[#Headers],[Ingredient 6]], FertiliserProducts[#Data], FertiliserProducts[Product], FertiliserProducts[#Headers])</f>
        <v/>
      </c>
      <c r="U15" s="201" t="str" cm="1">
        <f t="array" ref="U15">Fertiliser_InputFunctions.Fertiliser_FertiliserProductLookup(Table_Input_InorganicFertiliser_Brands[[#This Row],[Product (select)]], Table_Input_InorganicFertiliser_Brands[[#Headers],[Ingredient 6 percent]], FertiliserProducts[#Data], FertiliserProducts[Product], FertiliserProducts[#Headers])</f>
        <v/>
      </c>
      <c r="V15"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5" s="202" cm="1">
        <f t="array" ref="W15">IFERROR(Fertiliser_InputFunctions.Fertiliser_FertiliserProductLookup(Table_Input_InorganicFertiliser_Brands[[#This Row],[Product (select)]], "N declared", FertiliserProducts[#Data], FertiliserProducts[Product], FertiliserProducts[#Headers])*0.01, 0)</f>
        <v>0</v>
      </c>
      <c r="X15"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5" s="201" t="str">
        <f>IFERROR(_xlfn.XLOOKUP(Table_Input_InorganicFertiliser_Brands[[#This Row],[Product (select)]],FertiliserProducts[Product],FertiliserProducts[Urea source]), "")</f>
        <v/>
      </c>
      <c r="Z15" s="201" t="str">
        <f>IFERROR(_xlfn.XLOOKUP(Table_Input_InorganicFertiliser_Brands[[#This Row],[Product (select)]],FertiliserProducts[Product],FertiliserProducts[Ammonia source]), "")</f>
        <v/>
      </c>
    </row>
    <row r="16" spans="1:27" ht="20.100000000000001" customHeight="1" x14ac:dyDescent="0.2">
      <c r="A16" s="5" t="str">
        <f>HYPERLINK("#'Input - Common farm inputs'!A1", "Common farm inputs")</f>
        <v>Common farm inputs</v>
      </c>
      <c r="D16" s="198"/>
      <c r="E16" s="199"/>
      <c r="F16" s="15" t="str">
        <f>IFERROR(_xlfn.XLOOKUP(Table_Input_InorganicFertiliser_Brands[[#This Row],[Product (select)]],FertiliserProducts[Product],FertiliserProducts[Unit]), "kg")</f>
        <v>kg</v>
      </c>
      <c r="G16" s="199">
        <f t="shared" ref="G16" si="4">X_Cell_Fertiliser_AreaUnderCropping</f>
        <v>100</v>
      </c>
      <c r="H16" s="200">
        <f>IFERROR(_xlfn.XLOOKUP(Table_Input_InorganicFertiliser_Brands[[#This Row],[Product (select)]],FertiliserProducts[Product],FertiliserProducts[Density]), 1)</f>
        <v>1</v>
      </c>
      <c r="I16" s="201">
        <f>(Table_Input_InorganicFertiliser_Brands[[#This Row],[Amount applied per hectare]]*Table_Input_InorganicFertiliser_Brands[[#This Row],[Density]])*Table_Input_InorganicFertiliser_Brands[[#This Row],[Application area (ha)]]</f>
        <v>0</v>
      </c>
      <c r="J16" s="201" t="str" cm="1">
        <f t="array" ref="J16">Fertiliser_InputFunctions.Fertiliser_FertiliserProductLookup(Table_Input_InorganicFertiliser_Brands[[#This Row],[Product (select)]], Table_Input_InorganicFertiliser_Brands[[#Headers],[Ingredient 1]], FertiliserProducts[#Data], FertiliserProducts[Product], FertiliserProducts[#Headers])</f>
        <v/>
      </c>
      <c r="K16" s="201" t="str" cm="1">
        <f t="array" ref="K16">Fertiliser_InputFunctions.Fertiliser_FertiliserProductLookup(Table_Input_InorganicFertiliser_Brands[[#This Row],[Product (select)]], Table_Input_InorganicFertiliser_Brands[[#Headers],[Ingredient 1 percent]], FertiliserProducts[#Data], FertiliserProducts[Product], FertiliserProducts[#Headers])</f>
        <v/>
      </c>
      <c r="L16" s="201" t="str" cm="1">
        <f t="array" ref="L16">Fertiliser_InputFunctions.Fertiliser_FertiliserProductLookup(Table_Input_InorganicFertiliser_Brands[[#This Row],[Product (select)]], Table_Input_InorganicFertiliser_Brands[[#Headers],[Ingredient 2]], FertiliserProducts[#Data], FertiliserProducts[Product], FertiliserProducts[#Headers])</f>
        <v/>
      </c>
      <c r="M16" s="201" t="str" cm="1">
        <f t="array" ref="M16">Fertiliser_InputFunctions.Fertiliser_FertiliserProductLookup(Table_Input_InorganicFertiliser_Brands[[#This Row],[Product (select)]], Table_Input_InorganicFertiliser_Brands[[#Headers],[Ingredient 2 percent]], FertiliserProducts[#Data], FertiliserProducts[Product], FertiliserProducts[#Headers])</f>
        <v/>
      </c>
      <c r="N16" s="201" t="str" cm="1">
        <f t="array" ref="N16">Fertiliser_InputFunctions.Fertiliser_FertiliserProductLookup(Table_Input_InorganicFertiliser_Brands[[#This Row],[Product (select)]], Table_Input_InorganicFertiliser_Brands[[#Headers],[Ingredient 3]], FertiliserProducts[#Data], FertiliserProducts[Product], FertiliserProducts[#Headers])</f>
        <v/>
      </c>
      <c r="O16" s="201" t="str" cm="1">
        <f t="array" ref="O16">Fertiliser_InputFunctions.Fertiliser_FertiliserProductLookup(Table_Input_InorganicFertiliser_Brands[[#This Row],[Product (select)]], Table_Input_InorganicFertiliser_Brands[[#Headers],[Ingredient 3 percent]], FertiliserProducts[#Data], FertiliserProducts[Product], FertiliserProducts[#Headers])</f>
        <v/>
      </c>
      <c r="P16" s="201" t="str" cm="1">
        <f t="array" ref="P16">Fertiliser_InputFunctions.Fertiliser_FertiliserProductLookup(Table_Input_InorganicFertiliser_Brands[[#This Row],[Product (select)]], Table_Input_InorganicFertiliser_Brands[[#Headers],[Ingredient 4]], FertiliserProducts[#Data], FertiliserProducts[Product], FertiliserProducts[#Headers])</f>
        <v/>
      </c>
      <c r="Q16" s="201" t="str" cm="1">
        <f t="array" ref="Q16">Fertiliser_InputFunctions.Fertiliser_FertiliserProductLookup(Table_Input_InorganicFertiliser_Brands[[#This Row],[Product (select)]], Table_Input_InorganicFertiliser_Brands[[#Headers],[Ingredient 4 percent]], FertiliserProducts[#Data], FertiliserProducts[Product], FertiliserProducts[#Headers])</f>
        <v/>
      </c>
      <c r="R16" s="201" t="str" cm="1">
        <f t="array" ref="R16">Fertiliser_InputFunctions.Fertiliser_FertiliserProductLookup(Table_Input_InorganicFertiliser_Brands[[#This Row],[Product (select)]], Table_Input_InorganicFertiliser_Brands[[#Headers],[Ingredient 5]], FertiliserProducts[#Data], FertiliserProducts[Product], FertiliserProducts[#Headers])</f>
        <v/>
      </c>
      <c r="S16" s="201" t="str" cm="1">
        <f t="array" ref="S16">Fertiliser_InputFunctions.Fertiliser_FertiliserProductLookup(Table_Input_InorganicFertiliser_Brands[[#This Row],[Product (select)]], Table_Input_InorganicFertiliser_Brands[[#Headers],[Ingredient 5 percent]], FertiliserProducts[#Data], FertiliserProducts[Product], FertiliserProducts[#Headers])</f>
        <v/>
      </c>
      <c r="T16" s="201" t="str" cm="1">
        <f t="array" ref="T16">Fertiliser_InputFunctions.Fertiliser_FertiliserProductLookup(Table_Input_InorganicFertiliser_Brands[[#This Row],[Product (select)]], Table_Input_InorganicFertiliser_Brands[[#Headers],[Ingredient 6]], FertiliserProducts[#Data], FertiliserProducts[Product], FertiliserProducts[#Headers])</f>
        <v/>
      </c>
      <c r="U16" s="201" t="str" cm="1">
        <f t="array" ref="U16">Fertiliser_InputFunctions.Fertiliser_FertiliserProductLookup(Table_Input_InorganicFertiliser_Brands[[#This Row],[Product (select)]], Table_Input_InorganicFertiliser_Brands[[#Headers],[Ingredient 6 percent]], FertiliserProducts[#Data], FertiliserProducts[Product], FertiliserProducts[#Headers])</f>
        <v/>
      </c>
      <c r="V16"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6" s="202" cm="1">
        <f t="array" ref="W16">IFERROR(Fertiliser_InputFunctions.Fertiliser_FertiliserProductLookup(Table_Input_InorganicFertiliser_Brands[[#This Row],[Product (select)]], "N declared", FertiliserProducts[#Data], FertiliserProducts[Product], FertiliserProducts[#Headers])*0.01, 0)</f>
        <v>0</v>
      </c>
      <c r="X16"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6" s="201" t="str">
        <f>IFERROR(_xlfn.XLOOKUP(Table_Input_InorganicFertiliser_Brands[[#This Row],[Product (select)]],FertiliserProducts[Product],FertiliserProducts[Urea source]), "")</f>
        <v/>
      </c>
      <c r="Z16" s="201" t="str">
        <f>IFERROR(_xlfn.XLOOKUP(Table_Input_InorganicFertiliser_Brands[[#This Row],[Product (select)]],FertiliserProducts[Product],FertiliserProducts[Ammonia source]), "")</f>
        <v/>
      </c>
    </row>
    <row r="17" spans="1:26" ht="20.100000000000001" customHeight="1" x14ac:dyDescent="0.2">
      <c r="A17" s="5" t="str">
        <f>HYPERLINK("#'Input - Livestock farm Inputs'!A1", "Livestock farm Inputs")</f>
        <v>Livestock farm Inputs</v>
      </c>
      <c r="D17" s="198"/>
      <c r="E17" s="199"/>
      <c r="F17" s="15" t="str">
        <f>IFERROR(_xlfn.XLOOKUP(Table_Input_InorganicFertiliser_Brands[[#This Row],[Product (select)]],FertiliserProducts[Product],FertiliserProducts[Unit]), "kg")</f>
        <v>kg</v>
      </c>
      <c r="G17" s="199">
        <f t="shared" ref="G17" si="5">X_Cell_Fertiliser_AreaUnderCropping</f>
        <v>100</v>
      </c>
      <c r="H17" s="200">
        <f>IFERROR(_xlfn.XLOOKUP(Table_Input_InorganicFertiliser_Brands[[#This Row],[Product (select)]],FertiliserProducts[Product],FertiliserProducts[Density]), 1)</f>
        <v>1</v>
      </c>
      <c r="I17" s="201">
        <f>(Table_Input_InorganicFertiliser_Brands[[#This Row],[Amount applied per hectare]]*Table_Input_InorganicFertiliser_Brands[[#This Row],[Density]])*Table_Input_InorganicFertiliser_Brands[[#This Row],[Application area (ha)]]</f>
        <v>0</v>
      </c>
      <c r="J17" s="201" t="str" cm="1">
        <f t="array" ref="J17">Fertiliser_InputFunctions.Fertiliser_FertiliserProductLookup(Table_Input_InorganicFertiliser_Brands[[#This Row],[Product (select)]], Table_Input_InorganicFertiliser_Brands[[#Headers],[Ingredient 1]], FertiliserProducts[#Data], FertiliserProducts[Product], FertiliserProducts[#Headers])</f>
        <v/>
      </c>
      <c r="K17" s="201" t="str" cm="1">
        <f t="array" ref="K17">Fertiliser_InputFunctions.Fertiliser_FertiliserProductLookup(Table_Input_InorganicFertiliser_Brands[[#This Row],[Product (select)]], Table_Input_InorganicFertiliser_Brands[[#Headers],[Ingredient 1 percent]], FertiliserProducts[#Data], FertiliserProducts[Product], FertiliserProducts[#Headers])</f>
        <v/>
      </c>
      <c r="L17" s="201" t="str" cm="1">
        <f t="array" ref="L17">Fertiliser_InputFunctions.Fertiliser_FertiliserProductLookup(Table_Input_InorganicFertiliser_Brands[[#This Row],[Product (select)]], Table_Input_InorganicFertiliser_Brands[[#Headers],[Ingredient 2]], FertiliserProducts[#Data], FertiliserProducts[Product], FertiliserProducts[#Headers])</f>
        <v/>
      </c>
      <c r="M17" s="201" t="str" cm="1">
        <f t="array" ref="M17">Fertiliser_InputFunctions.Fertiliser_FertiliserProductLookup(Table_Input_InorganicFertiliser_Brands[[#This Row],[Product (select)]], Table_Input_InorganicFertiliser_Brands[[#Headers],[Ingredient 2 percent]], FertiliserProducts[#Data], FertiliserProducts[Product], FertiliserProducts[#Headers])</f>
        <v/>
      </c>
      <c r="N17" s="201" t="str" cm="1">
        <f t="array" ref="N17">Fertiliser_InputFunctions.Fertiliser_FertiliserProductLookup(Table_Input_InorganicFertiliser_Brands[[#This Row],[Product (select)]], Table_Input_InorganicFertiliser_Brands[[#Headers],[Ingredient 3]], FertiliserProducts[#Data], FertiliserProducts[Product], FertiliserProducts[#Headers])</f>
        <v/>
      </c>
      <c r="O17" s="201" t="str" cm="1">
        <f t="array" ref="O17">Fertiliser_InputFunctions.Fertiliser_FertiliserProductLookup(Table_Input_InorganicFertiliser_Brands[[#This Row],[Product (select)]], Table_Input_InorganicFertiliser_Brands[[#Headers],[Ingredient 3 percent]], FertiliserProducts[#Data], FertiliserProducts[Product], FertiliserProducts[#Headers])</f>
        <v/>
      </c>
      <c r="P17" s="201" t="str" cm="1">
        <f t="array" ref="P17">Fertiliser_InputFunctions.Fertiliser_FertiliserProductLookup(Table_Input_InorganicFertiliser_Brands[[#This Row],[Product (select)]], Table_Input_InorganicFertiliser_Brands[[#Headers],[Ingredient 4]], FertiliserProducts[#Data], FertiliserProducts[Product], FertiliserProducts[#Headers])</f>
        <v/>
      </c>
      <c r="Q17" s="201" t="str" cm="1">
        <f t="array" ref="Q17">Fertiliser_InputFunctions.Fertiliser_FertiliserProductLookup(Table_Input_InorganicFertiliser_Brands[[#This Row],[Product (select)]], Table_Input_InorganicFertiliser_Brands[[#Headers],[Ingredient 4 percent]], FertiliserProducts[#Data], FertiliserProducts[Product], FertiliserProducts[#Headers])</f>
        <v/>
      </c>
      <c r="R17" s="201" t="str" cm="1">
        <f t="array" ref="R17">Fertiliser_InputFunctions.Fertiliser_FertiliserProductLookup(Table_Input_InorganicFertiliser_Brands[[#This Row],[Product (select)]], Table_Input_InorganicFertiliser_Brands[[#Headers],[Ingredient 5]], FertiliserProducts[#Data], FertiliserProducts[Product], FertiliserProducts[#Headers])</f>
        <v/>
      </c>
      <c r="S17" s="201" t="str" cm="1">
        <f t="array" ref="S17">Fertiliser_InputFunctions.Fertiliser_FertiliserProductLookup(Table_Input_InorganicFertiliser_Brands[[#This Row],[Product (select)]], Table_Input_InorganicFertiliser_Brands[[#Headers],[Ingredient 5 percent]], FertiliserProducts[#Data], FertiliserProducts[Product], FertiliserProducts[#Headers])</f>
        <v/>
      </c>
      <c r="T17" s="201" t="str" cm="1">
        <f t="array" ref="T17">Fertiliser_InputFunctions.Fertiliser_FertiliserProductLookup(Table_Input_InorganicFertiliser_Brands[[#This Row],[Product (select)]], Table_Input_InorganicFertiliser_Brands[[#Headers],[Ingredient 6]], FertiliserProducts[#Data], FertiliserProducts[Product], FertiliserProducts[#Headers])</f>
        <v/>
      </c>
      <c r="U17" s="201" t="str" cm="1">
        <f t="array" ref="U17">Fertiliser_InputFunctions.Fertiliser_FertiliserProductLookup(Table_Input_InorganicFertiliser_Brands[[#This Row],[Product (select)]], Table_Input_InorganicFertiliser_Brands[[#Headers],[Ingredient 6 percent]], FertiliserProducts[#Data], FertiliserProducts[Product], FertiliserProducts[#Headers])</f>
        <v/>
      </c>
      <c r="V17"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7" s="202" cm="1">
        <f t="array" ref="W17">IFERROR(Fertiliser_InputFunctions.Fertiliser_FertiliserProductLookup(Table_Input_InorganicFertiliser_Brands[[#This Row],[Product (select)]], "N declared", FertiliserProducts[#Data], FertiliserProducts[Product], FertiliserProducts[#Headers])*0.01, 0)</f>
        <v>0</v>
      </c>
      <c r="X17"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7" s="201" t="str">
        <f>IFERROR(_xlfn.XLOOKUP(Table_Input_InorganicFertiliser_Brands[[#This Row],[Product (select)]],FertiliserProducts[Product],FertiliserProducts[Urea source]), "")</f>
        <v/>
      </c>
      <c r="Z17" s="201" t="str">
        <f>IFERROR(_xlfn.XLOOKUP(Table_Input_InorganicFertiliser_Brands[[#This Row],[Product (select)]],FertiliserProducts[Product],FertiliserProducts[Ammonia source]), "")</f>
        <v/>
      </c>
    </row>
    <row r="18" spans="1:26" ht="20.100000000000001" customHeight="1" x14ac:dyDescent="0.2">
      <c r="A18" s="5" t="str">
        <f>HYPERLINK("#'Input - Freight'!A1", "Freight")</f>
        <v>Freight</v>
      </c>
      <c r="D18" s="198"/>
      <c r="E18" s="199"/>
      <c r="F18" s="15" t="str">
        <f>IFERROR(_xlfn.XLOOKUP(Table_Input_InorganicFertiliser_Brands[[#This Row],[Product (select)]],FertiliserProducts[Product],FertiliserProducts[Unit]), "kg")</f>
        <v>kg</v>
      </c>
      <c r="G18" s="199">
        <f t="shared" ref="G18" si="6">X_Cell_Fertiliser_AreaUnderCropping</f>
        <v>100</v>
      </c>
      <c r="H18" s="200">
        <f>IFERROR(_xlfn.XLOOKUP(Table_Input_InorganicFertiliser_Brands[[#This Row],[Product (select)]],FertiliserProducts[Product],FertiliserProducts[Density]), 1)</f>
        <v>1</v>
      </c>
      <c r="I18" s="201">
        <f>(Table_Input_InorganicFertiliser_Brands[[#This Row],[Amount applied per hectare]]*Table_Input_InorganicFertiliser_Brands[[#This Row],[Density]])*Table_Input_InorganicFertiliser_Brands[[#This Row],[Application area (ha)]]</f>
        <v>0</v>
      </c>
      <c r="J18" s="201" t="str" cm="1">
        <f t="array" ref="J18">Fertiliser_InputFunctions.Fertiliser_FertiliserProductLookup(Table_Input_InorganicFertiliser_Brands[[#This Row],[Product (select)]], Table_Input_InorganicFertiliser_Brands[[#Headers],[Ingredient 1]], FertiliserProducts[#Data], FertiliserProducts[Product], FertiliserProducts[#Headers])</f>
        <v/>
      </c>
      <c r="K18" s="201" t="str" cm="1">
        <f t="array" ref="K18">Fertiliser_InputFunctions.Fertiliser_FertiliserProductLookup(Table_Input_InorganicFertiliser_Brands[[#This Row],[Product (select)]], Table_Input_InorganicFertiliser_Brands[[#Headers],[Ingredient 1 percent]], FertiliserProducts[#Data], FertiliserProducts[Product], FertiliserProducts[#Headers])</f>
        <v/>
      </c>
      <c r="L18" s="201" t="str" cm="1">
        <f t="array" ref="L18">Fertiliser_InputFunctions.Fertiliser_FertiliserProductLookup(Table_Input_InorganicFertiliser_Brands[[#This Row],[Product (select)]], Table_Input_InorganicFertiliser_Brands[[#Headers],[Ingredient 2]], FertiliserProducts[#Data], FertiliserProducts[Product], FertiliserProducts[#Headers])</f>
        <v/>
      </c>
      <c r="M18" s="201" t="str" cm="1">
        <f t="array" ref="M18">Fertiliser_InputFunctions.Fertiliser_FertiliserProductLookup(Table_Input_InorganicFertiliser_Brands[[#This Row],[Product (select)]], Table_Input_InorganicFertiliser_Brands[[#Headers],[Ingredient 2 percent]], FertiliserProducts[#Data], FertiliserProducts[Product], FertiliserProducts[#Headers])</f>
        <v/>
      </c>
      <c r="N18" s="201" t="str" cm="1">
        <f t="array" ref="N18">Fertiliser_InputFunctions.Fertiliser_FertiliserProductLookup(Table_Input_InorganicFertiliser_Brands[[#This Row],[Product (select)]], Table_Input_InorganicFertiliser_Brands[[#Headers],[Ingredient 3]], FertiliserProducts[#Data], FertiliserProducts[Product], FertiliserProducts[#Headers])</f>
        <v/>
      </c>
      <c r="O18" s="201" t="str" cm="1">
        <f t="array" ref="O18">Fertiliser_InputFunctions.Fertiliser_FertiliserProductLookup(Table_Input_InorganicFertiliser_Brands[[#This Row],[Product (select)]], Table_Input_InorganicFertiliser_Brands[[#Headers],[Ingredient 3 percent]], FertiliserProducts[#Data], FertiliserProducts[Product], FertiliserProducts[#Headers])</f>
        <v/>
      </c>
      <c r="P18" s="201" t="str" cm="1">
        <f t="array" ref="P18">Fertiliser_InputFunctions.Fertiliser_FertiliserProductLookup(Table_Input_InorganicFertiliser_Brands[[#This Row],[Product (select)]], Table_Input_InorganicFertiliser_Brands[[#Headers],[Ingredient 4]], FertiliserProducts[#Data], FertiliserProducts[Product], FertiliserProducts[#Headers])</f>
        <v/>
      </c>
      <c r="Q18" s="201" t="str" cm="1">
        <f t="array" ref="Q18">Fertiliser_InputFunctions.Fertiliser_FertiliserProductLookup(Table_Input_InorganicFertiliser_Brands[[#This Row],[Product (select)]], Table_Input_InorganicFertiliser_Brands[[#Headers],[Ingredient 4 percent]], FertiliserProducts[#Data], FertiliserProducts[Product], FertiliserProducts[#Headers])</f>
        <v/>
      </c>
      <c r="R18" s="201" t="str" cm="1">
        <f t="array" ref="R18">Fertiliser_InputFunctions.Fertiliser_FertiliserProductLookup(Table_Input_InorganicFertiliser_Brands[[#This Row],[Product (select)]], Table_Input_InorganicFertiliser_Brands[[#Headers],[Ingredient 5]], FertiliserProducts[#Data], FertiliserProducts[Product], FertiliserProducts[#Headers])</f>
        <v/>
      </c>
      <c r="S18" s="201" t="str" cm="1">
        <f t="array" ref="S18">Fertiliser_InputFunctions.Fertiliser_FertiliserProductLookup(Table_Input_InorganicFertiliser_Brands[[#This Row],[Product (select)]], Table_Input_InorganicFertiliser_Brands[[#Headers],[Ingredient 5 percent]], FertiliserProducts[#Data], FertiliserProducts[Product], FertiliserProducts[#Headers])</f>
        <v/>
      </c>
      <c r="T18" s="201" t="str" cm="1">
        <f t="array" ref="T18">Fertiliser_InputFunctions.Fertiliser_FertiliserProductLookup(Table_Input_InorganicFertiliser_Brands[[#This Row],[Product (select)]], Table_Input_InorganicFertiliser_Brands[[#Headers],[Ingredient 6]], FertiliserProducts[#Data], FertiliserProducts[Product], FertiliserProducts[#Headers])</f>
        <v/>
      </c>
      <c r="U18" s="201" t="str" cm="1">
        <f t="array" ref="U18">Fertiliser_InputFunctions.Fertiliser_FertiliserProductLookup(Table_Input_InorganicFertiliser_Brands[[#This Row],[Product (select)]], Table_Input_InorganicFertiliser_Brands[[#Headers],[Ingredient 6 percent]], FertiliserProducts[#Data], FertiliserProducts[Product], FertiliserProducts[#Headers])</f>
        <v/>
      </c>
      <c r="V18"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8" s="202" cm="1">
        <f t="array" ref="W18">IFERROR(Fertiliser_InputFunctions.Fertiliser_FertiliserProductLookup(Table_Input_InorganicFertiliser_Brands[[#This Row],[Product (select)]], "N declared", FertiliserProducts[#Data], FertiliserProducts[Product], FertiliserProducts[#Headers])*0.01, 0)</f>
        <v>0</v>
      </c>
      <c r="X18"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8" s="201" t="str">
        <f>IFERROR(_xlfn.XLOOKUP(Table_Input_InorganicFertiliser_Brands[[#This Row],[Product (select)]],FertiliserProducts[Product],FertiliserProducts[Urea source]), "")</f>
        <v/>
      </c>
      <c r="Z18" s="201" t="str">
        <f>IFERROR(_xlfn.XLOOKUP(Table_Input_InorganicFertiliser_Brands[[#This Row],[Product (select)]],FertiliserProducts[Product],FertiliserProducts[Ammonia source]), "")</f>
        <v/>
      </c>
    </row>
    <row r="19" spans="1:26" ht="20.100000000000001" customHeight="1" x14ac:dyDescent="0.2">
      <c r="A19" s="5" t="str">
        <f>HYPERLINK("#'Input - Solid waste'!A1", "Solid waste")</f>
        <v>Solid waste</v>
      </c>
      <c r="D19" s="198"/>
      <c r="E19" s="199"/>
      <c r="F19" s="15" t="str">
        <f>IFERROR(_xlfn.XLOOKUP(Table_Input_InorganicFertiliser_Brands[[#This Row],[Product (select)]],FertiliserProducts[Product],FertiliserProducts[Unit]), "kg")</f>
        <v>kg</v>
      </c>
      <c r="G19" s="199">
        <f t="shared" ref="G19" si="7">X_Cell_Fertiliser_AreaUnderCropping</f>
        <v>100</v>
      </c>
      <c r="H19" s="200">
        <f>IFERROR(_xlfn.XLOOKUP(Table_Input_InorganicFertiliser_Brands[[#This Row],[Product (select)]],FertiliserProducts[Product],FertiliserProducts[Density]), 1)</f>
        <v>1</v>
      </c>
      <c r="I19" s="201">
        <f>(Table_Input_InorganicFertiliser_Brands[[#This Row],[Amount applied per hectare]]*Table_Input_InorganicFertiliser_Brands[[#This Row],[Density]])*Table_Input_InorganicFertiliser_Brands[[#This Row],[Application area (ha)]]</f>
        <v>0</v>
      </c>
      <c r="J19" s="201" t="str" cm="1">
        <f t="array" ref="J19">Fertiliser_InputFunctions.Fertiliser_FertiliserProductLookup(Table_Input_InorganicFertiliser_Brands[[#This Row],[Product (select)]], Table_Input_InorganicFertiliser_Brands[[#Headers],[Ingredient 1]], FertiliserProducts[#Data], FertiliserProducts[Product], FertiliserProducts[#Headers])</f>
        <v/>
      </c>
      <c r="K19" s="201" t="str" cm="1">
        <f t="array" ref="K19">Fertiliser_InputFunctions.Fertiliser_FertiliserProductLookup(Table_Input_InorganicFertiliser_Brands[[#This Row],[Product (select)]], Table_Input_InorganicFertiliser_Brands[[#Headers],[Ingredient 1 percent]], FertiliserProducts[#Data], FertiliserProducts[Product], FertiliserProducts[#Headers])</f>
        <v/>
      </c>
      <c r="L19" s="201" t="str" cm="1">
        <f t="array" ref="L19">Fertiliser_InputFunctions.Fertiliser_FertiliserProductLookup(Table_Input_InorganicFertiliser_Brands[[#This Row],[Product (select)]], Table_Input_InorganicFertiliser_Brands[[#Headers],[Ingredient 2]], FertiliserProducts[#Data], FertiliserProducts[Product], FertiliserProducts[#Headers])</f>
        <v/>
      </c>
      <c r="M19" s="201" t="str" cm="1">
        <f t="array" ref="M19">Fertiliser_InputFunctions.Fertiliser_FertiliserProductLookup(Table_Input_InorganicFertiliser_Brands[[#This Row],[Product (select)]], Table_Input_InorganicFertiliser_Brands[[#Headers],[Ingredient 2 percent]], FertiliserProducts[#Data], FertiliserProducts[Product], FertiliserProducts[#Headers])</f>
        <v/>
      </c>
      <c r="N19" s="201" t="str" cm="1">
        <f t="array" ref="N19">Fertiliser_InputFunctions.Fertiliser_FertiliserProductLookup(Table_Input_InorganicFertiliser_Brands[[#This Row],[Product (select)]], Table_Input_InorganicFertiliser_Brands[[#Headers],[Ingredient 3]], FertiliserProducts[#Data], FertiliserProducts[Product], FertiliserProducts[#Headers])</f>
        <v/>
      </c>
      <c r="O19" s="201" t="str" cm="1">
        <f t="array" ref="O19">Fertiliser_InputFunctions.Fertiliser_FertiliserProductLookup(Table_Input_InorganicFertiliser_Brands[[#This Row],[Product (select)]], Table_Input_InorganicFertiliser_Brands[[#Headers],[Ingredient 3 percent]], FertiliserProducts[#Data], FertiliserProducts[Product], FertiliserProducts[#Headers])</f>
        <v/>
      </c>
      <c r="P19" s="201" t="str" cm="1">
        <f t="array" ref="P19">Fertiliser_InputFunctions.Fertiliser_FertiliserProductLookup(Table_Input_InorganicFertiliser_Brands[[#This Row],[Product (select)]], Table_Input_InorganicFertiliser_Brands[[#Headers],[Ingredient 4]], FertiliserProducts[#Data], FertiliserProducts[Product], FertiliserProducts[#Headers])</f>
        <v/>
      </c>
      <c r="Q19" s="201" t="str" cm="1">
        <f t="array" ref="Q19">Fertiliser_InputFunctions.Fertiliser_FertiliserProductLookup(Table_Input_InorganicFertiliser_Brands[[#This Row],[Product (select)]], Table_Input_InorganicFertiliser_Brands[[#Headers],[Ingredient 4 percent]], FertiliserProducts[#Data], FertiliserProducts[Product], FertiliserProducts[#Headers])</f>
        <v/>
      </c>
      <c r="R19" s="201" t="str" cm="1">
        <f t="array" ref="R19">Fertiliser_InputFunctions.Fertiliser_FertiliserProductLookup(Table_Input_InorganicFertiliser_Brands[[#This Row],[Product (select)]], Table_Input_InorganicFertiliser_Brands[[#Headers],[Ingredient 5]], FertiliserProducts[#Data], FertiliserProducts[Product], FertiliserProducts[#Headers])</f>
        <v/>
      </c>
      <c r="S19" s="201" t="str" cm="1">
        <f t="array" ref="S19">Fertiliser_InputFunctions.Fertiliser_FertiliserProductLookup(Table_Input_InorganicFertiliser_Brands[[#This Row],[Product (select)]], Table_Input_InorganicFertiliser_Brands[[#Headers],[Ingredient 5 percent]], FertiliserProducts[#Data], FertiliserProducts[Product], FertiliserProducts[#Headers])</f>
        <v/>
      </c>
      <c r="T19" s="201" t="str" cm="1">
        <f t="array" ref="T19">Fertiliser_InputFunctions.Fertiliser_FertiliserProductLookup(Table_Input_InorganicFertiliser_Brands[[#This Row],[Product (select)]], Table_Input_InorganicFertiliser_Brands[[#Headers],[Ingredient 6]], FertiliserProducts[#Data], FertiliserProducts[Product], FertiliserProducts[#Headers])</f>
        <v/>
      </c>
      <c r="U19" s="201" t="str" cm="1">
        <f t="array" ref="U19">Fertiliser_InputFunctions.Fertiliser_FertiliserProductLookup(Table_Input_InorganicFertiliser_Brands[[#This Row],[Product (select)]], Table_Input_InorganicFertiliser_Brands[[#Headers],[Ingredient 6 percent]], FertiliserProducts[#Data], FertiliserProducts[Product], FertiliserProducts[#Headers])</f>
        <v/>
      </c>
      <c r="V19"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19" s="202" cm="1">
        <f t="array" ref="W19">IFERROR(Fertiliser_InputFunctions.Fertiliser_FertiliserProductLookup(Table_Input_InorganicFertiliser_Brands[[#This Row],[Product (select)]], "N declared", FertiliserProducts[#Data], FertiliserProducts[Product], FertiliserProducts[#Headers])*0.01, 0)</f>
        <v>0</v>
      </c>
      <c r="X19"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19" s="201" t="str">
        <f>IFERROR(_xlfn.XLOOKUP(Table_Input_InorganicFertiliser_Brands[[#This Row],[Product (select)]],FertiliserProducts[Product],FertiliserProducts[Urea source]), "")</f>
        <v/>
      </c>
      <c r="Z19" s="201" t="str">
        <f>IFERROR(_xlfn.XLOOKUP(Table_Input_InorganicFertiliser_Brands[[#This Row],[Product (select)]],FertiliserProducts[Product],FertiliserProducts[Ammonia source]), "")</f>
        <v/>
      </c>
    </row>
    <row r="20" spans="1:26" ht="20.100000000000001" customHeight="1" x14ac:dyDescent="0.2">
      <c r="A20" s="5" t="str">
        <f>HYPERLINK("#'Input - Manure sent off-site'!A1", "Manure sent off-site")</f>
        <v>Manure sent off-site</v>
      </c>
      <c r="D20" s="198"/>
      <c r="E20" s="199"/>
      <c r="F20" s="15" t="str">
        <f>IFERROR(_xlfn.XLOOKUP(Table_Input_InorganicFertiliser_Brands[[#This Row],[Product (select)]],FertiliserProducts[Product],FertiliserProducts[Unit]), "kg")</f>
        <v>kg</v>
      </c>
      <c r="G20" s="199">
        <f t="shared" ref="G20" si="8">X_Cell_Fertiliser_AreaUnderCropping</f>
        <v>100</v>
      </c>
      <c r="H20" s="200">
        <f>IFERROR(_xlfn.XLOOKUP(Table_Input_InorganicFertiliser_Brands[[#This Row],[Product (select)]],FertiliserProducts[Product],FertiliserProducts[Density]), 1)</f>
        <v>1</v>
      </c>
      <c r="I20" s="201">
        <f>(Table_Input_InorganicFertiliser_Brands[[#This Row],[Amount applied per hectare]]*Table_Input_InorganicFertiliser_Brands[[#This Row],[Density]])*Table_Input_InorganicFertiliser_Brands[[#This Row],[Application area (ha)]]</f>
        <v>0</v>
      </c>
      <c r="J20" s="201" t="str" cm="1">
        <f t="array" ref="J20">Fertiliser_InputFunctions.Fertiliser_FertiliserProductLookup(Table_Input_InorganicFertiliser_Brands[[#This Row],[Product (select)]], Table_Input_InorganicFertiliser_Brands[[#Headers],[Ingredient 1]], FertiliserProducts[#Data], FertiliserProducts[Product], FertiliserProducts[#Headers])</f>
        <v/>
      </c>
      <c r="K20" s="201" t="str" cm="1">
        <f t="array" ref="K20">Fertiliser_InputFunctions.Fertiliser_FertiliserProductLookup(Table_Input_InorganicFertiliser_Brands[[#This Row],[Product (select)]], Table_Input_InorganicFertiliser_Brands[[#Headers],[Ingredient 1 percent]], FertiliserProducts[#Data], FertiliserProducts[Product], FertiliserProducts[#Headers])</f>
        <v/>
      </c>
      <c r="L20" s="201" t="str" cm="1">
        <f t="array" ref="L20">Fertiliser_InputFunctions.Fertiliser_FertiliserProductLookup(Table_Input_InorganicFertiliser_Brands[[#This Row],[Product (select)]], Table_Input_InorganicFertiliser_Brands[[#Headers],[Ingredient 2]], FertiliserProducts[#Data], FertiliserProducts[Product], FertiliserProducts[#Headers])</f>
        <v/>
      </c>
      <c r="M20" s="201" t="str" cm="1">
        <f t="array" ref="M20">Fertiliser_InputFunctions.Fertiliser_FertiliserProductLookup(Table_Input_InorganicFertiliser_Brands[[#This Row],[Product (select)]], Table_Input_InorganicFertiliser_Brands[[#Headers],[Ingredient 2 percent]], FertiliserProducts[#Data], FertiliserProducts[Product], FertiliserProducts[#Headers])</f>
        <v/>
      </c>
      <c r="N20" s="201" t="str" cm="1">
        <f t="array" ref="N20">Fertiliser_InputFunctions.Fertiliser_FertiliserProductLookup(Table_Input_InorganicFertiliser_Brands[[#This Row],[Product (select)]], Table_Input_InorganicFertiliser_Brands[[#Headers],[Ingredient 3]], FertiliserProducts[#Data], FertiliserProducts[Product], FertiliserProducts[#Headers])</f>
        <v/>
      </c>
      <c r="O20" s="201" t="str" cm="1">
        <f t="array" ref="O20">Fertiliser_InputFunctions.Fertiliser_FertiliserProductLookup(Table_Input_InorganicFertiliser_Brands[[#This Row],[Product (select)]], Table_Input_InorganicFertiliser_Brands[[#Headers],[Ingredient 3 percent]], FertiliserProducts[#Data], FertiliserProducts[Product], FertiliserProducts[#Headers])</f>
        <v/>
      </c>
      <c r="P20" s="201" t="str" cm="1">
        <f t="array" ref="P20">Fertiliser_InputFunctions.Fertiliser_FertiliserProductLookup(Table_Input_InorganicFertiliser_Brands[[#This Row],[Product (select)]], Table_Input_InorganicFertiliser_Brands[[#Headers],[Ingredient 4]], FertiliserProducts[#Data], FertiliserProducts[Product], FertiliserProducts[#Headers])</f>
        <v/>
      </c>
      <c r="Q20" s="201" t="str" cm="1">
        <f t="array" ref="Q20">Fertiliser_InputFunctions.Fertiliser_FertiliserProductLookup(Table_Input_InorganicFertiliser_Brands[[#This Row],[Product (select)]], Table_Input_InorganicFertiliser_Brands[[#Headers],[Ingredient 4 percent]], FertiliserProducts[#Data], FertiliserProducts[Product], FertiliserProducts[#Headers])</f>
        <v/>
      </c>
      <c r="R20" s="201" t="str" cm="1">
        <f t="array" ref="R20">Fertiliser_InputFunctions.Fertiliser_FertiliserProductLookup(Table_Input_InorganicFertiliser_Brands[[#This Row],[Product (select)]], Table_Input_InorganicFertiliser_Brands[[#Headers],[Ingredient 5]], FertiliserProducts[#Data], FertiliserProducts[Product], FertiliserProducts[#Headers])</f>
        <v/>
      </c>
      <c r="S20" s="201" t="str" cm="1">
        <f t="array" ref="S20">Fertiliser_InputFunctions.Fertiliser_FertiliserProductLookup(Table_Input_InorganicFertiliser_Brands[[#This Row],[Product (select)]], Table_Input_InorganicFertiliser_Brands[[#Headers],[Ingredient 5 percent]], FertiliserProducts[#Data], FertiliserProducts[Product], FertiliserProducts[#Headers])</f>
        <v/>
      </c>
      <c r="T20" s="201" t="str" cm="1">
        <f t="array" ref="T20">Fertiliser_InputFunctions.Fertiliser_FertiliserProductLookup(Table_Input_InorganicFertiliser_Brands[[#This Row],[Product (select)]], Table_Input_InorganicFertiliser_Brands[[#Headers],[Ingredient 6]], FertiliserProducts[#Data], FertiliserProducts[Product], FertiliserProducts[#Headers])</f>
        <v/>
      </c>
      <c r="U20" s="201" t="str" cm="1">
        <f t="array" ref="U20">Fertiliser_InputFunctions.Fertiliser_FertiliserProductLookup(Table_Input_InorganicFertiliser_Brands[[#This Row],[Product (select)]], Table_Input_InorganicFertiliser_Brands[[#Headers],[Ingredient 6 percent]], FertiliserProducts[#Data], FertiliserProducts[Product], FertiliserProducts[#Headers])</f>
        <v/>
      </c>
      <c r="V20"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0" s="202" cm="1">
        <f t="array" ref="W20">IFERROR(Fertiliser_InputFunctions.Fertiliser_FertiliserProductLookup(Table_Input_InorganicFertiliser_Brands[[#This Row],[Product (select)]], "N declared", FertiliserProducts[#Data], FertiliserProducts[Product], FertiliserProducts[#Headers])*0.01, 0)</f>
        <v>0</v>
      </c>
      <c r="X20"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0" s="201" t="str">
        <f>IFERROR(_xlfn.XLOOKUP(Table_Input_InorganicFertiliser_Brands[[#This Row],[Product (select)]],FertiliserProducts[Product],FertiliserProducts[Urea source]), "")</f>
        <v/>
      </c>
      <c r="Z20" s="201" t="str">
        <f>IFERROR(_xlfn.XLOOKUP(Table_Input_InorganicFertiliser_Brands[[#This Row],[Product (select)]],FertiliserProducts[Product],FertiliserProducts[Ammonia source]), "")</f>
        <v/>
      </c>
    </row>
    <row r="21" spans="1:26" ht="20.100000000000001" customHeight="1" x14ac:dyDescent="0.2">
      <c r="A21" s="5" t="str">
        <f>HYPERLINK("#'Input - Data quality'!A1", "Data quality")</f>
        <v>Data quality</v>
      </c>
      <c r="D21" s="198"/>
      <c r="E21" s="199"/>
      <c r="F21" s="15" t="str">
        <f>IFERROR(_xlfn.XLOOKUP(Table_Input_InorganicFertiliser_Brands[[#This Row],[Product (select)]],FertiliserProducts[Product],FertiliserProducts[Unit]), "kg")</f>
        <v>kg</v>
      </c>
      <c r="G21" s="199">
        <f t="shared" ref="G21" si="9">X_Cell_Fertiliser_AreaUnderCropping</f>
        <v>100</v>
      </c>
      <c r="H21" s="200">
        <f>IFERROR(_xlfn.XLOOKUP(Table_Input_InorganicFertiliser_Brands[[#This Row],[Product (select)]],FertiliserProducts[Product],FertiliserProducts[Density]), 1)</f>
        <v>1</v>
      </c>
      <c r="I21" s="201">
        <f>(Table_Input_InorganicFertiliser_Brands[[#This Row],[Amount applied per hectare]]*Table_Input_InorganicFertiliser_Brands[[#This Row],[Density]])*Table_Input_InorganicFertiliser_Brands[[#This Row],[Application area (ha)]]</f>
        <v>0</v>
      </c>
      <c r="J21" s="201" t="str" cm="1">
        <f t="array" ref="J21">Fertiliser_InputFunctions.Fertiliser_FertiliserProductLookup(Table_Input_InorganicFertiliser_Brands[[#This Row],[Product (select)]], Table_Input_InorganicFertiliser_Brands[[#Headers],[Ingredient 1]], FertiliserProducts[#Data], FertiliserProducts[Product], FertiliserProducts[#Headers])</f>
        <v/>
      </c>
      <c r="K21" s="201" t="str" cm="1">
        <f t="array" ref="K21">Fertiliser_InputFunctions.Fertiliser_FertiliserProductLookup(Table_Input_InorganicFertiliser_Brands[[#This Row],[Product (select)]], Table_Input_InorganicFertiliser_Brands[[#Headers],[Ingredient 1 percent]], FertiliserProducts[#Data], FertiliserProducts[Product], FertiliserProducts[#Headers])</f>
        <v/>
      </c>
      <c r="L21" s="201" t="str" cm="1">
        <f t="array" ref="L21">Fertiliser_InputFunctions.Fertiliser_FertiliserProductLookup(Table_Input_InorganicFertiliser_Brands[[#This Row],[Product (select)]], Table_Input_InorganicFertiliser_Brands[[#Headers],[Ingredient 2]], FertiliserProducts[#Data], FertiliserProducts[Product], FertiliserProducts[#Headers])</f>
        <v/>
      </c>
      <c r="M21" s="201" t="str" cm="1">
        <f t="array" ref="M21">Fertiliser_InputFunctions.Fertiliser_FertiliserProductLookup(Table_Input_InorganicFertiliser_Brands[[#This Row],[Product (select)]], Table_Input_InorganicFertiliser_Brands[[#Headers],[Ingredient 2 percent]], FertiliserProducts[#Data], FertiliserProducts[Product], FertiliserProducts[#Headers])</f>
        <v/>
      </c>
      <c r="N21" s="201" t="str" cm="1">
        <f t="array" ref="N21">Fertiliser_InputFunctions.Fertiliser_FertiliserProductLookup(Table_Input_InorganicFertiliser_Brands[[#This Row],[Product (select)]], Table_Input_InorganicFertiliser_Brands[[#Headers],[Ingredient 3]], FertiliserProducts[#Data], FertiliserProducts[Product], FertiliserProducts[#Headers])</f>
        <v/>
      </c>
      <c r="O21" s="201" t="str" cm="1">
        <f t="array" ref="O21">Fertiliser_InputFunctions.Fertiliser_FertiliserProductLookup(Table_Input_InorganicFertiliser_Brands[[#This Row],[Product (select)]], Table_Input_InorganicFertiliser_Brands[[#Headers],[Ingredient 3 percent]], FertiliserProducts[#Data], FertiliserProducts[Product], FertiliserProducts[#Headers])</f>
        <v/>
      </c>
      <c r="P21" s="201" t="str" cm="1">
        <f t="array" ref="P21">Fertiliser_InputFunctions.Fertiliser_FertiliserProductLookup(Table_Input_InorganicFertiliser_Brands[[#This Row],[Product (select)]], Table_Input_InorganicFertiliser_Brands[[#Headers],[Ingredient 4]], FertiliserProducts[#Data], FertiliserProducts[Product], FertiliserProducts[#Headers])</f>
        <v/>
      </c>
      <c r="Q21" s="201" t="str" cm="1">
        <f t="array" ref="Q21">Fertiliser_InputFunctions.Fertiliser_FertiliserProductLookup(Table_Input_InorganicFertiliser_Brands[[#This Row],[Product (select)]], Table_Input_InorganicFertiliser_Brands[[#Headers],[Ingredient 4 percent]], FertiliserProducts[#Data], FertiliserProducts[Product], FertiliserProducts[#Headers])</f>
        <v/>
      </c>
      <c r="R21" s="201" t="str" cm="1">
        <f t="array" ref="R21">Fertiliser_InputFunctions.Fertiliser_FertiliserProductLookup(Table_Input_InorganicFertiliser_Brands[[#This Row],[Product (select)]], Table_Input_InorganicFertiliser_Brands[[#Headers],[Ingredient 5]], FertiliserProducts[#Data], FertiliserProducts[Product], FertiliserProducts[#Headers])</f>
        <v/>
      </c>
      <c r="S21" s="201" t="str" cm="1">
        <f t="array" ref="S21">Fertiliser_InputFunctions.Fertiliser_FertiliserProductLookup(Table_Input_InorganicFertiliser_Brands[[#This Row],[Product (select)]], Table_Input_InorganicFertiliser_Brands[[#Headers],[Ingredient 5 percent]], FertiliserProducts[#Data], FertiliserProducts[Product], FertiliserProducts[#Headers])</f>
        <v/>
      </c>
      <c r="T21" s="201" t="str" cm="1">
        <f t="array" ref="T21">Fertiliser_InputFunctions.Fertiliser_FertiliserProductLookup(Table_Input_InorganicFertiliser_Brands[[#This Row],[Product (select)]], Table_Input_InorganicFertiliser_Brands[[#Headers],[Ingredient 6]], FertiliserProducts[#Data], FertiliserProducts[Product], FertiliserProducts[#Headers])</f>
        <v/>
      </c>
      <c r="U21" s="201" t="str" cm="1">
        <f t="array" ref="U21">Fertiliser_InputFunctions.Fertiliser_FertiliserProductLookup(Table_Input_InorganicFertiliser_Brands[[#This Row],[Product (select)]], Table_Input_InorganicFertiliser_Brands[[#Headers],[Ingredient 6 percent]], FertiliserProducts[#Data], FertiliserProducts[Product], FertiliserProducts[#Headers])</f>
        <v/>
      </c>
      <c r="V21" s="201">
        <f>IFERROR((_xlfn.XLOOKUP(Table_Input_InorganicFertiliser_Brands[[#This Row],[Ingredient 1]], Table_Fertiliser_ChemicalCompounds[Fertiliser type f],Table_Fertiliser_ChemicalCompounds[FNinorganic f])*Table_Input_InorganicFertiliser_Brands[[#This Row],[Ingredient 1 percent]]), 0)+
IFERROR((_xlfn.XLOOKUP(Table_Input_InorganicFertiliser_Brands[[#This Row],[Ingredient 2]],Table_Fertiliser_ChemicalCompounds[Fertiliser type f],Table_Fertiliser_ChemicalCompounds[FNinorganic f])*Table_Input_InorganicFertiliser_Brands[[#This Row],[Ingredient 2 percent]]), 0)+
IFERROR((_xlfn.XLOOKUP(Table_Input_InorganicFertiliser_Brands[[#This Row],[Ingredient 3]],Table_Fertiliser_ChemicalCompounds[Fertiliser type f],Table_Fertiliser_ChemicalCompounds[FNinorganic f])*Table_Input_InorganicFertiliser_Brands[[#This Row],[Ingredient 3 percent]]), 0)+
IFERROR((_xlfn.XLOOKUP(Table_Input_InorganicFertiliser_Brands[[#This Row],[Ingredient 4]],Table_Fertiliser_ChemicalCompounds[Fertiliser type f],Table_Fertiliser_ChemicalCompounds[FNinorganic f])*Table_Input_InorganicFertiliser_Brands[[#This Row],[Ingredient 4 percent]]), 0)+
IFERROR((_xlfn.XLOOKUP(Table_Input_InorganicFertiliser_Brands[[#This Row],[Ingredient 5]],Table_Fertiliser_ChemicalCompounds[Fertiliser type f],Table_Fertiliser_ChemicalCompounds[FNinorganic f])*Table_Input_InorganicFertiliser_Brands[[#This Row],[Ingredient 5 percent]]), 0)+
IFERROR((_xlfn.XLOOKUP(Table_Input_InorganicFertiliser_Brands[[#This Row],[Ingredient 6]],Table_Fertiliser_ChemicalCompounds[Fertiliser type f],Table_Fertiliser_ChemicalCompounds[FNinorganic f])*Table_Input_InorganicFertiliser_Brands[[#This Row],[Ingredient 6 percent]]), 0)</f>
        <v>0</v>
      </c>
      <c r="W21" s="202" cm="1">
        <f t="array" ref="W21">IFERROR(Fertiliser_InputFunctions.Fertiliser_FertiliserProductLookup(Table_Input_InorganicFertiliser_Brands[[#This Row],[Product (select)]], "N declared", FertiliserProducts[#Data], FertiliserProducts[Product], FertiliserProducts[#Headers])*0.01, 0)</f>
        <v>0</v>
      </c>
      <c r="X21" s="201">
        <f>(Table_Input_InorganicFertiliser_Brands[[#This Row],[Amount applied per hectare]]*Table_Input_InorganicFertiliser_Brands[[#This Row],[Density]])*(IF(Table_Input_InorganicFertiliser_Brands[[#This Row],[% N (declared)]], Table_Input_InorganicFertiliser_Brands[[#This Row],[% N (declared)]], Table_Input_InorganicFertiliser_Brands[[#This Row],[% N (Ingredients)]]))</f>
        <v>0</v>
      </c>
      <c r="Y21" s="201" t="str">
        <f>IFERROR(_xlfn.XLOOKUP(Table_Input_InorganicFertiliser_Brands[[#This Row],[Product (select)]],FertiliserProducts[Product],FertiliserProducts[Urea source]), "")</f>
        <v/>
      </c>
      <c r="Z21" s="201" t="str">
        <f>IFERROR(_xlfn.XLOOKUP(Table_Input_InorganicFertiliser_Brands[[#This Row],[Product (select)]],FertiliserProducts[Product],FertiliserProducts[Ammonia source]), "")</f>
        <v/>
      </c>
    </row>
    <row r="22" spans="1:26" ht="20.100000000000001" customHeight="1" x14ac:dyDescent="0.2">
      <c r="A22" s="5" t="str">
        <f>HYPERLINK("#'Input - Fert Prod System'!A1", "Fert Prod System")</f>
        <v>Fert Prod System</v>
      </c>
      <c r="D22" s="203"/>
      <c r="E22" s="204"/>
      <c r="F22" s="205"/>
      <c r="G22" s="205"/>
      <c r="H22" s="205"/>
      <c r="I22" s="205"/>
      <c r="J22" s="206"/>
      <c r="K22" s="206"/>
      <c r="L22" s="207"/>
      <c r="M22" s="207"/>
      <c r="N22" s="142"/>
      <c r="O22" s="142"/>
      <c r="P22" s="142"/>
      <c r="Q22" s="142"/>
      <c r="R22" s="142"/>
      <c r="S22" s="142"/>
      <c r="T22" s="142"/>
      <c r="U22" s="142"/>
      <c r="V22" s="142"/>
      <c r="W22" s="142"/>
      <c r="X22" s="142"/>
    </row>
    <row r="23" spans="1:26" ht="20.100000000000001" customHeight="1" x14ac:dyDescent="0.2">
      <c r="A23" s="100" t="str">
        <f>HYPERLINK("#'Input - Fertiliser'!A1", "Fertiliser")</f>
        <v>Fertiliser</v>
      </c>
      <c r="D23" s="208" t="s">
        <v>717</v>
      </c>
      <c r="E23" s="209"/>
      <c r="F23" s="209"/>
      <c r="G23" s="209"/>
      <c r="H23" s="209"/>
      <c r="I23" s="209"/>
      <c r="J23" s="209"/>
      <c r="K23" s="209"/>
      <c r="L23" s="209"/>
      <c r="M23" s="209"/>
      <c r="N23" s="142"/>
      <c r="O23" s="142"/>
      <c r="P23" s="142"/>
      <c r="Q23" s="142"/>
      <c r="R23" s="142"/>
      <c r="S23" s="142"/>
      <c r="T23" s="142"/>
      <c r="V23" s="142"/>
      <c r="W23" s="142"/>
      <c r="X23" s="142"/>
    </row>
    <row r="24" spans="1:26" ht="20.100000000000001" customHeight="1" x14ac:dyDescent="0.2">
      <c r="D24" s="196" t="s">
        <v>718</v>
      </c>
      <c r="E24" s="196" t="s">
        <v>719</v>
      </c>
      <c r="F24" s="196" t="s">
        <v>694</v>
      </c>
      <c r="G24" s="196" t="s">
        <v>696</v>
      </c>
      <c r="H24" s="196" t="s">
        <v>720</v>
      </c>
      <c r="I24" s="196" t="s">
        <v>698</v>
      </c>
      <c r="J24" s="196" t="s">
        <v>699</v>
      </c>
      <c r="K24" s="196" t="s">
        <v>700</v>
      </c>
      <c r="L24" s="196" t="s">
        <v>701</v>
      </c>
      <c r="M24" s="196" t="s">
        <v>702</v>
      </c>
      <c r="N24" s="196" t="s">
        <v>703</v>
      </c>
      <c r="O24" s="196" t="s">
        <v>704</v>
      </c>
      <c r="P24" s="196" t="s">
        <v>711</v>
      </c>
      <c r="Q24" s="210" t="s">
        <v>721</v>
      </c>
      <c r="R24" s="210" t="s">
        <v>722</v>
      </c>
      <c r="S24" s="142"/>
      <c r="T24" s="142"/>
      <c r="V24" s="142"/>
      <c r="W24" s="142"/>
      <c r="X24" s="142"/>
    </row>
    <row r="25" spans="1:26" ht="20.100000000000001" customHeight="1" x14ac:dyDescent="0.2">
      <c r="D25" s="33" t="s">
        <v>723</v>
      </c>
      <c r="E25" s="196">
        <v>100</v>
      </c>
      <c r="F25" s="199">
        <f t="shared" ref="F25:F34" si="10">X_Cell_Fertiliser_AreaUnderCropping</f>
        <v>100</v>
      </c>
      <c r="G25" s="201">
        <f>Table_Input_InorganicFertiliser_Custom[[#This Row],[Amount applied (kg / ha)]]*Table_Input_InorganicFertiliser_Custom[[#This Row],[Application area (ha)]]</f>
        <v>10000</v>
      </c>
      <c r="H25" s="211" t="s">
        <v>724</v>
      </c>
      <c r="I25" s="212">
        <v>0.5</v>
      </c>
      <c r="J25" s="211" t="s">
        <v>725</v>
      </c>
      <c r="K25" s="212">
        <v>0.2</v>
      </c>
      <c r="L25" s="211" t="s">
        <v>726</v>
      </c>
      <c r="M25" s="212">
        <v>0.2</v>
      </c>
      <c r="N25" s="213" t="s">
        <v>727</v>
      </c>
      <c r="O25" s="18">
        <v>0.1</v>
      </c>
      <c r="P25"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7.75</v>
      </c>
      <c r="Q25" s="13"/>
      <c r="R25" s="13"/>
      <c r="T25" s="75"/>
      <c r="V25" s="142"/>
    </row>
    <row r="26" spans="1:26" ht="20.100000000000001" customHeight="1" x14ac:dyDescent="0.2">
      <c r="A26" s="6" t="s">
        <v>2</v>
      </c>
      <c r="D26" s="33" t="s">
        <v>728</v>
      </c>
      <c r="E26" s="196">
        <v>100</v>
      </c>
      <c r="F26" s="199">
        <f t="shared" si="10"/>
        <v>100</v>
      </c>
      <c r="G26" s="201">
        <f>Table_Input_InorganicFertiliser_Custom[[#This Row],[Amount applied (kg / ha)]]*Table_Input_InorganicFertiliser_Custom[[#This Row],[Application area (ha)]]</f>
        <v>10000</v>
      </c>
      <c r="H26" s="211" t="s">
        <v>714</v>
      </c>
      <c r="I26" s="214">
        <v>1</v>
      </c>
      <c r="J26" s="211"/>
      <c r="K26" s="214"/>
      <c r="L26" s="211"/>
      <c r="M26" s="214"/>
      <c r="N26" s="213"/>
      <c r="O26" s="18"/>
      <c r="P26"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46</v>
      </c>
      <c r="Q26" s="13"/>
      <c r="R26" s="13"/>
      <c r="V26" s="142"/>
      <c r="W26" s="75"/>
    </row>
    <row r="27" spans="1:26" ht="20.100000000000001" customHeight="1" x14ac:dyDescent="0.2">
      <c r="A27" s="5" t="str">
        <f>HYPERLINK("#'4.6.1.1-2 Methane'!A1", "4.6.1.1-2 Manure Methane")</f>
        <v>4.6.1.1-2 Manure Methane</v>
      </c>
      <c r="D27" s="33" t="s">
        <v>729</v>
      </c>
      <c r="E27" s="196">
        <v>100</v>
      </c>
      <c r="F27" s="199">
        <f t="shared" si="10"/>
        <v>100</v>
      </c>
      <c r="G27" s="201">
        <f>Table_Input_InorganicFertiliser_Custom[[#This Row],[Amount applied (kg / ha)]]*Table_Input_InorganicFertiliser_Custom[[#This Row],[Application area (ha)]]</f>
        <v>10000</v>
      </c>
      <c r="H27" s="211" t="s">
        <v>730</v>
      </c>
      <c r="I27" s="214">
        <v>0.5</v>
      </c>
      <c r="J27" s="211"/>
      <c r="K27" s="214"/>
      <c r="L27" s="211"/>
      <c r="M27" s="214"/>
      <c r="N27" s="213"/>
      <c r="O27" s="18"/>
      <c r="P27"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41.174999999999997</v>
      </c>
      <c r="Q27" s="13"/>
      <c r="R27" s="13"/>
      <c r="V27" s="142"/>
    </row>
    <row r="28" spans="1:26" ht="20.100000000000001" customHeight="1" x14ac:dyDescent="0.2">
      <c r="A28" s="5" t="str">
        <f>HYPERLINK("#'4.6.1.3-4 Direct N20'!A1", "4.6.1.3-4 Manure Direct N2O")</f>
        <v>4.6.1.3-4 Manure Direct N2O</v>
      </c>
      <c r="D28" s="33"/>
      <c r="E28" s="196"/>
      <c r="F28" s="215">
        <f t="shared" si="10"/>
        <v>100</v>
      </c>
      <c r="G28" s="201">
        <f>Table_Input_InorganicFertiliser_Custom[[#This Row],[Amount applied (kg / ha)]]*Table_Input_InorganicFertiliser_Custom[[#This Row],[Application area (ha)]]</f>
        <v>0</v>
      </c>
      <c r="H28" s="211"/>
      <c r="I28" s="214"/>
      <c r="J28" s="211"/>
      <c r="K28" s="214"/>
      <c r="L28" s="211"/>
      <c r="M28" s="214"/>
      <c r="N28" s="213"/>
      <c r="O28" s="18"/>
      <c r="P28"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8" s="13"/>
      <c r="R28" s="13"/>
      <c r="V28" s="75"/>
    </row>
    <row r="29" spans="1:26" ht="20.100000000000001" customHeight="1" x14ac:dyDescent="0.2">
      <c r="A29" s="5" t="str">
        <f>HYPERLINK("#'4.6.1.5-6 Atmos Dep'!A1", "4.6.1.5-6 Manure Atmos Dep")</f>
        <v>4.6.1.5-6 Manure Atmos Dep</v>
      </c>
      <c r="D29" s="33"/>
      <c r="E29" s="196"/>
      <c r="F29" s="215">
        <f t="shared" si="10"/>
        <v>100</v>
      </c>
      <c r="G29" s="201">
        <f>Table_Input_InorganicFertiliser_Custom[[#This Row],[Amount applied (kg / ha)]]*Table_Input_InorganicFertiliser_Custom[[#This Row],[Application area (ha)]]</f>
        <v>0</v>
      </c>
      <c r="H29" s="211"/>
      <c r="I29" s="214"/>
      <c r="J29" s="211"/>
      <c r="K29" s="214"/>
      <c r="L29" s="211"/>
      <c r="M29" s="214"/>
      <c r="N29" s="213"/>
      <c r="O29" s="18"/>
      <c r="P29"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29" s="13"/>
      <c r="R29" s="13"/>
    </row>
    <row r="30" spans="1:26" ht="20.100000000000001" customHeight="1" x14ac:dyDescent="0.2">
      <c r="A30" s="5" t="str">
        <f>HYPERLINK("#'4.6.1.7-8 Leaching and runoff'!A1", "4.6.1.7-8 Manure Leaching and runoff")</f>
        <v>4.6.1.7-8 Manure Leaching and runoff</v>
      </c>
      <c r="D30" s="33"/>
      <c r="E30" s="196"/>
      <c r="F30" s="215">
        <f t="shared" si="10"/>
        <v>100</v>
      </c>
      <c r="G30" s="201">
        <f>Table_Input_InorganicFertiliser_Custom[[#This Row],[Amount applied (kg / ha)]]*Table_Input_InorganicFertiliser_Custom[[#This Row],[Application area (ha)]]</f>
        <v>0</v>
      </c>
      <c r="H30" s="211"/>
      <c r="I30" s="214"/>
      <c r="J30" s="211"/>
      <c r="K30" s="214"/>
      <c r="L30" s="211"/>
      <c r="M30" s="214"/>
      <c r="N30" s="213"/>
      <c r="O30" s="18"/>
      <c r="P30"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0" s="13"/>
      <c r="R30" s="13"/>
    </row>
    <row r="31" spans="1:26" ht="20.100000000000001" customHeight="1" x14ac:dyDescent="0.2">
      <c r="A31" s="5" t="str">
        <f>HYPERLINK("#'4.6.1.9 Manure applied to soils'!A1", "4.6.1.9 Manure applied to soils")</f>
        <v>4.6.1.9 Manure applied to soils</v>
      </c>
      <c r="D31" s="33"/>
      <c r="E31" s="196"/>
      <c r="F31" s="215">
        <f t="shared" si="10"/>
        <v>100</v>
      </c>
      <c r="G31" s="201">
        <f>Table_Input_InorganicFertiliser_Custom[[#This Row],[Amount applied (kg / ha)]]*Table_Input_InorganicFertiliser_Custom[[#This Row],[Application area (ha)]]</f>
        <v>0</v>
      </c>
      <c r="H31" s="211"/>
      <c r="I31" s="214"/>
      <c r="J31" s="211"/>
      <c r="K31" s="214"/>
      <c r="L31" s="211"/>
      <c r="M31" s="214"/>
      <c r="N31" s="213"/>
      <c r="O31" s="18"/>
      <c r="P31"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1" s="13"/>
      <c r="R31" s="13"/>
    </row>
    <row r="32" spans="1:26" ht="20.100000000000001" customHeight="1" x14ac:dyDescent="0.2">
      <c r="A32" s="5" t="str">
        <f>HYPERLINK("#'4.6.1.10-11 Soil direct N2O'!A1", "4.6.1.10-11 Soil direct N2O")</f>
        <v>4.6.1.10-11 Soil direct N2O</v>
      </c>
      <c r="D32" s="33"/>
      <c r="E32" s="196"/>
      <c r="F32" s="215">
        <f t="shared" si="10"/>
        <v>100</v>
      </c>
      <c r="G32" s="201">
        <f>Table_Input_InorganicFertiliser_Custom[[#This Row],[Amount applied (kg / ha)]]*Table_Input_InorganicFertiliser_Custom[[#This Row],[Application area (ha)]]</f>
        <v>0</v>
      </c>
      <c r="H32" s="211"/>
      <c r="I32" s="214"/>
      <c r="J32" s="211"/>
      <c r="K32" s="214"/>
      <c r="L32" s="211"/>
      <c r="M32" s="214"/>
      <c r="N32" s="213"/>
      <c r="O32" s="18"/>
      <c r="P32"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2" s="13"/>
      <c r="R32" s="13"/>
    </row>
    <row r="33" spans="1:27" ht="20.100000000000001" customHeight="1" x14ac:dyDescent="0.2">
      <c r="A33" s="5" t="str">
        <f>HYPERLINK("#'4.6.1.12-13 Soil atmos dep'!A1", "4.6.1.12-13 Soil atmos dep")</f>
        <v>4.6.1.12-13 Soil atmos dep</v>
      </c>
      <c r="D33" s="33"/>
      <c r="E33" s="196"/>
      <c r="F33" s="215">
        <f t="shared" si="10"/>
        <v>100</v>
      </c>
      <c r="G33" s="201">
        <f>Table_Input_InorganicFertiliser_Custom[[#This Row],[Amount applied (kg / ha)]]*Table_Input_InorganicFertiliser_Custom[[#This Row],[Application area (ha)]]</f>
        <v>0</v>
      </c>
      <c r="H33" s="211"/>
      <c r="I33" s="214"/>
      <c r="J33" s="211"/>
      <c r="K33" s="214"/>
      <c r="L33" s="211"/>
      <c r="M33" s="214"/>
      <c r="N33" s="213"/>
      <c r="O33" s="18"/>
      <c r="P33"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3" s="13"/>
      <c r="R33" s="13"/>
    </row>
    <row r="34" spans="1:27" ht="20.100000000000001" customHeight="1" x14ac:dyDescent="0.2">
      <c r="A34" s="5" t="str">
        <f>HYPERLINK("#'4.6.1.14-15 Soil leach runoff'!A1", "4.6.1.14-15 Soil leach runoff")</f>
        <v>4.6.1.14-15 Soil leach runoff</v>
      </c>
      <c r="D34" s="33"/>
      <c r="E34" s="196"/>
      <c r="F34" s="215">
        <f t="shared" si="10"/>
        <v>100</v>
      </c>
      <c r="G34" s="201">
        <f>Table_Input_InorganicFertiliser_Custom[[#This Row],[Amount applied (kg / ha)]]*Table_Input_InorganicFertiliser_Custom[[#This Row],[Application area (ha)]]</f>
        <v>0</v>
      </c>
      <c r="H34" s="211"/>
      <c r="I34" s="214"/>
      <c r="J34" s="211"/>
      <c r="K34" s="214"/>
      <c r="L34" s="211"/>
      <c r="M34" s="214"/>
      <c r="N34" s="213"/>
      <c r="O34" s="18"/>
      <c r="P34" s="201">
        <f>Table_Input_InorganicFertiliser_Custom[[#This Row],[Amount applied (kg / ha)]]*
(IFERROR((_xlfn.XLOOKUP(Table_Input_InorganicFertiliser_Custom[[#This Row],[Ingredient 1 (select)]], Table_Fertiliser_ChemicalCompounds[Fertiliser type f],Table_Fertiliser_ChemicalCompounds[FNinorganic f])*Table_Input_InorganicFertiliser_Custom[[#This Row],[Ingredient 1 percent]]), 0) +
IFERROR((_xlfn.XLOOKUP(Table_Input_InorganicFertiliser_Custom[[#This Row],[Ingredient 2]], Table_Fertiliser_ChemicalCompounds[Fertiliser type f],Table_Fertiliser_ChemicalCompounds[FNinorganic f])*Table_Input_InorganicFertiliser_Custom[[#This Row],[Ingredient 2 percent]]), 0) +
IFERROR((_xlfn.XLOOKUP(Table_Input_InorganicFertiliser_Custom[[#This Row],[Ingredient 3]], Table_Fertiliser_ChemicalCompounds[Fertiliser type f],Table_Fertiliser_ChemicalCompounds[FNinorganic f])*Table_Input_InorganicFertiliser_Custom[[#This Row],[Ingredient 3 percent]]), 0) +
IFERROR((_xlfn.XLOOKUP(Table_Input_InorganicFertiliser_Custom[[#This Row],[Ingredient 4]], Table_Fertiliser_ChemicalCompounds[Fertiliser type f],Table_Fertiliser_ChemicalCompounds[FNinorganic f])*Table_Input_InorganicFertiliser_Custom[[#This Row],[Ingredient 4 percent]]), 0)
)</f>
        <v>0</v>
      </c>
      <c r="Q34" s="13"/>
      <c r="R34" s="13"/>
    </row>
    <row r="35" spans="1:27" ht="20.100000000000001" customHeight="1" x14ac:dyDescent="0.2">
      <c r="A35" s="5" t="str">
        <f>HYPERLINK("#'8.1.1.1-2 Transport fuel'!A1", "8.1.1.1-2 Transport fuel")</f>
        <v>8.1.1.1-2 Transport fuel</v>
      </c>
    </row>
    <row r="36" spans="1:27" ht="20.100000000000001" customHeight="1" x14ac:dyDescent="0.2">
      <c r="A36" s="5" t="str">
        <f>HYPERLINK("#'8.2.1.1-2 Stationary fuel'!A1", "8.2.1.1-2 Stationary fuel")</f>
        <v>8.2.1.1-2 Stationary fuel</v>
      </c>
      <c r="D36" s="2" t="s">
        <v>731</v>
      </c>
      <c r="E36" s="24"/>
      <c r="F36" s="24"/>
      <c r="G36" s="24"/>
      <c r="H36" s="24"/>
      <c r="I36" s="24"/>
      <c r="J36" s="24"/>
      <c r="K36" s="8"/>
      <c r="L36" s="8"/>
      <c r="M36" s="8"/>
    </row>
    <row r="37" spans="1:27" ht="20.100000000000001" customHeight="1" x14ac:dyDescent="0.2">
      <c r="A37" s="5" t="str">
        <f>HYPERLINK("#'10.1.1-2 Solid waste treatment'!A1", "10.1.1.1-2 Solid waste")</f>
        <v>10.1.1.1-2 Solid waste</v>
      </c>
      <c r="D37" s="131" t="s">
        <v>732</v>
      </c>
      <c r="E37" s="43"/>
      <c r="F37" s="44"/>
      <c r="G37" s="131"/>
      <c r="H37" s="44"/>
      <c r="I37" s="24"/>
      <c r="J37" s="24"/>
      <c r="K37" s="8"/>
      <c r="L37" s="8"/>
      <c r="M37" s="24"/>
    </row>
    <row r="38" spans="1:27" ht="20.100000000000001" customHeight="1" x14ac:dyDescent="0.2">
      <c r="A38" s="5" t="str">
        <f>HYPERLINK("#'14.1.1-2 Purchased electricity'!A1", "14.1.1-2 Purchased electricity")</f>
        <v>14.1.1-2 Purchased electricity</v>
      </c>
      <c r="C38" s="142"/>
      <c r="D38" s="132" t="s">
        <v>733</v>
      </c>
      <c r="E38" s="133"/>
      <c r="F38" s="134"/>
      <c r="G38" s="132"/>
      <c r="H38" s="134"/>
      <c r="I38" s="8"/>
      <c r="J38" s="8"/>
      <c r="K38" s="8"/>
      <c r="L38" s="8"/>
      <c r="M38" s="8"/>
    </row>
    <row r="39" spans="1:27" ht="20.100000000000001" customHeight="1" x14ac:dyDescent="0.2">
      <c r="A39" s="5" t="str">
        <f>HYPERLINK("#'15 Scope 3'!A1", "15 Scope 3")</f>
        <v>15 Scope 3</v>
      </c>
      <c r="C39" s="142"/>
      <c r="D39" s="45" t="s">
        <v>689</v>
      </c>
      <c r="E39" s="46"/>
      <c r="F39" s="46"/>
      <c r="G39" s="46"/>
      <c r="H39" s="47"/>
      <c r="I39" s="8"/>
      <c r="J39" s="8"/>
      <c r="K39" s="8"/>
      <c r="L39" s="8"/>
      <c r="M39" s="24"/>
    </row>
    <row r="40" spans="1:27" s="140" customFormat="1" ht="20.100000000000001" customHeight="1" x14ac:dyDescent="0.2">
      <c r="A40" s="5" t="str">
        <f>HYPERLINK("#'Calcs - Manure sent off-site'!A1", "Calcs - Manure sent off-site")</f>
        <v>Calcs - Manure sent off-site</v>
      </c>
      <c r="C40" s="1"/>
      <c r="D40" s="87" t="str">
        <f>IF(MAX(Table_Input_Lime[Total]) &gt; 1, "There can not be more than 100% ingredients in a product. Check the table below.", "")</f>
        <v/>
      </c>
      <c r="E40" s="1"/>
      <c r="F40" s="1"/>
      <c r="G40" s="1"/>
      <c r="H40" s="1"/>
      <c r="I40" s="1"/>
      <c r="J40" s="1"/>
      <c r="K40" s="1"/>
      <c r="L40" s="8"/>
      <c r="M40" s="24"/>
      <c r="N40" s="1"/>
      <c r="O40" s="1"/>
      <c r="P40" s="1"/>
      <c r="Q40" s="1"/>
      <c r="R40" s="1"/>
      <c r="S40" s="1"/>
      <c r="T40" s="1"/>
      <c r="U40" s="1"/>
      <c r="V40" s="1"/>
      <c r="W40" s="1"/>
      <c r="X40" s="1"/>
      <c r="Y40" s="1"/>
      <c r="Z40" s="1"/>
      <c r="AA40" s="1"/>
    </row>
    <row r="41" spans="1:27" s="140" customFormat="1" ht="20.100000000000001" customHeight="1" x14ac:dyDescent="0.2">
      <c r="A41" s="5" t="str">
        <f>HYPERLINK("#'5.1.1.1-2 Inorganic fert N2O'!A1", "5.1.1.1-2 Inorganic fert N2O")</f>
        <v>5.1.1.1-2 Inorganic fert N2O</v>
      </c>
      <c r="C41" s="1"/>
      <c r="D41" s="216" t="s">
        <v>132</v>
      </c>
      <c r="E41" s="216" t="s">
        <v>734</v>
      </c>
      <c r="F41" s="216" t="s">
        <v>694</v>
      </c>
      <c r="G41" s="216" t="s">
        <v>735</v>
      </c>
      <c r="H41" s="216" t="s">
        <v>736</v>
      </c>
      <c r="I41" s="216" t="s">
        <v>737</v>
      </c>
      <c r="J41" s="216" t="s">
        <v>738</v>
      </c>
      <c r="K41" s="216" t="s">
        <v>4</v>
      </c>
      <c r="L41" s="1"/>
      <c r="M41" s="1"/>
      <c r="N41" s="1"/>
      <c r="O41" s="1"/>
      <c r="P41" s="1"/>
      <c r="Q41" s="1"/>
      <c r="R41" s="1"/>
      <c r="S41" s="142"/>
      <c r="T41" s="1"/>
      <c r="U41" s="1"/>
      <c r="V41" s="1"/>
      <c r="W41" s="1"/>
      <c r="X41" s="1"/>
      <c r="Y41" s="1"/>
      <c r="Z41" s="1"/>
      <c r="AA41" s="1"/>
    </row>
    <row r="42" spans="1:27" ht="20.100000000000001" customHeight="1" x14ac:dyDescent="0.2">
      <c r="A42" s="5" t="str">
        <f>HYPERLINK("#'5.1.1.3-4 Inorganic fert CO2'!A1", "5.1.1.3-4 Inorganic fert CO2")</f>
        <v>5.1.1.3-4 Inorganic fert CO2</v>
      </c>
      <c r="D42" s="217" t="s">
        <v>739</v>
      </c>
      <c r="E42" s="199">
        <v>1</v>
      </c>
      <c r="F42" s="199">
        <f>X_Cell_Fertiliser_AreaUnderCropping</f>
        <v>100</v>
      </c>
      <c r="G42" s="201">
        <f>IFERROR(Table_Input_Lime[[#This Row],[Amount applied (t/hectare)]]*Table_Input_Lime[[#This Row],[Application area (ha)]], 0)</f>
        <v>100</v>
      </c>
      <c r="H42" s="218">
        <v>0.8</v>
      </c>
      <c r="I42" s="218">
        <v>0.1</v>
      </c>
      <c r="J42" s="218">
        <v>0.1</v>
      </c>
      <c r="K42" s="219">
        <f>SUM(Table_Input_Lime[[#This Row],[Percent Lime CaCO3]:[Percent Gypsum]])</f>
        <v>1</v>
      </c>
      <c r="S42" s="142"/>
    </row>
    <row r="43" spans="1:27" ht="20.100000000000001" customHeight="1" x14ac:dyDescent="0.2">
      <c r="A43" s="5" t="str">
        <f>HYPERLINK("#'5.2.1.1-2 Organic Fert N2O'!A1", "5.2.1.1-2 Organic Fert N2O")</f>
        <v>5.2.1.1-2 Organic Fert N2O</v>
      </c>
      <c r="D43" s="217" t="s">
        <v>740</v>
      </c>
      <c r="E43" s="199">
        <v>1</v>
      </c>
      <c r="F43" s="199">
        <f>X_Cell_Fertiliser_AreaUnderCropping</f>
        <v>100</v>
      </c>
      <c r="G43" s="201">
        <f>IFERROR(Table_Input_Lime[[#This Row],[Amount applied (t/hectare)]]*Table_Input_Lime[[#This Row],[Application area (ha)]], 0)</f>
        <v>100</v>
      </c>
      <c r="H43" s="218">
        <v>1</v>
      </c>
      <c r="I43" s="218"/>
      <c r="J43" s="218"/>
      <c r="K43" s="219">
        <f>SUM(Table_Input_Lime[[#This Row],[Percent Lime CaCO3]:[Percent Gypsum]])</f>
        <v>1</v>
      </c>
    </row>
    <row r="44" spans="1:27" ht="20.100000000000001" customHeight="1" x14ac:dyDescent="0.2">
      <c r="A44" s="5" t="str">
        <f>HYPERLINK("#'5.3.1.1-2 Lime CO2'!A1", "5.3.1.1-2 Lime CO2")</f>
        <v>5.3.1.1-2 Lime CO2</v>
      </c>
      <c r="D44" s="217" t="s">
        <v>741</v>
      </c>
      <c r="E44" s="199">
        <v>1</v>
      </c>
      <c r="F44" s="199">
        <f>X_Cell_Fertiliser_AreaUnderCropping</f>
        <v>100</v>
      </c>
      <c r="G44" s="201">
        <f>IFERROR(Table_Input_Lime[[#This Row],[Amount applied (t/hectare)]]*Table_Input_Lime[[#This Row],[Application area (ha)]], 0)</f>
        <v>100</v>
      </c>
      <c r="H44" s="218">
        <v>0</v>
      </c>
      <c r="I44" s="218"/>
      <c r="J44" s="218">
        <v>1</v>
      </c>
      <c r="K44" s="219">
        <f>SUM(Table_Input_Lime[[#This Row],[Percent Lime CaCO3]:[Percent Gypsum]])</f>
        <v>1</v>
      </c>
      <c r="L44" s="24"/>
    </row>
    <row r="45" spans="1:27" ht="20.100000000000001" customHeight="1" x14ac:dyDescent="0.2">
      <c r="A45" s="5" t="str">
        <f>HYPERLINK("#'5.4.1.1-4 Atmos deposition'!A1", "5.4.1.1-4 Atmos deposition")</f>
        <v>5.4.1.1-4 Atmos deposition</v>
      </c>
      <c r="L45" s="24"/>
      <c r="M45" s="24"/>
    </row>
    <row r="46" spans="1:27" ht="20.100000000000001" customHeight="1" x14ac:dyDescent="0.2">
      <c r="A46" s="5" t="str">
        <f>HYPERLINK("#'5.5.1.1-2 Leaching and runoff'!A1", "5.5.1.1-2 Leaching and runoff")</f>
        <v>5.5.1.1-2 Leaching and runoff</v>
      </c>
      <c r="D46" s="8"/>
      <c r="E46" s="8"/>
      <c r="F46" s="8"/>
      <c r="G46" s="8"/>
      <c r="H46" s="8"/>
      <c r="I46" s="8"/>
      <c r="J46" s="8"/>
      <c r="L46" s="8"/>
      <c r="M46" s="24"/>
    </row>
    <row r="47" spans="1:27" ht="20.100000000000001" customHeight="1" x14ac:dyDescent="0.2">
      <c r="D47" s="8"/>
      <c r="E47" s="8"/>
      <c r="F47" s="8"/>
      <c r="G47" s="8"/>
      <c r="H47" s="8"/>
      <c r="I47" s="8"/>
      <c r="J47" s="220"/>
      <c r="K47" s="24"/>
      <c r="L47" s="8"/>
      <c r="M47" s="8"/>
    </row>
    <row r="48" spans="1:27" ht="20.100000000000001" customHeight="1" x14ac:dyDescent="0.2">
      <c r="D48" s="2" t="s">
        <v>742</v>
      </c>
      <c r="E48" s="24"/>
      <c r="F48" s="24"/>
      <c r="G48" s="24"/>
      <c r="H48" s="8"/>
      <c r="I48" s="8"/>
      <c r="J48" s="8"/>
      <c r="K48" s="8"/>
      <c r="L48" s="8"/>
      <c r="M48" s="8"/>
    </row>
    <row r="49" spans="1:18" ht="20.100000000000001" customHeight="1" x14ac:dyDescent="0.2">
      <c r="A49" s="80" t="s">
        <v>1</v>
      </c>
      <c r="D49" s="8"/>
      <c r="E49" s="8"/>
      <c r="F49" s="8"/>
      <c r="G49" s="8"/>
      <c r="H49" s="8"/>
      <c r="I49" s="8"/>
      <c r="J49" s="8"/>
      <c r="K49" s="8"/>
      <c r="L49" s="8"/>
      <c r="M49" s="8"/>
      <c r="Q49" s="142"/>
      <c r="R49" s="142"/>
    </row>
    <row r="50" spans="1:18" ht="20.100000000000001" customHeight="1" x14ac:dyDescent="0.2">
      <c r="A50" s="5" t="str">
        <f>HYPERLINK("#'Constants - Poultry'!A1", "Constants - Poultry")</f>
        <v>Constants - Poultry</v>
      </c>
      <c r="D50" s="131" t="s">
        <v>732</v>
      </c>
      <c r="E50" s="43"/>
      <c r="F50" s="43"/>
      <c r="G50" s="43"/>
      <c r="H50" s="44"/>
      <c r="I50" s="8"/>
      <c r="J50" s="8"/>
      <c r="K50" s="8"/>
      <c r="L50" s="8"/>
      <c r="M50" s="8"/>
      <c r="O50" s="142"/>
      <c r="P50" s="142"/>
      <c r="Q50" s="142"/>
      <c r="R50" s="142"/>
    </row>
    <row r="51" spans="1:18" ht="20.100000000000001" customHeight="1" x14ac:dyDescent="0.2">
      <c r="A51" s="5" t="str">
        <f>HYPERLINK("#'Constants - Common livestock'!A1", "Constants - Common Livestock")</f>
        <v>Constants - Common Livestock</v>
      </c>
      <c r="D51" s="45" t="s">
        <v>689</v>
      </c>
      <c r="E51" s="46"/>
      <c r="F51" s="46"/>
      <c r="G51" s="46"/>
      <c r="H51" s="47"/>
      <c r="I51" s="8"/>
      <c r="J51" s="8"/>
      <c r="K51" s="8"/>
      <c r="L51" s="209"/>
      <c r="M51" s="142"/>
      <c r="N51" s="142"/>
      <c r="O51" s="142"/>
      <c r="P51" s="142"/>
    </row>
    <row r="52" spans="1:18" ht="20.100000000000001" customHeight="1" x14ac:dyDescent="0.2">
      <c r="A52" s="5" t="str">
        <f>HYPERLINK("#'Constants - Electricity'!A1", "Constants - Electricity")</f>
        <v>Constants - Electricity</v>
      </c>
      <c r="D52" s="8"/>
      <c r="E52" s="8"/>
      <c r="F52" s="8"/>
      <c r="G52" s="8"/>
      <c r="H52" s="8"/>
      <c r="I52" s="8"/>
      <c r="J52" s="8"/>
      <c r="K52" s="8"/>
      <c r="L52" s="209"/>
      <c r="M52" s="142"/>
      <c r="N52" s="142"/>
    </row>
    <row r="53" spans="1:18" ht="20.100000000000001" customHeight="1" x14ac:dyDescent="0.2">
      <c r="A53" s="5" t="str">
        <f>HYPERLINK("#'Constants - Fertiliser'!A1", "Constants - Fertiliser")</f>
        <v>Constants - Fertiliser</v>
      </c>
      <c r="D53" s="216" t="s">
        <v>743</v>
      </c>
      <c r="E53" s="216" t="s">
        <v>744</v>
      </c>
      <c r="F53" s="216" t="s">
        <v>745</v>
      </c>
      <c r="G53" s="216" t="s">
        <v>746</v>
      </c>
      <c r="H53" s="216" t="s">
        <v>694</v>
      </c>
      <c r="I53" s="216" t="s">
        <v>747</v>
      </c>
      <c r="J53" s="216" t="s">
        <v>748</v>
      </c>
      <c r="K53" s="209"/>
    </row>
    <row r="54" spans="1:18" ht="20.100000000000001" customHeight="1" x14ac:dyDescent="0.2">
      <c r="A54" s="5" t="str">
        <f>HYPERLINK("#'Constants - Fuel'!A1", "Constants - Fuel")</f>
        <v>Constants - Fuel</v>
      </c>
      <c r="D54" s="198" t="s">
        <v>749</v>
      </c>
      <c r="E54" s="218">
        <v>0.3</v>
      </c>
      <c r="F54" s="199">
        <v>10</v>
      </c>
      <c r="G54" s="201">
        <f>Table_Input_OrganicFertiliser[[#This Row],[Amount applied (kg/hectare)]]*Table_Input_OrganicFertiliser[[#This Row],[Percentage of N in fertiliser]]</f>
        <v>3</v>
      </c>
      <c r="H54" s="199">
        <f>X_Cell_Fertiliser_AreaUnderCropping</f>
        <v>100</v>
      </c>
      <c r="I54" s="201">
        <f>Table_Input_OrganicFertiliser[[#This Row],[Amount applied (kg/hectare)]]*Table_Input_OrganicFertiliser[[#This Row],[Application area (ha)]]</f>
        <v>1000</v>
      </c>
      <c r="J54" s="201">
        <f>IFERROR(Table_Input_OrganicFertiliser[[#This Row],[Amount N applied (kg/hectare)]]*Table_Input_OrganicFertiliser[[#This Row],[Application area (ha)]], 0)</f>
        <v>300</v>
      </c>
      <c r="K54" s="209"/>
    </row>
    <row r="55" spans="1:18" ht="20.100000000000001" customHeight="1" x14ac:dyDescent="0.2">
      <c r="A55" s="5" t="str">
        <f>HYPERLINK("#'Constants - Scope 3'!A1", "Constants - Scope 3")</f>
        <v>Constants - Scope 3</v>
      </c>
      <c r="D55" s="198" t="s">
        <v>750</v>
      </c>
      <c r="E55" s="218">
        <v>0.25</v>
      </c>
      <c r="F55" s="199">
        <v>10</v>
      </c>
      <c r="G55" s="201">
        <f>Table_Input_OrganicFertiliser[[#This Row],[Amount applied (kg/hectare)]]*Table_Input_OrganicFertiliser[[#This Row],[Percentage of N in fertiliser]]</f>
        <v>2.5</v>
      </c>
      <c r="H55" s="199">
        <f>X_Cell_Fertiliser_AreaUnderCropping</f>
        <v>100</v>
      </c>
      <c r="I55" s="201">
        <f>Table_Input_OrganicFertiliser[[#This Row],[Amount applied (kg/hectare)]]*Table_Input_OrganicFertiliser[[#This Row],[Application area (ha)]]</f>
        <v>1000</v>
      </c>
      <c r="J55" s="201">
        <f>IFERROR(Table_Input_OrganicFertiliser[[#This Row],[Amount N applied (kg/hectare)]]*Table_Input_OrganicFertiliser[[#This Row],[Application area (ha)]], 0)</f>
        <v>250</v>
      </c>
    </row>
    <row r="56" spans="1:18" ht="20.100000000000001" customHeight="1" x14ac:dyDescent="0.2">
      <c r="A56" s="5" t="str">
        <f>HYPERLINK("#'Constants - Solid Waste'!A1", "Constants - Solid Waste")</f>
        <v>Constants - Solid Waste</v>
      </c>
      <c r="D56" s="198" t="s">
        <v>751</v>
      </c>
      <c r="E56" s="218">
        <v>0.16</v>
      </c>
      <c r="F56" s="199">
        <v>10</v>
      </c>
      <c r="G56" s="201">
        <f>Table_Input_OrganicFertiliser[[#This Row],[Amount applied (kg/hectare)]]*Table_Input_OrganicFertiliser[[#This Row],[Percentage of N in fertiliser]]</f>
        <v>1.6</v>
      </c>
      <c r="H56" s="199">
        <f>X_Cell_Fertiliser_AreaUnderCropping</f>
        <v>100</v>
      </c>
      <c r="I56" s="201">
        <f>Table_Input_OrganicFertiliser[[#This Row],[Amount applied (kg/hectare)]]*Table_Input_OrganicFertiliser[[#This Row],[Application area (ha)]]</f>
        <v>1000</v>
      </c>
      <c r="J56" s="201">
        <f>IFERROR(Table_Input_OrganicFertiliser[[#This Row],[Amount N applied (kg/hectare)]]*Table_Input_OrganicFertiliser[[#This Row],[Application area (ha)]], 0)</f>
        <v>160</v>
      </c>
    </row>
    <row r="57" spans="1:18" ht="20.100000000000001" customHeight="1" x14ac:dyDescent="0.2">
      <c r="A57" s="5" t="str">
        <f>HYPERLINK("#'Constants - Common'!A1", "Constants - Common")</f>
        <v>Constants - Common</v>
      </c>
    </row>
    <row r="126" spans="13:13" ht="20.100000000000001" customHeight="1" x14ac:dyDescent="0.2">
      <c r="M126" s="24"/>
    </row>
    <row r="127" spans="13:13" ht="20.100000000000001" customHeight="1" x14ac:dyDescent="0.2">
      <c r="M127" s="24"/>
    </row>
    <row r="128" spans="13:13" ht="20.100000000000001" customHeight="1" x14ac:dyDescent="0.2">
      <c r="M128" s="24"/>
    </row>
    <row r="129" spans="13:13" ht="20.100000000000001" customHeight="1" x14ac:dyDescent="0.2">
      <c r="M129" s="24"/>
    </row>
    <row r="130" spans="13:13" ht="20.100000000000001" customHeight="1" x14ac:dyDescent="0.2">
      <c r="M130" s="24"/>
    </row>
    <row r="131" spans="13:13" ht="20.100000000000001" customHeight="1" x14ac:dyDescent="0.2">
      <c r="M131" s="24"/>
    </row>
    <row r="132" spans="13:13" ht="20.100000000000001" customHeight="1" x14ac:dyDescent="0.2">
      <c r="M132" s="24"/>
    </row>
    <row r="133" spans="13:13" ht="20.100000000000001" customHeight="1" x14ac:dyDescent="0.2">
      <c r="M133" s="24"/>
    </row>
    <row r="134" spans="13:13" ht="20.100000000000001" customHeight="1" x14ac:dyDescent="0.2">
      <c r="M134" s="24"/>
    </row>
    <row r="135" spans="13:13" ht="20.100000000000001" customHeight="1" x14ac:dyDescent="0.2">
      <c r="M135" s="24"/>
    </row>
    <row r="136" spans="13:13" ht="20.100000000000001" customHeight="1" x14ac:dyDescent="0.2">
      <c r="M136" s="24"/>
    </row>
    <row r="137" spans="13:13" ht="20.100000000000001" customHeight="1" x14ac:dyDescent="0.2">
      <c r="M137" s="24"/>
    </row>
    <row r="138" spans="13:13" ht="20.100000000000001" customHeight="1" x14ac:dyDescent="0.2">
      <c r="M138" s="24"/>
    </row>
    <row r="139" spans="13:13" ht="20.100000000000001" customHeight="1" x14ac:dyDescent="0.2">
      <c r="M139" s="24"/>
    </row>
    <row r="140" spans="13:13" ht="20.100000000000001" customHeight="1" x14ac:dyDescent="0.2">
      <c r="M140" s="24"/>
    </row>
    <row r="141" spans="13:13" ht="20.100000000000001" customHeight="1" x14ac:dyDescent="0.2">
      <c r="M141" s="24"/>
    </row>
    <row r="142" spans="13:13" ht="20.100000000000001" customHeight="1" x14ac:dyDescent="0.2">
      <c r="M142" s="24"/>
    </row>
    <row r="143" spans="13:13" ht="20.100000000000001" customHeight="1" x14ac:dyDescent="0.2">
      <c r="M143" s="24"/>
    </row>
    <row r="144" spans="13:13" ht="20.100000000000001" customHeight="1" x14ac:dyDescent="0.2">
      <c r="M144" s="24"/>
    </row>
    <row r="145" spans="13:13" ht="20.100000000000001" customHeight="1" x14ac:dyDescent="0.2">
      <c r="M145" s="24"/>
    </row>
    <row r="146" spans="13:13" ht="20.100000000000001" customHeight="1" x14ac:dyDescent="0.2">
      <c r="M146" s="24"/>
    </row>
    <row r="147" spans="13:13" ht="20.100000000000001" customHeight="1" x14ac:dyDescent="0.2">
      <c r="M147" s="24"/>
    </row>
    <row r="224" spans="12:12" ht="20.100000000000001" customHeight="1" x14ac:dyDescent="0.2">
      <c r="L224" s="16"/>
    </row>
    <row r="225" spans="12:12" ht="20.100000000000001" customHeight="1" x14ac:dyDescent="0.2">
      <c r="L225" s="16"/>
    </row>
    <row r="226" spans="12:12" ht="20.100000000000001" customHeight="1" x14ac:dyDescent="0.2">
      <c r="L226" s="16"/>
    </row>
    <row r="227" spans="12:12" ht="20.100000000000001" customHeight="1" x14ac:dyDescent="0.2">
      <c r="L227" s="16"/>
    </row>
    <row r="228" spans="12:12" ht="20.100000000000001" customHeight="1" x14ac:dyDescent="0.2">
      <c r="L228" s="16"/>
    </row>
    <row r="230" spans="12:12" ht="20.100000000000001" customHeight="1" x14ac:dyDescent="0.2">
      <c r="L230" s="16"/>
    </row>
    <row r="232" spans="12:12" ht="20.100000000000001" customHeight="1" x14ac:dyDescent="0.2">
      <c r="L232" s="16"/>
    </row>
    <row r="233" spans="12:12" ht="20.100000000000001" customHeight="1" x14ac:dyDescent="0.2">
      <c r="L233" s="16"/>
    </row>
    <row r="234" spans="12:12" ht="20.100000000000001" customHeight="1" x14ac:dyDescent="0.2">
      <c r="L234" s="16"/>
    </row>
    <row r="235" spans="12:12" ht="20.100000000000001" customHeight="1" x14ac:dyDescent="0.2">
      <c r="L235" s="16"/>
    </row>
    <row r="237" spans="12:12" ht="20.100000000000001" customHeight="1" x14ac:dyDescent="0.2">
      <c r="L237" s="16"/>
    </row>
    <row r="245" spans="12:12" ht="20.100000000000001" customHeight="1" x14ac:dyDescent="0.2">
      <c r="L245" s="16"/>
    </row>
    <row r="246" spans="12:12" ht="20.100000000000001" customHeight="1" x14ac:dyDescent="0.2">
      <c r="L246" s="16"/>
    </row>
    <row r="247" spans="12:12" ht="20.100000000000001" customHeight="1" x14ac:dyDescent="0.2">
      <c r="L247" s="16"/>
    </row>
    <row r="250" spans="12:12" ht="20.100000000000001" customHeight="1" x14ac:dyDescent="0.2">
      <c r="L250" s="16"/>
    </row>
    <row r="251" spans="12:12" ht="20.100000000000001" customHeight="1" x14ac:dyDescent="0.2">
      <c r="L251" s="16"/>
    </row>
    <row r="252" spans="12:12" ht="20.100000000000001" customHeight="1" x14ac:dyDescent="0.2">
      <c r="L252" s="16"/>
    </row>
    <row r="255" spans="12:12" ht="20.100000000000001" customHeight="1" x14ac:dyDescent="0.2">
      <c r="L255" s="16"/>
    </row>
    <row r="256" spans="12:12" ht="20.100000000000001" customHeight="1" x14ac:dyDescent="0.2">
      <c r="L256" s="16"/>
    </row>
    <row r="257" spans="11:12" ht="20.100000000000001" customHeight="1" x14ac:dyDescent="0.2">
      <c r="L257" s="16"/>
    </row>
    <row r="260" spans="11:12" ht="20.100000000000001" customHeight="1" x14ac:dyDescent="0.2">
      <c r="L260" s="16"/>
    </row>
    <row r="261" spans="11:12" ht="20.100000000000001" customHeight="1" x14ac:dyDescent="0.2">
      <c r="L261" s="16"/>
    </row>
    <row r="262" spans="11:12" ht="20.100000000000001" customHeight="1" x14ac:dyDescent="0.2">
      <c r="L262" s="16"/>
    </row>
    <row r="263" spans="11:12" ht="20.100000000000001" customHeight="1" x14ac:dyDescent="0.2">
      <c r="K263" s="16"/>
    </row>
    <row r="268" spans="11:12" ht="20.100000000000001" customHeight="1" x14ac:dyDescent="0.2">
      <c r="K268" s="16"/>
    </row>
    <row r="269" spans="11:12" ht="20.100000000000001" customHeight="1" x14ac:dyDescent="0.2">
      <c r="L269" s="16"/>
    </row>
    <row r="270" spans="11:12" ht="20.100000000000001" customHeight="1" x14ac:dyDescent="0.2">
      <c r="L270" s="16"/>
    </row>
    <row r="271" spans="11:12" ht="20.100000000000001" customHeight="1" x14ac:dyDescent="0.2">
      <c r="L271" s="16"/>
    </row>
    <row r="273" spans="11:12" ht="20.100000000000001" customHeight="1" x14ac:dyDescent="0.2">
      <c r="K273" s="16"/>
    </row>
    <row r="274" spans="11:12" ht="20.100000000000001" customHeight="1" x14ac:dyDescent="0.2">
      <c r="L274" s="16"/>
    </row>
    <row r="275" spans="11:12" ht="20.100000000000001" customHeight="1" x14ac:dyDescent="0.2">
      <c r="L275" s="16"/>
    </row>
    <row r="276" spans="11:12" ht="20.100000000000001" customHeight="1" x14ac:dyDescent="0.2">
      <c r="L276" s="16"/>
    </row>
    <row r="278" spans="11:12" ht="20.100000000000001" customHeight="1" x14ac:dyDescent="0.2">
      <c r="K278" s="16"/>
    </row>
    <row r="279" spans="11:12" ht="20.100000000000001" customHeight="1" x14ac:dyDescent="0.2">
      <c r="K279" s="16"/>
      <c r="L279" s="16"/>
    </row>
    <row r="280" spans="11:12" ht="20.100000000000001" customHeight="1" x14ac:dyDescent="0.2">
      <c r="K280" s="16"/>
      <c r="L280" s="16"/>
    </row>
    <row r="281" spans="11:12" ht="20.100000000000001" customHeight="1" x14ac:dyDescent="0.2">
      <c r="K281" s="16"/>
      <c r="L281" s="16"/>
    </row>
    <row r="282" spans="11:12" ht="20.100000000000001" customHeight="1" x14ac:dyDescent="0.2">
      <c r="K282" s="16"/>
    </row>
    <row r="284" spans="11:12" ht="20.100000000000001" customHeight="1" x14ac:dyDescent="0.2">
      <c r="K284" s="16"/>
      <c r="L284" s="16"/>
    </row>
    <row r="285" spans="11:12" ht="20.100000000000001" customHeight="1" x14ac:dyDescent="0.2">
      <c r="L285" s="16"/>
    </row>
    <row r="286" spans="11:12" ht="20.100000000000001" customHeight="1" x14ac:dyDescent="0.2">
      <c r="K286" s="16"/>
      <c r="L286" s="16"/>
    </row>
    <row r="287" spans="11:12" ht="20.100000000000001" customHeight="1" x14ac:dyDescent="0.2">
      <c r="K287" s="16"/>
    </row>
    <row r="288" spans="11:12" ht="20.100000000000001" customHeight="1" x14ac:dyDescent="0.2">
      <c r="K288" s="16"/>
    </row>
    <row r="289" spans="11:11" ht="20.100000000000001" customHeight="1" x14ac:dyDescent="0.2">
      <c r="K289" s="16"/>
    </row>
    <row r="291" spans="11:11" ht="20.100000000000001" customHeight="1" x14ac:dyDescent="0.2">
      <c r="K291" s="16"/>
    </row>
    <row r="297" spans="11:11" ht="20.100000000000001" customHeight="1" x14ac:dyDescent="0.2">
      <c r="K297" s="16"/>
    </row>
    <row r="302" spans="11:11" ht="20.100000000000001" customHeight="1" x14ac:dyDescent="0.2">
      <c r="K302" s="16"/>
    </row>
    <row r="307" spans="11:11" ht="20.100000000000001" customHeight="1" x14ac:dyDescent="0.2">
      <c r="K307" s="16"/>
    </row>
    <row r="312" spans="11:11" ht="20.100000000000001" customHeight="1" x14ac:dyDescent="0.2">
      <c r="K312" s="16"/>
    </row>
    <row r="313" spans="11:11" ht="20.100000000000001" customHeight="1" x14ac:dyDescent="0.2">
      <c r="K313" s="16"/>
    </row>
    <row r="314" spans="11:11" ht="20.100000000000001" customHeight="1" x14ac:dyDescent="0.2">
      <c r="K314" s="16"/>
    </row>
    <row r="315" spans="11:11" ht="20.100000000000001" customHeight="1" x14ac:dyDescent="0.2">
      <c r="K315" s="16"/>
    </row>
    <row r="316" spans="11:11" ht="20.100000000000001" customHeight="1" x14ac:dyDescent="0.2">
      <c r="K316" s="16"/>
    </row>
    <row r="318" spans="11:11" ht="20.100000000000001" customHeight="1" x14ac:dyDescent="0.2">
      <c r="K318" s="16"/>
    </row>
    <row r="320" spans="11:11" ht="20.100000000000001" customHeight="1" x14ac:dyDescent="0.2">
      <c r="K320" s="16"/>
    </row>
    <row r="321" spans="11:11" ht="20.100000000000001" customHeight="1" x14ac:dyDescent="0.2">
      <c r="K321" s="16"/>
    </row>
    <row r="322" spans="11:11" ht="20.100000000000001" customHeight="1" x14ac:dyDescent="0.2">
      <c r="K322" s="16"/>
    </row>
    <row r="323" spans="11:11" ht="20.100000000000001" customHeight="1" x14ac:dyDescent="0.2">
      <c r="K323" s="16"/>
    </row>
    <row r="325" spans="11:11" ht="20.100000000000001" customHeight="1" x14ac:dyDescent="0.2">
      <c r="K325" s="16"/>
    </row>
    <row r="333" spans="11:11" ht="20.100000000000001" customHeight="1" x14ac:dyDescent="0.2">
      <c r="K333" s="16"/>
    </row>
    <row r="334" spans="11:11" ht="20.100000000000001" customHeight="1" x14ac:dyDescent="0.2">
      <c r="K334" s="16"/>
    </row>
    <row r="335" spans="11:11" ht="20.100000000000001" customHeight="1" x14ac:dyDescent="0.2">
      <c r="K335" s="16"/>
    </row>
    <row r="338" spans="11:11" ht="20.100000000000001" customHeight="1" x14ac:dyDescent="0.2">
      <c r="K338" s="16"/>
    </row>
    <row r="339" spans="11:11" ht="20.100000000000001" customHeight="1" x14ac:dyDescent="0.2">
      <c r="K339" s="16"/>
    </row>
    <row r="340" spans="11:11" ht="20.100000000000001" customHeight="1" x14ac:dyDescent="0.2">
      <c r="K340" s="16"/>
    </row>
    <row r="343" spans="11:11" ht="20.100000000000001" customHeight="1" x14ac:dyDescent="0.2">
      <c r="K343" s="16"/>
    </row>
    <row r="344" spans="11:11" ht="20.100000000000001" customHeight="1" x14ac:dyDescent="0.2">
      <c r="K344" s="16"/>
    </row>
    <row r="345" spans="11:11" ht="20.100000000000001" customHeight="1" x14ac:dyDescent="0.2">
      <c r="K345" s="16"/>
    </row>
    <row r="348" spans="11:11" ht="20.100000000000001" customHeight="1" x14ac:dyDescent="0.2">
      <c r="K348" s="16"/>
    </row>
    <row r="349" spans="11:11" ht="20.100000000000001" customHeight="1" x14ac:dyDescent="0.2">
      <c r="K349" s="16"/>
    </row>
    <row r="350" spans="11:11" ht="20.100000000000001" customHeight="1" x14ac:dyDescent="0.2">
      <c r="K350" s="16"/>
    </row>
    <row r="357" spans="11:11" ht="20.100000000000001" customHeight="1" x14ac:dyDescent="0.2">
      <c r="K357" s="16"/>
    </row>
    <row r="358" spans="11:11" ht="20.100000000000001" customHeight="1" x14ac:dyDescent="0.2">
      <c r="K358" s="16"/>
    </row>
    <row r="359" spans="11:11" ht="20.100000000000001" customHeight="1" x14ac:dyDescent="0.2">
      <c r="K359" s="16"/>
    </row>
    <row r="362" spans="11:11" ht="20.100000000000001" customHeight="1" x14ac:dyDescent="0.2">
      <c r="K362" s="16"/>
    </row>
    <row r="363" spans="11:11" ht="20.100000000000001" customHeight="1" x14ac:dyDescent="0.2">
      <c r="K363" s="16"/>
    </row>
    <row r="364" spans="11:11" ht="20.100000000000001" customHeight="1" x14ac:dyDescent="0.2">
      <c r="K364" s="16"/>
    </row>
    <row r="367" spans="11:11" ht="20.100000000000001" customHeight="1" x14ac:dyDescent="0.2">
      <c r="K367" s="16"/>
    </row>
    <row r="368" spans="11:11" ht="20.100000000000001" customHeight="1" x14ac:dyDescent="0.2">
      <c r="K368" s="16"/>
    </row>
    <row r="369" spans="4:11" ht="20.100000000000001" customHeight="1" x14ac:dyDescent="0.2">
      <c r="K369" s="16"/>
    </row>
    <row r="372" spans="4:11" ht="20.100000000000001" customHeight="1" x14ac:dyDescent="0.2">
      <c r="K372" s="16"/>
    </row>
    <row r="373" spans="4:11" ht="20.100000000000001" customHeight="1" x14ac:dyDescent="0.2">
      <c r="K373" s="16"/>
    </row>
    <row r="374" spans="4:11" ht="20.100000000000001" customHeight="1" x14ac:dyDescent="0.2">
      <c r="K374" s="16"/>
    </row>
    <row r="378" spans="4:11" ht="20.100000000000001" customHeight="1" x14ac:dyDescent="0.2">
      <c r="D378" s="87"/>
    </row>
  </sheetData>
  <conditionalFormatting sqref="F155:F156">
    <cfRule type="cellIs" dxfId="26" priority="15" operator="lessThan">
      <formula>0</formula>
    </cfRule>
  </conditionalFormatting>
  <conditionalFormatting sqref="F167:F168">
    <cfRule type="cellIs" dxfId="25" priority="14" operator="lessThan">
      <formula>0</formula>
    </cfRule>
  </conditionalFormatting>
  <conditionalFormatting sqref="F179:F180">
    <cfRule type="cellIs" dxfId="24" priority="13" operator="lessThan">
      <formula>0</formula>
    </cfRule>
  </conditionalFormatting>
  <conditionalFormatting sqref="F267:F268">
    <cfRule type="cellIs" dxfId="23" priority="26" operator="lessThan">
      <formula>0</formula>
    </cfRule>
  </conditionalFormatting>
  <conditionalFormatting sqref="F272:F273">
    <cfRule type="cellIs" dxfId="22" priority="25" operator="lessThan">
      <formula>0</formula>
    </cfRule>
  </conditionalFormatting>
  <conditionalFormatting sqref="F277:F278">
    <cfRule type="cellIs" dxfId="21" priority="24" operator="lessThan">
      <formula>0</formula>
    </cfRule>
  </conditionalFormatting>
  <conditionalFormatting sqref="F301:F302">
    <cfRule type="cellIs" dxfId="20" priority="23" operator="lessThan">
      <formula>0</formula>
    </cfRule>
  </conditionalFormatting>
  <conditionalFormatting sqref="F306:F307">
    <cfRule type="cellIs" dxfId="19" priority="22" operator="lessThan">
      <formula>0</formula>
    </cfRule>
  </conditionalFormatting>
  <conditionalFormatting sqref="F311:F312">
    <cfRule type="cellIs" dxfId="18" priority="21" operator="lessThan">
      <formula>0</formula>
    </cfRule>
  </conditionalFormatting>
  <conditionalFormatting sqref="H53 F143:F144">
    <cfRule type="cellIs" dxfId="17" priority="16" operator="lessThan">
      <formula>0</formula>
    </cfRule>
  </conditionalFormatting>
  <conditionalFormatting sqref="I39 I51:I52 O53 N54 I57 I59:I61 I63:I64 I221:J221 E227:G227 I227:J227 K263 J265 K268 J270 K273 J275 K278:K282 J280:J284 K284 J286 K286:K289 J288:J291 K291 J293 K297 J299 K302 J304 K307 J309 K312:K316 J314:J318 K318 J320 K320:K323 J322:J325 K325 J327">
    <cfRule type="cellIs" dxfId="16" priority="20" operator="lessThan">
      <formula>0</formula>
    </cfRule>
  </conditionalFormatting>
  <conditionalFormatting sqref="I41:I44 I46:I47 F58 I75:I78 L198 K200 L202:L203 K204:K205 L206:L207 K208:K209 L212:L213 K214:K215 L216:L217 K218:K219 L223:L228 K225">
    <cfRule type="cellIs" dxfId="15" priority="18" operator="lessThan">
      <formula>0</formula>
    </cfRule>
  </conditionalFormatting>
  <conditionalFormatting sqref="I82 M119 I141:J141">
    <cfRule type="cellIs" dxfId="14" priority="19" operator="lessThan">
      <formula>0</formula>
    </cfRule>
  </conditionalFormatting>
  <conditionalFormatting sqref="I93:I95">
    <cfRule type="cellIs" dxfId="13" priority="3" operator="lessThan">
      <formula>0</formula>
    </cfRule>
  </conditionalFormatting>
  <conditionalFormatting sqref="I99:I102">
    <cfRule type="cellIs" dxfId="12" priority="2" operator="lessThan">
      <formula>0</formula>
    </cfRule>
  </conditionalFormatting>
  <conditionalFormatting sqref="I106:I110">
    <cfRule type="cellIs" dxfId="11" priority="1" operator="lessThan">
      <formula>0</formula>
    </cfRule>
  </conditionalFormatting>
  <conditionalFormatting sqref="J169">
    <cfRule type="cellIs" dxfId="10" priority="17" operator="lessThan">
      <formula>0</formula>
    </cfRule>
  </conditionalFormatting>
  <conditionalFormatting sqref="L131:L134">
    <cfRule type="cellIs" dxfId="9" priority="7" operator="lessThan">
      <formula>0</formula>
    </cfRule>
  </conditionalFormatting>
  <conditionalFormatting sqref="L137">
    <cfRule type="cellIs" dxfId="8" priority="12" operator="lessThan">
      <formula>0</formula>
    </cfRule>
  </conditionalFormatting>
  <conditionalFormatting sqref="L143:L146">
    <cfRule type="cellIs" dxfId="7" priority="6" operator="lessThan">
      <formula>0</formula>
    </cfRule>
  </conditionalFormatting>
  <conditionalFormatting sqref="L149">
    <cfRule type="cellIs" dxfId="6" priority="11" operator="lessThan">
      <formula>0</formula>
    </cfRule>
  </conditionalFormatting>
  <conditionalFormatting sqref="L155:L158">
    <cfRule type="cellIs" dxfId="5" priority="5" operator="lessThan">
      <formula>0</formula>
    </cfRule>
  </conditionalFormatting>
  <conditionalFormatting sqref="L161">
    <cfRule type="cellIs" dxfId="4" priority="10" operator="lessThan">
      <formula>0</formula>
    </cfRule>
  </conditionalFormatting>
  <conditionalFormatting sqref="L167:L170">
    <cfRule type="cellIs" dxfId="3" priority="4" operator="lessThan">
      <formula>0</formula>
    </cfRule>
  </conditionalFormatting>
  <conditionalFormatting sqref="L173">
    <cfRule type="cellIs" dxfId="2" priority="9" operator="lessThan">
      <formula>0</formula>
    </cfRule>
  </conditionalFormatting>
  <conditionalFormatting sqref="L177:L178">
    <cfRule type="cellIs" dxfId="1" priority="8" operator="lessThan">
      <formula>0</formula>
    </cfRule>
  </conditionalFormatting>
  <conditionalFormatting sqref="L230 L232:L235 L237 J245:J247 J250:J252">
    <cfRule type="cellIs" dxfId="0" priority="27" operator="lessThan">
      <formula>0</formula>
    </cfRule>
  </conditionalFormatting>
  <dataValidations count="9">
    <dataValidation type="list" allowBlank="1" showInputMessage="1" showErrorMessage="1" sqref="D12:D21" xr:uid="{CD7FFCC8-ED53-445E-9F8D-80B5B8F6C598}">
      <formula1>INDIRECT("FertiliserProducts[Product]")</formula1>
    </dataValidation>
    <dataValidation type="list" allowBlank="1" showInputMessage="1" showErrorMessage="1" sqref="Q25:R34" xr:uid="{DD5630DD-4AA4-43A6-8B24-0B526A2893E4}">
      <formula1>INDIRECT("Table_SourceData_Fertiliser_UreaAmmoniaSources[Source]")</formula1>
    </dataValidation>
    <dataValidation type="list" allowBlank="1" showInputMessage="1" showErrorMessage="1" sqref="D54:D56" xr:uid="{E936D158-6BE7-41E2-86CB-E472C77A81B8}">
      <formula1>INDIRECT("Table_SourceData_OrganicFertiliserTypes[Organic fertiliser type]")</formula1>
    </dataValidation>
    <dataValidation type="list" allowBlank="1" showInputMessage="1" showErrorMessage="1" sqref="H25:H34 J25:J34 L25:L34 N25:N34" xr:uid="{0E153AFC-4593-4965-BD09-5D6161124AC1}">
      <formula1>INDIRECT("Table_Fertiliser_ChemicalCompounds[Fertiliser type f]")</formula1>
    </dataValidation>
    <dataValidation type="list" allowBlank="1" showInputMessage="1" showErrorMessage="1" sqref="E81" xr:uid="{795AE74B-F09F-400D-9E3F-60288EE0C146}">
      <formula1>INDIRECT("Table_SourceData_Swine_CropProdSystems[Production system]")</formula1>
    </dataValidation>
    <dataValidation type="list" allowBlank="1" showInputMessage="1" showErrorMessage="1" sqref="E82" xr:uid="{8D9BCB93-B3F8-4EE2-B18B-2306FE38479E}">
      <formula1>INDIRECT("Table_SourceData_Swine_IrrigationMethods[Irrigation method]")</formula1>
    </dataValidation>
    <dataValidation type="list" allowBlank="1" showInputMessage="1" showErrorMessage="1" sqref="E266 E271 E276 E310 E305 E300 E178 E166 E142 E154" xr:uid="{31CF5C74-A598-4BFA-82AA-012FB0F4598B}">
      <formula1>"Yes, No"</formula1>
    </dataValidation>
    <dataValidation type="list" allowBlank="1" showInputMessage="1" showErrorMessage="1" sqref="E242" xr:uid="{FDC229E5-5B6B-414C-A974-6BE9B196AB30}">
      <formula1>INDIRECT("Table_SourceData_Dairy_ProductionSystemTemplates[Area]")</formula1>
    </dataValidation>
    <dataValidation type="list" allowBlank="1" showInputMessage="1" showErrorMessage="1" sqref="D294" xr:uid="{AC8BB8DD-5DAB-4A06-A97D-35FAF502ADE1}">
      <formula1>INDIRECT("Table_SourceData_PoultryMMSStage1[MMS]")</formula1>
    </dataValidation>
  </dataValidations>
  <pageMargins left="0.7" right="0.7" top="0.75" bottom="0.75" header="0.3" footer="0.3"/>
  <pageSetup paperSize="9" orientation="portrait" r:id="rId1"/>
  <tableParts count="4">
    <tablePart r:id="rId2"/>
    <tablePart r:id="rId3"/>
    <tablePart r:id="rId4"/>
    <tablePart r:id="rId5"/>
  </tableParts>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8D41D-748E-42BE-9E64-6BAB02792A9B}">
  <sheetPr>
    <tabColor rgb="FF008000"/>
  </sheetPr>
  <dimension ref="A1:X342"/>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9" width="30.7109375" style="1" customWidth="1"/>
    <col min="10" max="10" width="25.28515625" style="1" customWidth="1"/>
    <col min="11" max="11" width="4.7109375" customWidth="1"/>
    <col min="12" max="12" width="4.7109375" style="1" customWidth="1"/>
    <col min="13" max="23" width="30.7109375" style="1" customWidth="1"/>
    <col min="24" max="24" width="4.7109375" style="1" customWidth="1"/>
  </cols>
  <sheetData>
    <row r="1" spans="1:24" s="20" customFormat="1" ht="30" customHeight="1" x14ac:dyDescent="0.35">
      <c r="A1" s="10" t="e" vm="1">
        <v>#VALUE!</v>
      </c>
      <c r="C1" s="20" t="s">
        <v>752</v>
      </c>
      <c r="K1"/>
    </row>
    <row r="2" spans="1:24" s="3" customFormat="1" ht="20.100000000000001" customHeight="1" x14ac:dyDescent="0.2">
      <c r="A2"/>
      <c r="K2"/>
    </row>
    <row r="3" spans="1:24" ht="20.100000000000001" customHeight="1" x14ac:dyDescent="0.2">
      <c r="A3" s="5" t="str">
        <f>HYPERLINK("#'Home'!A1", "Home")</f>
        <v>Home</v>
      </c>
      <c r="C3" s="22"/>
      <c r="D3" s="22" t="s">
        <v>130</v>
      </c>
      <c r="E3" s="22"/>
      <c r="F3" s="22"/>
      <c r="G3" s="22"/>
      <c r="H3" s="22"/>
      <c r="I3" s="22"/>
      <c r="J3" s="22"/>
      <c r="L3" s="22"/>
      <c r="M3" s="22" t="s">
        <v>131</v>
      </c>
      <c r="N3" s="22"/>
      <c r="O3" s="22"/>
      <c r="P3" s="22"/>
      <c r="Q3" s="22"/>
      <c r="R3" s="22"/>
      <c r="S3" s="22"/>
      <c r="T3" s="22"/>
      <c r="U3" s="22"/>
      <c r="V3" s="22"/>
      <c r="W3" s="22"/>
      <c r="X3" s="22"/>
    </row>
    <row r="4" spans="1:24" ht="20.100000000000001" customHeight="1" x14ac:dyDescent="0.2">
      <c r="A4" s="5" t="str">
        <f>HYPERLINK("#'Results - Activity period'!A1", "Results - Activity period")</f>
        <v>Results - Activity period</v>
      </c>
    </row>
    <row r="5" spans="1:24" ht="20.100000000000001" customHeight="1" x14ac:dyDescent="0.2">
      <c r="A5" s="5" t="str">
        <f>HYPERLINK("#'Results - Product EI'!A1", "Results - Product Emissions Intensity")</f>
        <v>Results - Product Emissions Intensity</v>
      </c>
      <c r="D5" s="2" t="str" cm="1">
        <f t="array" ref="D5">Fertiliser_Equations_InorganicN2O.VEERG_5_1_1_1__2_MassOfNitrogenInInorganicFertiliser_Title()</f>
        <v>Mass of nitrogen in inorganic fertiliser applied to production system</v>
      </c>
      <c r="M5" s="87" t="s">
        <v>753</v>
      </c>
    </row>
    <row r="6" spans="1:24" ht="20.100000000000001" customHeight="1" x14ac:dyDescent="0.2">
      <c r="D6" s="17" t="str" cm="1">
        <f t="array" ref="D6">Fertiliser_Equations_InorganicN2O.VEERG_5_1_1_1__2_MassOfNitrogenInInorganicFertiliser_Source()</f>
        <v>VEERG 2026: 5.1.1.1, Equation (2)</v>
      </c>
      <c r="M6" s="221" t="s">
        <v>754</v>
      </c>
      <c r="N6" s="221"/>
      <c r="O6" s="221"/>
      <c r="P6" s="221"/>
      <c r="Q6" s="221"/>
      <c r="R6" s="221"/>
      <c r="S6" s="221"/>
    </row>
    <row r="7" spans="1:24" ht="20.100000000000001" customHeight="1" x14ac:dyDescent="0.2">
      <c r="D7" s="112" t="s">
        <v>328</v>
      </c>
      <c r="E7" s="112" t="str" cm="1">
        <f t="array" aca="1" ref="E7" ca="1">Common_InputFunctions.Utility_DisplayFunctionName(G19)</f>
        <v>=Fertiliser_Equations_InorganicN2O.VEERG_5_1_1_1__2_MassOfNitrogenInInorganicFertiliser</v>
      </c>
      <c r="M7" s="118" t="s">
        <v>755</v>
      </c>
    </row>
    <row r="8" spans="1:24" ht="20.100000000000001" customHeight="1" x14ac:dyDescent="0.2">
      <c r="A8" s="7" t="s">
        <v>0</v>
      </c>
      <c r="M8" s="119" t="s">
        <v>756</v>
      </c>
    </row>
    <row r="9" spans="1:24" ht="20.100000000000001" customHeight="1" x14ac:dyDescent="0.2">
      <c r="A9" s="5" t="str">
        <f>HYPERLINK("#'Input - Enterprise'!A1", "Enterprise")</f>
        <v>Enterprise</v>
      </c>
      <c r="O9" s="222" t="s">
        <v>757</v>
      </c>
      <c r="P9" s="222" t="s">
        <v>685</v>
      </c>
      <c r="Q9" s="222" t="s">
        <v>758</v>
      </c>
    </row>
    <row r="10" spans="1:24" ht="20.100000000000001" customHeight="1" x14ac:dyDescent="0.2">
      <c r="A10" s="5" t="str">
        <f>HYPERLINK("#'Input - Site'!A1", "Site")</f>
        <v>Site</v>
      </c>
      <c r="D10" s="75" t="s">
        <v>329</v>
      </c>
      <c r="E10" s="1" t="str" cm="1">
        <f t="array" ref="E10">Fertiliser_Equations_InorganicN2O.VEERG_5_1_1_1__2_MassOfNitrogenInInorganicFertiliser_Variable()</f>
        <v>MN_jf</v>
      </c>
      <c r="M10" s="120" t="s">
        <v>759</v>
      </c>
      <c r="N10" s="78" t="s">
        <v>759</v>
      </c>
      <c r="O10" s="78" t="s">
        <v>760</v>
      </c>
      <c r="P10" s="78" t="s">
        <v>761</v>
      </c>
      <c r="Q10" s="120" t="s">
        <v>762</v>
      </c>
    </row>
    <row r="11" spans="1:24" ht="20.100000000000001" customHeight="1" x14ac:dyDescent="0.2">
      <c r="A11" s="5" t="str">
        <f>HYPERLINK("#'Input - Poultry'!A1", "Poultry")</f>
        <v>Poultry</v>
      </c>
      <c r="D11" s="75" t="s">
        <v>118</v>
      </c>
      <c r="E11" s="9" t="str" cm="1">
        <f t="array" ref="E11">Fertiliser_Equations_InorganicN2O.VEERG_5_1_1_1__2_MassOfNitrogenInInorganicFertiliser_Unit()</f>
        <v>kg N</v>
      </c>
      <c r="M11" s="15" t="s">
        <v>763</v>
      </c>
      <c r="N11" s="15" t="str" cm="1">
        <f t="array" ref="N11:N20">Table_Input_InorganicFertiliser_Brands[Product (select)]</f>
        <v>Urea</v>
      </c>
      <c r="O11" s="15" cm="1">
        <f t="array" ref="O11:O20">Table_Input_InorganicFertiliser_Brands[N application rate (kg/ha)]</f>
        <v>46</v>
      </c>
      <c r="P11" s="15" cm="1">
        <f t="array" ref="P11:P20">IF(Table_Input_InorganicFertiliser_Brands[N application rate (kg/ha)]&gt;0, Table_Input_InorganicFertiliser_Brands[Application area (ha)], 0)</f>
        <v>100</v>
      </c>
      <c r="Q11" s="15">
        <f>O11*P11</f>
        <v>4600</v>
      </c>
    </row>
    <row r="12" spans="1:24" ht="20.100000000000001" customHeight="1" x14ac:dyDescent="0.2">
      <c r="A12" s="5" t="str">
        <f>HYPERLINK("#'Input - Livestock sales'!A1", "Livestock sales")</f>
        <v>Livestock sales</v>
      </c>
      <c r="M12" s="15" t="s">
        <v>763</v>
      </c>
      <c r="N12" s="15" t="str">
        <v>Boost-It</v>
      </c>
      <c r="O12" s="15">
        <v>24</v>
      </c>
      <c r="P12" s="15">
        <v>100</v>
      </c>
      <c r="Q12" s="15">
        <f>O12*P12</f>
        <v>2400</v>
      </c>
    </row>
    <row r="13" spans="1:24" ht="20.100000000000001" customHeight="1" x14ac:dyDescent="0.2">
      <c r="A13" s="5" t="str">
        <f>HYPERLINK("#'Input - Poultry purchases'!A1", "Poultry purchases")</f>
        <v>Poultry purchases</v>
      </c>
      <c r="D13" s="126" t="str" cm="1">
        <f t="array" ref="D13:E14">_xlfn.CHOOSECOLS(Fertiliser_Equations_InorganicN2O.VEERG_5_1_1_1__2_MassOfNitrogenInInorganicFertiliser_Arguments(), 1,2)</f>
        <v>TM_jf</v>
      </c>
      <c r="E13" s="126" t="str">
        <v>total mass of inorganic fertiliser type f applied to production system j</v>
      </c>
      <c r="F13" s="126"/>
      <c r="G13" s="126" t="str" cm="1">
        <f t="array" ref="G13:H14">_xlfn.CHOOSECOLS(Fertiliser_Equations_InorganicN2O.VEERG_5_1_1_1__2_MassOfNitrogenInInorganicFertiliser_Arguments(), 3,4)</f>
        <v>kg</v>
      </c>
      <c r="H13" s="114" t="str">
        <v>Input</v>
      </c>
      <c r="I13" s="116" t="str" cm="1">
        <f t="array" aca="1" ref="I13" ca="1">HYPERLINK(Common_InputFunctions.Utility_SourceHyperlink($D$16), $D$16)</f>
        <v>Table_MN_j_f</v>
      </c>
      <c r="M13" s="15" t="s">
        <v>763</v>
      </c>
      <c r="N13" s="15" t="str">
        <v>Cal-Gran 50/50</v>
      </c>
      <c r="O13" s="15">
        <v>17.899999999999999</v>
      </c>
      <c r="P13" s="15">
        <v>100</v>
      </c>
      <c r="Q13" s="15">
        <f t="shared" ref="Q13:Q20" si="0">O13*P13</f>
        <v>1789.9999999999998</v>
      </c>
    </row>
    <row r="14" spans="1:24" ht="20.100000000000001" customHeight="1" x14ac:dyDescent="0.2">
      <c r="A14" s="5" t="str">
        <f>HYPERLINK("#'Input - Fuel'!A1", "Fuel")</f>
        <v>Fuel</v>
      </c>
      <c r="D14" s="126" t="str">
        <v>FN_inorganicf</v>
      </c>
      <c r="E14" s="129" t="str">
        <v xml:space="preserve">fraction of nitrogen in inorganic fertiliser type f </v>
      </c>
      <c r="F14" s="223"/>
      <c r="G14" s="126" t="str">
        <v>kg N/kg</v>
      </c>
      <c r="H14" s="115" t="str">
        <v>Constant</v>
      </c>
      <c r="I14" s="116" t="str" cm="1">
        <f t="array" aca="1" ref="I14" ca="1">HYPERLINK(Common_InputFunctions.Utility_SourceHyperlink($D$16), $D$16)</f>
        <v>Table_MN_j_f</v>
      </c>
      <c r="M14" s="15" t="s">
        <v>763</v>
      </c>
      <c r="N14" s="15">
        <v>0</v>
      </c>
      <c r="O14" s="15">
        <v>0</v>
      </c>
      <c r="P14" s="15">
        <v>0</v>
      </c>
      <c r="Q14" s="15">
        <f t="shared" si="0"/>
        <v>0</v>
      </c>
    </row>
    <row r="15" spans="1:24" ht="20.100000000000001" customHeight="1" x14ac:dyDescent="0.2">
      <c r="A15" s="5" t="str">
        <f>HYPERLINK("#'Input - Electricity'!A1", "Electricity")</f>
        <v>Electricity</v>
      </c>
      <c r="M15" s="15" t="s">
        <v>763</v>
      </c>
      <c r="N15" s="15">
        <v>0</v>
      </c>
      <c r="O15" s="15">
        <v>0</v>
      </c>
      <c r="P15" s="15">
        <v>0</v>
      </c>
      <c r="Q15" s="15">
        <f t="shared" si="0"/>
        <v>0</v>
      </c>
    </row>
    <row r="16" spans="1:24" ht="20.100000000000001" customHeight="1" x14ac:dyDescent="0.2">
      <c r="A16" s="5" t="str">
        <f>HYPERLINK("#'Input - Common farm inputs'!A1", "Common farm inputs")</f>
        <v>Common farm inputs</v>
      </c>
      <c r="D16" s="118" t="s">
        <v>764</v>
      </c>
      <c r="M16" s="15" t="s">
        <v>763</v>
      </c>
      <c r="N16" s="15">
        <v>0</v>
      </c>
      <c r="O16" s="15">
        <v>0</v>
      </c>
      <c r="P16" s="15">
        <v>0</v>
      </c>
      <c r="Q16" s="15">
        <f t="shared" si="0"/>
        <v>0</v>
      </c>
    </row>
    <row r="17" spans="1:17" ht="20.100000000000001" customHeight="1" x14ac:dyDescent="0.2">
      <c r="A17" s="5" t="str">
        <f>HYPERLINK("#'Input - Livestock farm Inputs'!A1", "Livestock farm Inputs")</f>
        <v>Livestock farm Inputs</v>
      </c>
      <c r="D17" s="119" t="s">
        <v>765</v>
      </c>
      <c r="M17" s="15" t="s">
        <v>763</v>
      </c>
      <c r="N17" s="15">
        <v>0</v>
      </c>
      <c r="O17" s="15">
        <v>0</v>
      </c>
      <c r="P17" s="15">
        <v>0</v>
      </c>
      <c r="Q17" s="15">
        <f t="shared" si="0"/>
        <v>0</v>
      </c>
    </row>
    <row r="18" spans="1:17" ht="20.100000000000001" customHeight="1" x14ac:dyDescent="0.2">
      <c r="A18" s="5" t="str">
        <f>HYPERLINK("#'Input - Freight'!A1", "Freight")</f>
        <v>Freight</v>
      </c>
      <c r="D18" s="120" t="s">
        <v>766</v>
      </c>
      <c r="E18" s="78" t="s">
        <v>767</v>
      </c>
      <c r="F18" s="120" t="s">
        <v>768</v>
      </c>
      <c r="G18" s="120" t="s">
        <v>769</v>
      </c>
      <c r="M18" s="15" t="s">
        <v>763</v>
      </c>
      <c r="N18" s="15">
        <v>0</v>
      </c>
      <c r="O18" s="15">
        <v>0</v>
      </c>
      <c r="P18" s="15">
        <v>0</v>
      </c>
      <c r="Q18" s="15">
        <f t="shared" si="0"/>
        <v>0</v>
      </c>
    </row>
    <row r="19" spans="1: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f],Table_Fertiliser_ChemicalCompounds[FNinorganic f])</f>
        <v>0.1</v>
      </c>
      <c r="G19" s="15" cm="1">
        <f t="array" ref="G19">Fertiliser_Equations_InorganicN2O.VEERG_5_1_1_1__2_MassOfNitrogenInInorganicFertiliser(E19,F19)</f>
        <v>0</v>
      </c>
      <c r="M19" s="15" t="s">
        <v>763</v>
      </c>
      <c r="N19" s="15">
        <v>0</v>
      </c>
      <c r="O19" s="15">
        <v>0</v>
      </c>
      <c r="P19" s="15">
        <v>0</v>
      </c>
      <c r="Q19" s="15">
        <f t="shared" si="0"/>
        <v>0</v>
      </c>
    </row>
    <row r="20" spans="1: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f],Table_Fertiliser_ChemicalCompounds[FNinorganic f])</f>
        <v>0.18</v>
      </c>
      <c r="G20" s="15" cm="1">
        <f t="array" ref="G20">Fertiliser_Equations_InorganicN2O.VEERG_5_1_1_1__2_MassOfNitrogenInInorganicFertiliser(E20,F20)</f>
        <v>0</v>
      </c>
      <c r="M20" s="15" t="s">
        <v>763</v>
      </c>
      <c r="N20" s="15">
        <v>0</v>
      </c>
      <c r="O20" s="15">
        <v>0</v>
      </c>
      <c r="P20" s="15">
        <v>0</v>
      </c>
      <c r="Q20" s="15">
        <f t="shared" si="0"/>
        <v>0</v>
      </c>
    </row>
    <row r="21" spans="1: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f],Table_Fertiliser_ChemicalCompounds[FNinorganic f])</f>
        <v>0.46</v>
      </c>
      <c r="G21" s="15" cm="1">
        <f t="array" ref="G21">Fertiliser_Equations_InorganicN2O.VEERG_5_1_1_1__2_MassOfNitrogenInInorganicFertiliser(E21,F21)</f>
        <v>11599.999400000001</v>
      </c>
      <c r="M21" s="15" t="s">
        <v>770</v>
      </c>
      <c r="N21" s="15" t="str" cm="1">
        <f t="array" ref="N21:N30">Table_Input_InorganicFertiliser_Custom[Custom blend name]</f>
        <v>My first custom blend</v>
      </c>
      <c r="O21" s="15" cm="1">
        <f t="array" ref="O21:O30">Table_Input_InorganicFertiliser_Custom[N application rate (kg/ha)]</f>
        <v>7.75</v>
      </c>
      <c r="P21" s="15" cm="1">
        <f t="array" ref="P21:P30">IF(Table_Input_InorganicFertiliser_Custom[N application rate (kg/ha)]&gt;0, Table_Input_InorganicFertiliser_Custom[Application area (ha)],0)</f>
        <v>100</v>
      </c>
      <c r="Q21" s="15">
        <f>O21*P21</f>
        <v>775</v>
      </c>
    </row>
    <row r="22" spans="1: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f],Table_Fertiliser_ChemicalCompounds[FNinorganic f])</f>
        <v>0.21</v>
      </c>
      <c r="G22" s="15" cm="1">
        <f t="array" ref="G22">Fertiliser_Equations_InorganicN2O.VEERG_5_1_1_1__2_MassOfNitrogenInInorganicFertiliser(E22,F22)</f>
        <v>0</v>
      </c>
      <c r="M22" s="15" t="s">
        <v>770</v>
      </c>
      <c r="N22" s="15" t="str">
        <v>My second custom blend</v>
      </c>
      <c r="O22" s="15">
        <v>46</v>
      </c>
      <c r="P22" s="15">
        <v>100</v>
      </c>
      <c r="Q22" s="15">
        <f>O22*P22</f>
        <v>4600</v>
      </c>
    </row>
    <row r="23" spans="1: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f],Table_Fertiliser_ChemicalCompounds[FNinorganic f])</f>
        <v>0.32</v>
      </c>
      <c r="G23" s="15" cm="1">
        <f t="array" ref="G23">Fertiliser_Equations_InorganicN2O.VEERG_5_1_1_1__2_MassOfNitrogenInInorganicFertiliser(E23,F23)</f>
        <v>0</v>
      </c>
      <c r="M23" s="15" t="s">
        <v>770</v>
      </c>
      <c r="N23" s="15" t="str">
        <v>My third custom blend</v>
      </c>
      <c r="O23" s="15">
        <v>41.174999999999997</v>
      </c>
      <c r="P23" s="15">
        <v>100</v>
      </c>
      <c r="Q23" s="15">
        <f>O23*P23</f>
        <v>4117.5</v>
      </c>
    </row>
    <row r="24" spans="1: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f],Table_Fertiliser_ChemicalCompounds[FNinorganic f])</f>
        <v>0.33700000000000002</v>
      </c>
      <c r="G24" s="15" cm="1">
        <f t="array" ref="G24">Fertiliser_Equations_InorganicN2O.VEERG_5_1_1_1__2_MassOfNitrogenInInorganicFertiliser(E24,F24)</f>
        <v>0</v>
      </c>
      <c r="J24" s="16"/>
      <c r="M24" s="15" t="s">
        <v>770</v>
      </c>
      <c r="N24" s="15">
        <v>0</v>
      </c>
      <c r="O24" s="15">
        <v>0</v>
      </c>
      <c r="P24" s="15">
        <v>0</v>
      </c>
      <c r="Q24" s="15">
        <f>O24*P24</f>
        <v>0</v>
      </c>
    </row>
    <row r="25" spans="1: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f],Table_Fertiliser_ChemicalCompounds[FNinorganic f])</f>
        <v>0.27</v>
      </c>
      <c r="G25" s="15" cm="1">
        <f t="array" ref="G25">Fertiliser_Equations_InorganicN2O.VEERG_5_1_1_1__2_MassOfNitrogenInInorganicFertiliser(E25,F25)</f>
        <v>0</v>
      </c>
      <c r="J25" s="16"/>
      <c r="M25" s="15" t="s">
        <v>770</v>
      </c>
      <c r="N25" s="15">
        <v>0</v>
      </c>
      <c r="O25" s="15">
        <v>0</v>
      </c>
      <c r="P25" s="15">
        <v>0</v>
      </c>
      <c r="Q25" s="15">
        <f>O25*P25</f>
        <v>0</v>
      </c>
    </row>
    <row r="26" spans="1: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f],Table_Fertiliser_ChemicalCompounds[FNinorganic f])</f>
        <v>1</v>
      </c>
      <c r="G26" s="15" cm="1">
        <f t="array" ref="G26">Fertiliser_Equations_InorganicN2O.VEERG_5_1_1_1__2_MassOfNitrogenInInorganicFertiliser(E26,F26)</f>
        <v>1240</v>
      </c>
      <c r="M26" s="15" t="s">
        <v>770</v>
      </c>
      <c r="N26" s="15">
        <v>0</v>
      </c>
      <c r="O26" s="15">
        <v>0</v>
      </c>
      <c r="P26" s="15">
        <v>0</v>
      </c>
      <c r="Q26" s="15">
        <f t="shared" ref="Q26:Q30" si="1">O26*P26</f>
        <v>0</v>
      </c>
    </row>
    <row r="27" spans="1:17" ht="20.100000000000001" customHeight="1" x14ac:dyDescent="0.2">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f],Table_Fertiliser_ChemicalCompounds[FNinorganic f])</f>
        <v>1</v>
      </c>
      <c r="G27" s="15" cm="1">
        <f t="array" ref="G27">Fertiliser_Equations_InorganicN2O.VEERG_5_1_1_1__2_MassOfNitrogenInInorganicFertiliser(E27,F27)</f>
        <v>550</v>
      </c>
      <c r="M27" s="15" t="s">
        <v>770</v>
      </c>
      <c r="N27" s="15">
        <v>0</v>
      </c>
      <c r="O27" s="15">
        <v>0</v>
      </c>
      <c r="P27" s="15">
        <v>0</v>
      </c>
      <c r="Q27" s="15">
        <f t="shared" si="1"/>
        <v>0</v>
      </c>
    </row>
    <row r="28" spans="1:17" ht="20.100000000000001" customHeight="1" x14ac:dyDescent="0.2">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f],Table_Fertiliser_ChemicalCompounds[FNinorganic f])</f>
        <v>1</v>
      </c>
      <c r="G28" s="15" cm="1">
        <f t="array" ref="G28">Fertiliser_Equations_InorganicN2O.VEERG_5_1_1_1__2_MassOfNitrogenInInorganicFertiliser(E28,F28)</f>
        <v>0</v>
      </c>
      <c r="M28" s="15" t="s">
        <v>770</v>
      </c>
      <c r="N28" s="15">
        <v>0</v>
      </c>
      <c r="O28" s="15">
        <v>0</v>
      </c>
      <c r="P28" s="15">
        <v>0</v>
      </c>
      <c r="Q28" s="15">
        <f t="shared" si="1"/>
        <v>0</v>
      </c>
    </row>
    <row r="29" spans="1:17" ht="20.100000000000001" customHeight="1" x14ac:dyDescent="0.2">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f],Table_Fertiliser_ChemicalCompounds[FNinorganic f])</f>
        <v>0</v>
      </c>
      <c r="G29" s="15" cm="1">
        <f t="array" ref="G29">Fertiliser_Equations_InorganicN2O.VEERG_5_1_1_1__2_MassOfNitrogenInInorganicFertiliser(E29,F29)</f>
        <v>0</v>
      </c>
      <c r="M29" s="15" t="s">
        <v>770</v>
      </c>
      <c r="N29" s="15">
        <v>0</v>
      </c>
      <c r="O29" s="15">
        <v>0</v>
      </c>
      <c r="P29" s="15">
        <v>0</v>
      </c>
      <c r="Q29" s="15">
        <f t="shared" si="1"/>
        <v>0</v>
      </c>
    </row>
    <row r="30" spans="1:17" ht="20.100000000000001" customHeight="1" x14ac:dyDescent="0.2">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f],Table_Fertiliser_ChemicalCompounds[FNinorganic f])</f>
        <v>0</v>
      </c>
      <c r="G30" s="15" cm="1">
        <f t="array" ref="G30">Fertiliser_Equations_InorganicN2O.VEERG_5_1_1_1__2_MassOfNitrogenInInorganicFertiliser(E30,F30)</f>
        <v>0</v>
      </c>
      <c r="M30" s="15" t="s">
        <v>770</v>
      </c>
      <c r="N30" s="15">
        <v>0</v>
      </c>
      <c r="O30" s="15">
        <v>0</v>
      </c>
      <c r="P30" s="15">
        <v>0</v>
      </c>
      <c r="Q30" s="15">
        <f t="shared" si="1"/>
        <v>0</v>
      </c>
    </row>
    <row r="31" spans="1:17" ht="20.100000000000001" customHeight="1" x14ac:dyDescent="0.2">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f],Table_Fertiliser_ChemicalCompounds[FNinorganic f])</f>
        <v>0</v>
      </c>
      <c r="G31" s="15" cm="1">
        <f t="array" ref="G31">Fertiliser_Equations_InorganicN2O.VEERG_5_1_1_1__2_MassOfNitrogenInInorganicFertiliser(E31,F31)</f>
        <v>0</v>
      </c>
    </row>
    <row r="32" spans="1:17" ht="20.100000000000001" customHeight="1" x14ac:dyDescent="0.2">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f],Table_Fertiliser_ChemicalCompounds[FNinorganic f])</f>
        <v>0</v>
      </c>
      <c r="G32" s="15" cm="1">
        <f t="array" ref="G32">Fertiliser_Equations_InorganicN2O.VEERG_5_1_1_1__2_MassOfNitrogenInInorganicFertiliser(E32,F32)</f>
        <v>0</v>
      </c>
    </row>
    <row r="33" spans="1:24" ht="20.100000000000001" customHeight="1" x14ac:dyDescent="0.2">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f],Table_Fertiliser_ChemicalCompounds[FNinorganic f])</f>
        <v>0</v>
      </c>
      <c r="G33" s="15" cm="1">
        <f t="array" ref="G33">Fertiliser_Equations_InorganicN2O.VEERG_5_1_1_1__2_MassOfNitrogenInInorganicFertiliser(E33,F33)</f>
        <v>0</v>
      </c>
      <c r="M33" s="88" t="s">
        <v>771</v>
      </c>
      <c r="N33" s="83">
        <f>SUM(Q11:Q30)</f>
        <v>18282.5</v>
      </c>
    </row>
    <row r="34" spans="1:24" ht="20.100000000000001" customHeight="1" x14ac:dyDescent="0.2">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f],Table_Fertiliser_ChemicalCompounds[FNinorganic f])</f>
        <v>0</v>
      </c>
      <c r="G34" s="15" cm="1">
        <f t="array" ref="G34">Fertiliser_Equations_InorganicN2O.VEERG_5_1_1_1__2_MassOfNitrogenInInorganicFertiliser(E34,F34)</f>
        <v>0</v>
      </c>
      <c r="M34" s="75" t="s">
        <v>772</v>
      </c>
      <c r="N34" s="1">
        <f>MAX(P11:P30)</f>
        <v>100</v>
      </c>
    </row>
    <row r="35" spans="1:24" ht="20.100000000000001" customHeight="1" x14ac:dyDescent="0.2">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f],Table_Fertiliser_ChemicalCompounds[FNinorganic f])</f>
        <v>0</v>
      </c>
      <c r="G35" s="15" cm="1">
        <f t="array" ref="G35">Fertiliser_Equations_InorganicN2O.VEERG_5_1_1_1__2_MassOfNitrogenInInorganicFertiliser(E35,F35)</f>
        <v>0</v>
      </c>
      <c r="M35" s="75" t="s">
        <v>773</v>
      </c>
      <c r="N35" s="1">
        <f>N33/N34</f>
        <v>182.82499999999999</v>
      </c>
    </row>
    <row r="36" spans="1:24" ht="20.100000000000001" customHeight="1" x14ac:dyDescent="0.2">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f],Table_Fertiliser_ChemicalCompounds[FNinorganic f])</f>
        <v>0.82350000000000001</v>
      </c>
      <c r="G36" s="15" cm="1">
        <f t="array" ref="G36">Fertiliser_Equations_InorganicN2O.VEERG_5_1_1_1__2_MassOfNitrogenInInorganicFertiliser(E36,F36)</f>
        <v>4117.5</v>
      </c>
    </row>
    <row r="37" spans="1:24" ht="20.100000000000001" customHeight="1" x14ac:dyDescent="0.2">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f],Table_Fertiliser_ChemicalCompounds[FNinorganic f])</f>
        <v>0.155</v>
      </c>
      <c r="G37" s="15" cm="1">
        <f t="array" ref="G37">Fertiliser_Equations_InorganicN2O.VEERG_5_1_1_1__2_MassOfNitrogenInInorganicFertiliser(E37,F37)</f>
        <v>775</v>
      </c>
      <c r="L37" s="83"/>
      <c r="M37" s="83"/>
      <c r="N37" s="83"/>
      <c r="O37" s="83"/>
      <c r="P37" s="83"/>
      <c r="Q37" s="83"/>
      <c r="R37" s="83"/>
      <c r="S37" s="83"/>
      <c r="T37" s="83"/>
      <c r="U37" s="83"/>
      <c r="V37" s="83"/>
      <c r="W37" s="83"/>
      <c r="X37" s="83"/>
    </row>
    <row r="38" spans="1:24" ht="20.100000000000001" customHeight="1" x14ac:dyDescent="0.2">
      <c r="A38" s="5" t="str">
        <f>HYPERLINK("#'14.1.1-2 Purchased electricity'!A1", "14.1.1-2 Purchased electricity")</f>
        <v>14.1.1-2 Purchased electricity</v>
      </c>
    </row>
    <row r="39" spans="1:24" ht="20.100000000000001" customHeight="1" x14ac:dyDescent="0.2">
      <c r="A39" s="5" t="str">
        <f>HYPERLINK("#'15 Scope 3'!A1", "15 Scope 3")</f>
        <v>15 Scope 3</v>
      </c>
      <c r="C39" s="83"/>
      <c r="D39" s="83"/>
      <c r="E39" s="83"/>
      <c r="F39" s="83"/>
      <c r="G39" s="83"/>
      <c r="H39" s="83"/>
      <c r="I39" s="83"/>
      <c r="J39" s="83"/>
      <c r="M39" s="2" t="str" cm="1">
        <f t="array" ref="M39">Fertiliser_Equations_InorganicN2O.VEERG_5_1_1_2__1_EmissionFactorIrrigatedMaize_Title()</f>
        <v>Emission factor for nitrous oxide for irrigated maize</v>
      </c>
    </row>
    <row r="40" spans="1:24" ht="20.100000000000001" customHeight="1" x14ac:dyDescent="0.2">
      <c r="A40" s="5" t="str">
        <f>HYPERLINK("#'Calcs - Manure sent off-site'!A1", "Calcs - Manure sent off-site")</f>
        <v>Calcs - Manure sent off-site</v>
      </c>
      <c r="D40" s="2" t="str" cm="1">
        <f t="array" ref="D40">Fertiliser_Equations_InorganicN2O.VEERG_5_1_1_1__1_InorganicFertiliserApplicationN2OEmissions_Title()</f>
        <v>Nitrous oxide emissions from the application of all inorganic fertiliser types f to all production systems j</v>
      </c>
      <c r="M40" s="17" t="str" cm="1">
        <f t="array" ref="M40">Fertiliser_Equations_InorganicN2O.VEERG_5_1_1_2__1_EmissionFactorIrrigatedMaize_Source()</f>
        <v>VEERG 2026: 5.1.1.2, Equation (1)</v>
      </c>
    </row>
    <row r="41" spans="1:24" ht="20.100000000000001" customHeight="1" x14ac:dyDescent="0.2">
      <c r="A41" s="117" t="str">
        <f>HYPERLINK("#'5.1.1.1-2 Inorganic fert N2O'!A1", "5.1.1.1-2 Inorganic fert N2O")</f>
        <v>5.1.1.1-2 Inorganic fert N2O</v>
      </c>
      <c r="D41" s="17" t="str" cm="1">
        <f t="array" ref="D41">Fertiliser_Equations_InorganicN2O.VEERG_5_1_1_1__1_InorganicFertiliserApplicationN2OEmissions_Source()</f>
        <v>VEERG 2026: 5.1.1.1, Equation (1)</v>
      </c>
    </row>
    <row r="42" spans="1:24" ht="20.100000000000001" customHeight="1" x14ac:dyDescent="0.2">
      <c r="A42" s="5" t="str">
        <f>HYPERLINK("#'5.1.1.3-4 Inorganic fert CO2'!A1", "5.1.1.3-4 Inorganic fert CO2")</f>
        <v>5.1.1.3-4 Inorganic fert CO2</v>
      </c>
      <c r="D42" s="112" t="s">
        <v>328</v>
      </c>
      <c r="E42" s="112" t="str" cm="1">
        <f t="array" aca="1" ref="E42" ca="1">Common_InputFunctions.Utility_DisplayFunctionName($E$60)</f>
        <v>=Fertiliser_Equations_InorganicN2O.VEERG_5_1_1_1__1_InorganicFertiliserApplicationN2OEmissions</v>
      </c>
      <c r="F42" s="16"/>
    </row>
    <row r="43" spans="1:24" ht="20.100000000000001" customHeight="1" x14ac:dyDescent="0.2">
      <c r="A43" s="5" t="str">
        <f>HYPERLINK("#'5.2.1.1-2 Organic Fert N2O'!A1", "5.2.1.1-2 Organic Fert N2O")</f>
        <v>5.2.1.1-2 Organic Fert N2O</v>
      </c>
      <c r="F43" s="16"/>
      <c r="M43" s="75" t="s">
        <v>329</v>
      </c>
      <c r="N43" s="1" t="str" cm="1">
        <f t="array" ref="N43">Fertiliser_Equations_InorganicN2O.VEERG_5_1_1_2__1_EmissionFactorIrrigatedMaize_Variable()</f>
        <v>EF_fjIrrigatedMaizeN2O</v>
      </c>
    </row>
    <row r="44" spans="1:24" ht="20.100000000000001" customHeight="1" x14ac:dyDescent="0.2">
      <c r="A44" s="5" t="str">
        <f>HYPERLINK("#'5.3.1.1-2 Lime CO2'!A1", "5.3.1.1-2 Lime CO2")</f>
        <v>5.3.1.1-2 Lime CO2</v>
      </c>
      <c r="F44" s="16"/>
      <c r="M44" s="75" t="s">
        <v>118</v>
      </c>
      <c r="N44" s="9" t="str" cm="1">
        <f t="array" ref="N44">Fertiliser_Equations_InorganicN2O.VEERG_5_1_1_2__1_EmissionFactorIrrigatedMaize_Unit()</f>
        <v>kg N2O-N/kg N applied</v>
      </c>
    </row>
    <row r="45" spans="1:24" ht="20.100000000000001" customHeight="1" x14ac:dyDescent="0.2">
      <c r="A45" s="5" t="str">
        <f>HYPERLINK("#'5.4.1.1-4 Atmos deposition'!A1", "5.4.1.1-4 Atmos deposition")</f>
        <v>5.4.1.1-4 Atmos deposition</v>
      </c>
      <c r="F45" s="16"/>
    </row>
    <row r="46" spans="1:24" ht="20.100000000000001" customHeight="1" x14ac:dyDescent="0.2">
      <c r="A46" s="5" t="str">
        <f>HYPERLINK("#'5.5.1.1-2 Leaching and runoff'!A1", "5.5.1.1-2 Leaching and runoff")</f>
        <v>5.5.1.1-2 Leaching and runoff</v>
      </c>
      <c r="D46" s="75" t="s">
        <v>329</v>
      </c>
      <c r="E46" s="1" t="str" cm="1">
        <f t="array" ref="E46">Fertiliser_Equations_InorganicN2O.VEERG_5_1_1_1__1_InorganicFertiliserApplicationN2OEmissions_Variable()</f>
        <v>E_N2O</v>
      </c>
      <c r="F46" s="16"/>
      <c r="M46" s="126" t="str" cm="1">
        <f t="array" ref="M46:N47">_xlfn.CHOOSECOLS(Fertiliser_Equations_InorganicN2O.VEERG_5_1_1_2__1_EmissionFactorIrrigatedMaize_Arguments(), 1, 2)</f>
        <v>N_fjIrrigatedMaize</v>
      </c>
      <c r="N46" s="129" t="str">
        <v>application rate of inorganic fertiliser type f in the irrigated maize crop</v>
      </c>
      <c r="O46" s="224"/>
      <c r="P46" s="126" t="str" cm="1">
        <f t="array" ref="P46:Q47">_xlfn.CHOOSECOLS(Fertiliser_Equations_InorganicN2O.VEERG_5_1_1_2__1_EmissionFactorIrrigatedMaize_Arguments(), 3,4)</f>
        <v>kg N/ha</v>
      </c>
      <c r="Q46" s="114" t="str">
        <v>Input</v>
      </c>
      <c r="R46" s="122">
        <f>$N$35</f>
        <v>182.82499999999999</v>
      </c>
      <c r="S46" s="225"/>
    </row>
    <row r="47" spans="1:24" ht="20.100000000000001" customHeight="1" x14ac:dyDescent="0.2">
      <c r="D47" s="75" t="s">
        <v>118</v>
      </c>
      <c r="E47" s="9" t="str" cm="1">
        <f t="array" ref="E47">Fertiliser_Equations_InorganicN2O.VEERG_5_1_1_1__1_InorganicFertiliserApplicationN2OEmissions_Unit()</f>
        <v>t N2O</v>
      </c>
      <c r="F47" s="16"/>
      <c r="M47" s="126" t="str">
        <v>f</v>
      </c>
      <c r="N47" s="129" t="str">
        <v>Inorganic fertiliser type</v>
      </c>
      <c r="O47" s="224"/>
      <c r="P47" s="126" t="str">
        <v/>
      </c>
      <c r="Q47" s="115" t="str">
        <v>Constant</v>
      </c>
      <c r="R47" s="129" t="s">
        <v>774</v>
      </c>
      <c r="S47" s="225"/>
    </row>
    <row r="48" spans="1:24" ht="20.100000000000001" customHeight="1" x14ac:dyDescent="0.2">
      <c r="F48" s="16"/>
    </row>
    <row r="49" spans="1:19" ht="20.100000000000001" customHeight="1" x14ac:dyDescent="0.2">
      <c r="A49" s="80" t="s">
        <v>1</v>
      </c>
      <c r="D49" s="126" t="str" cm="1">
        <f t="array" ref="D49:E55">_xlfn.CHOOSECOLS(Fertiliser_Equations_InorganicN2O.VEERG_5_1_1_1__1_InorganicFertiliserApplicationN2OEmissions_Arguments(), 1, 2)</f>
        <v>MN_jf</v>
      </c>
      <c r="E49" s="129" t="str">
        <v>mass of nitrogen in inorganic fertiliser type f applied to production system j</v>
      </c>
      <c r="F49" s="224"/>
      <c r="G49" s="126" t="str" cm="1">
        <f t="array" ref="G49:H55">_xlfn.CHOOSECOLS(Fertiliser_Equations_InorganicN2O.VEERG_5_1_1_1__1_InorganicFertiliserApplicationN2OEmissions_Arguments(), 3,4)</f>
        <v>kg N</v>
      </c>
      <c r="H49" s="115" t="str">
        <v>Calculated from 5.1.1.1 (2)</v>
      </c>
      <c r="I49" s="116" t="str" cm="1">
        <f t="array" aca="1" ref="I49" ca="1">HYPERLINK(Common_InputFunctions.Utility_SourceHyperlink(D16), D16)</f>
        <v>Table_MN_j_f</v>
      </c>
      <c r="M49" s="1" t="s">
        <v>775</v>
      </c>
      <c r="N49" s="1" cm="1">
        <f t="array" ref="N49">Fertiliser_Equations_InorganicN2O.VEERG_5_1_1_2__1_EmissionFactorIrrigatedMaize(R46)</f>
        <v>9.6783250000000015E-3</v>
      </c>
      <c r="O49" s="9" t="str">
        <f>N44</f>
        <v>kg N2O-N/kg N applied</v>
      </c>
    </row>
    <row r="50" spans="1:19" ht="20.100000000000001" customHeight="1" x14ac:dyDescent="0.2">
      <c r="A50" s="5" t="str">
        <f>HYPERLINK("#'Constants - Poultry'!A1", "Constants - Poultry")</f>
        <v>Constants - Poultry</v>
      </c>
      <c r="D50" s="126" t="str">
        <v>EF_jN2O</v>
      </c>
      <c r="E50" s="129" t="str">
        <v>emission factor for nitrous oxide for inorganic fertilisers</v>
      </c>
      <c r="F50" s="224"/>
      <c r="G50" s="126" t="str">
        <v>kg N2O-N/kg N applied</v>
      </c>
      <c r="H50" s="115" t="str">
        <v>Constant</v>
      </c>
      <c r="I50" s="126">
        <f>Common_InputFunctions.Utility_LookupN2OEFFromProdIrrigationRainfall(I52,I54,I55,Table_SourceData_Common_EFN2O[Production system only],Table_SourceData_Common_EFN2O[Irrigation method],Table_SourceData_Common_EFN2O[Rainfall zone],Table_SourceData_Common_EFN2O[EFN2O])</f>
        <v>7.0000000000000001E-3</v>
      </c>
    </row>
    <row r="51" spans="1:19" ht="20.100000000000001" customHeight="1" x14ac:dyDescent="0.2">
      <c r="A51" s="5" t="str">
        <f>HYPERLINK("#'Constants - Common livestock'!A1", "Constants - Common Livestock")</f>
        <v>Constants - Common Livestock</v>
      </c>
      <c r="D51" s="126" t="str">
        <v>C_N2O</v>
      </c>
      <c r="E51" s="129" t="str">
        <v>factor to convert elemental mass of nitrous oxide to molecular mass</v>
      </c>
      <c r="F51" s="224"/>
      <c r="G51" s="126" t="str">
        <v/>
      </c>
      <c r="H51" s="115" t="str">
        <v>Constant</v>
      </c>
      <c r="I51" s="126">
        <f>Common_InputFunctions.Utility_LookupValueInTableNumber("N2O",Table_GasToMolecularConversionFactor[Gas],Table_GasToMolecularConversionFactor[Conversion factor combined])</f>
        <v>1.5714285714285714</v>
      </c>
    </row>
    <row r="52" spans="1:19" ht="20.100000000000001" customHeight="1" x14ac:dyDescent="0.2">
      <c r="A52" s="5" t="str">
        <f>HYPERLINK("#'Constants - Electricity'!A1", "Constants - Electricity")</f>
        <v>Constants - Electricity</v>
      </c>
      <c r="D52" s="126" t="str">
        <v>j</v>
      </c>
      <c r="E52" s="129" t="str">
        <v>Production system</v>
      </c>
      <c r="F52" s="224"/>
      <c r="G52" s="126" t="str">
        <v/>
      </c>
      <c r="H52" s="114" t="str">
        <v>Input</v>
      </c>
      <c r="I52" s="126" t="str">
        <f>X_Cell_Fertiliser_ProductionSystem</f>
        <v>Crop</v>
      </c>
    </row>
    <row r="53" spans="1:19" ht="20.100000000000001" customHeight="1" x14ac:dyDescent="0.2">
      <c r="A53" s="5" t="str">
        <f>HYPERLINK("#'Constants - Fertiliser'!A1", "Constants - Fertiliser")</f>
        <v>Constants - Fertiliser</v>
      </c>
      <c r="D53" s="126" t="str">
        <v>f</v>
      </c>
      <c r="E53" s="129" t="str">
        <v>Inorganic fertiliser type</v>
      </c>
      <c r="F53" s="224"/>
      <c r="G53" s="126" t="str">
        <v/>
      </c>
      <c r="H53" s="115" t="str">
        <v>Constant</v>
      </c>
      <c r="I53" s="126" t="str">
        <f>"See " &amp; D57</f>
        <v>See M1_Table_E_N2O</v>
      </c>
      <c r="M53" s="2" t="str" cm="1">
        <f t="array" ref="M53">Fertiliser_Equations_InorganicN2O.VEERG_5_1_1_2__2_EmissionFactorNonIrrigatedGrainsHighRainfall_Title()</f>
        <v>Emission factor for nitrous oxide for non-irrigated grains in high rainfall zone</v>
      </c>
    </row>
    <row r="54" spans="1:19" ht="20.100000000000001" customHeight="1" x14ac:dyDescent="0.2">
      <c r="A54" s="5" t="str">
        <f>HYPERLINK("#'Constants - Fuel'!A1", "Constants - Fuel")</f>
        <v>Constants - Fuel</v>
      </c>
      <c r="D54" s="126" t="str">
        <v>ir</v>
      </c>
      <c r="E54" s="129" t="str">
        <v>irrigation method</v>
      </c>
      <c r="F54" s="224"/>
      <c r="G54" s="126" t="str">
        <v/>
      </c>
      <c r="H54" s="114" t="str">
        <v>Input</v>
      </c>
      <c r="I54" s="126" t="str">
        <f>X_Cell_Fertiliser_IrrigationMethod</f>
        <v>Drip irrigation</v>
      </c>
      <c r="M54" s="17" t="str" cm="1">
        <f t="array" ref="M54">Fertiliser_Equations_InorganicN2O.VEERG_5_1_1_2__2_EmissionFactorNonIrrigatedGrainsHighRainfall_Source()</f>
        <v>VEERG 2026: 5.1.1.2, Equation (2)</v>
      </c>
    </row>
    <row r="55" spans="1:19" ht="20.100000000000001" customHeight="1" x14ac:dyDescent="0.2">
      <c r="A55" s="5" t="str">
        <f>HYPERLINK("#'Constants - Scope 3'!A1", "Constants - Scope 3")</f>
        <v>Constants - Scope 3</v>
      </c>
      <c r="D55" s="126" t="str">
        <v>z</v>
      </c>
      <c r="E55" s="129" t="str">
        <v>rainfall zone</v>
      </c>
      <c r="F55" s="224"/>
      <c r="G55" s="126" t="str">
        <v/>
      </c>
      <c r="H55" s="114" t="str">
        <v>Input</v>
      </c>
      <c r="I55" s="126">
        <f>X_Cell_Site_RainfallZone</f>
        <v>0</v>
      </c>
    </row>
    <row r="56" spans="1:19" ht="20.100000000000001" customHeight="1" x14ac:dyDescent="0.2">
      <c r="A56" s="5" t="str">
        <f>HYPERLINK("#'Constants - Solid Waste'!A1", "Constants - Solid Waste")</f>
        <v>Constants - Solid Waste</v>
      </c>
      <c r="F56" s="16"/>
    </row>
    <row r="57" spans="1:19" ht="20.100000000000001" customHeight="1" x14ac:dyDescent="0.2">
      <c r="A57" s="5" t="str">
        <f>HYPERLINK("#'Constants - Common'!A1", "Constants - Common")</f>
        <v>Constants - Common</v>
      </c>
      <c r="D57" s="118" t="s">
        <v>776</v>
      </c>
      <c r="F57" s="16"/>
      <c r="M57" s="75" t="s">
        <v>329</v>
      </c>
      <c r="N57" s="1" t="str" cm="1">
        <f t="array" ref="N57">Fertiliser_Equations_InorganicN2O.VEERG_5_1_1_2__2_EmissionFactorNonIrrigatedGrainsHighRainfall_Variable()</f>
        <v>EF_fjNonIrrigatedGrainsN2O</v>
      </c>
    </row>
    <row r="58" spans="1:19" ht="20.100000000000001" customHeight="1" x14ac:dyDescent="0.2">
      <c r="D58" s="119" t="s">
        <v>777</v>
      </c>
      <c r="F58" s="16"/>
      <c r="M58" s="75" t="s">
        <v>118</v>
      </c>
      <c r="N58" s="9" t="str" cm="1">
        <f t="array" ref="N58">Fertiliser_Equations_InorganicN2O.VEERG_5_1_1_2__2_EmissionFactorNonIrrigatedGrainsHighRainfall_Unit()</f>
        <v>kg N2O-N/kg N applied</v>
      </c>
    </row>
    <row r="59" spans="1:19" ht="20.100000000000001" customHeight="1" x14ac:dyDescent="0.2">
      <c r="D59" s="120" t="s">
        <v>766</v>
      </c>
      <c r="E59" s="120" t="s">
        <v>778</v>
      </c>
    </row>
    <row r="60" spans="1:19" ht="20.100000000000001" customHeight="1" x14ac:dyDescent="0.2">
      <c r="D60" s="15" t="str" cm="1">
        <f t="array" ref="D60:D78">Table_Fertiliser_ChemicalCompounds[Fertiliser type f]</f>
        <v>Monoammonium phosphate (MAP)</v>
      </c>
      <c r="E60" s="15" cm="1">
        <f t="array" ref="E60">Fertiliser_Equations_InorganicN2O.VEERG_5_1_1_1__1_InorganicFertiliserApplicationN2OEmissions(G19,$I$50,$I$51)</f>
        <v>0</v>
      </c>
      <c r="F60" s="16" t="str">
        <f>E47</f>
        <v>t N2O</v>
      </c>
      <c r="M60" s="126" t="str" cm="1">
        <f t="array" ref="M60:N61">_xlfn.CHOOSECOLS(Fertiliser_Equations_InorganicN2O.VEERG_5_1_1_2__2_EmissionFactorNonIrrigatedGrainsHighRainfall_Arguments(), 1, 2)</f>
        <v>N_fjNonIrrigatedGrains</v>
      </c>
      <c r="N60" s="129" t="str">
        <v>application rate of inorganic fertiliser type f in the grains crop</v>
      </c>
      <c r="O60" s="224"/>
      <c r="P60" s="126" t="str" cm="1">
        <f t="array" ref="P60:Q61">_xlfn.CHOOSECOLS(Fertiliser_Equations_InorganicN2O.VEERG_5_1_1_2__2_EmissionFactorNonIrrigatedGrainsHighRainfall_Arguments(), 3,4)</f>
        <v>kg N/ha</v>
      </c>
      <c r="Q60" s="114" t="str">
        <v>Input</v>
      </c>
      <c r="R60" s="122">
        <f>$N$35</f>
        <v>182.82499999999999</v>
      </c>
      <c r="S60" s="225"/>
    </row>
    <row r="61" spans="1:19" ht="20.100000000000001" customHeight="1" x14ac:dyDescent="0.2">
      <c r="D61" s="15" t="str">
        <v>Diammonium phosphate (DAP)</v>
      </c>
      <c r="E61" s="15" cm="1">
        <f t="array" ref="E61">Fertiliser_Equations_InorganicN2O.VEERG_5_1_1_1__1_InorganicFertiliserApplicationN2OEmissions(G20,$I$50,$I$51)</f>
        <v>0</v>
      </c>
      <c r="M61" s="126" t="str">
        <v>f</v>
      </c>
      <c r="N61" s="129" t="str">
        <v>Inorganic fertiliser type</v>
      </c>
      <c r="O61" s="224"/>
      <c r="P61" s="126" t="str">
        <v/>
      </c>
      <c r="Q61" s="115" t="str">
        <v>Constant</v>
      </c>
      <c r="R61" s="129" t="s">
        <v>774</v>
      </c>
      <c r="S61" s="223"/>
    </row>
    <row r="62" spans="1:19" ht="20.100000000000001" customHeight="1" x14ac:dyDescent="0.2">
      <c r="D62" s="15" t="str">
        <v>Urea</v>
      </c>
      <c r="E62" s="15" cm="1">
        <f t="array" ref="E62">Fertiliser_Equations_InorganicN2O.VEERG_5_1_1_1__1_InorganicFertiliserApplicationN2OEmissions(G21,$I$50,$I$51)</f>
        <v>0.12759999340000003</v>
      </c>
    </row>
    <row r="63" spans="1:19" ht="20.100000000000001" customHeight="1" x14ac:dyDescent="0.2">
      <c r="D63" s="15" t="str">
        <v>Sulphate of ammonia (SOA)</v>
      </c>
      <c r="E63" s="15" cm="1">
        <f t="array" ref="E63">Fertiliser_Equations_InorganicN2O.VEERG_5_1_1_1__1_InorganicFertiliserApplicationN2OEmissions(G22,$I$50,$I$51)</f>
        <v>0</v>
      </c>
      <c r="M63" s="75" t="s">
        <v>779</v>
      </c>
      <c r="N63" s="1" cm="1">
        <f t="array" ref="N63">Fertiliser_Equations_InorganicN2O.VEERG_5_1_1_2__2_EmissionFactorNonIrrigatedGrainsHighRainfall(R60)</f>
        <v>1.4492874999999999E-2</v>
      </c>
      <c r="O63" s="9" t="str">
        <f>N58</f>
        <v>kg N2O-N/kg N applied</v>
      </c>
    </row>
    <row r="64" spans="1:19" ht="20.100000000000001" customHeight="1" x14ac:dyDescent="0.2">
      <c r="D64" s="15" t="str">
        <v>Urea-ammonium nitrate (UAN)</v>
      </c>
      <c r="E64" s="15" cm="1">
        <f t="array" ref="E64">Fertiliser_Equations_InorganicN2O.VEERG_5_1_1_1__1_InorganicFertiliserApplicationN2OEmissions(G23,$I$50,$I$51)</f>
        <v>0</v>
      </c>
    </row>
    <row r="65" spans="1:20" ht="20.100000000000001" customHeight="1" x14ac:dyDescent="0.2">
      <c r="D65" s="15" t="str">
        <v>Ammonium nitrate (AN)</v>
      </c>
      <c r="E65" s="15" cm="1">
        <f t="array" ref="E65">Fertiliser_Equations_InorganicN2O.VEERG_5_1_1_1__1_InorganicFertiliserApplicationN2OEmissions(G24,$I$50,$I$51)</f>
        <v>0</v>
      </c>
    </row>
    <row r="66" spans="1:20" ht="20.100000000000001" customHeight="1" x14ac:dyDescent="0.2">
      <c r="D66" s="15" t="str">
        <v>Calcium ammonium nitrate (CAN)</v>
      </c>
      <c r="E66" s="15" cm="1">
        <f t="array" ref="E66">Fertiliser_Equations_InorganicN2O.VEERG_5_1_1_1__1_InorganicFertiliserApplicationN2OEmissions(G25,$I$50,$I$51)</f>
        <v>0</v>
      </c>
      <c r="M66" s="2" t="str" cm="1">
        <f t="array" ref="M66">Fertiliser_Equations_InorganicN2O.VEERG_5_1_1_2__3_EmissionFactorCotton_Title()</f>
        <v>Emission factor for nitrous oxide for cotton</v>
      </c>
    </row>
    <row r="67" spans="1:20" ht="20.100000000000001" customHeight="1" x14ac:dyDescent="0.2">
      <c r="D67" s="15" t="str">
        <v>Nitrogen - Ammoniacal</v>
      </c>
      <c r="E67" s="15" cm="1">
        <f t="array" ref="E67">Fertiliser_Equations_InorganicN2O.VEERG_5_1_1_1__1_InorganicFertiliserApplicationN2OEmissions(G26,$I$50,$I$51)</f>
        <v>1.3639999999999999E-2</v>
      </c>
      <c r="M67" s="17" t="str" cm="1">
        <f t="array" ref="M67">Fertiliser_Equations_InorganicN2O.VEERG_5_1_1_2__3_EmissionFactorCotton_Source()</f>
        <v>VEERG 2026: 5.1.1.2, Equation (3)</v>
      </c>
    </row>
    <row r="68" spans="1:20" ht="20.100000000000001" customHeight="1" x14ac:dyDescent="0.2">
      <c r="A68" s="79" t="str">
        <f>HYPERLINK("#A1", "▲ Back to top")</f>
        <v>▲ Back to top</v>
      </c>
      <c r="D68" s="15" t="str">
        <v>Nitrogen - Nitrate</v>
      </c>
      <c r="E68" s="15" cm="1">
        <f t="array" ref="E68">Fertiliser_Equations_InorganicN2O.VEERG_5_1_1_1__1_InorganicFertiliserApplicationN2OEmissions(G27,$I$50,$I$51)</f>
        <v>6.0499999999999998E-3</v>
      </c>
    </row>
    <row r="69" spans="1:20" ht="20.100000000000001" customHeight="1" x14ac:dyDescent="0.2">
      <c r="D69" s="15" t="str">
        <v>Nitrogen - Generic</v>
      </c>
      <c r="E69" s="15" cm="1">
        <f t="array" ref="E69">Fertiliser_Equations_InorganicN2O.VEERG_5_1_1_1__1_InorganicFertiliserApplicationN2OEmissions(G28,$I$50,$I$51)</f>
        <v>0</v>
      </c>
    </row>
    <row r="70" spans="1:20" ht="20.100000000000001" customHeight="1" x14ac:dyDescent="0.2">
      <c r="D70" s="15" t="str">
        <v>Phosphorus - Generic</v>
      </c>
      <c r="E70" s="15" cm="1">
        <f t="array" ref="E70">Fertiliser_Equations_InorganicN2O.VEERG_5_1_1_1__1_InorganicFertiliserApplicationN2OEmissions(G29,$I$50,$I$51)</f>
        <v>0</v>
      </c>
    </row>
    <row r="71" spans="1:20" ht="20.100000000000001" customHeight="1" x14ac:dyDescent="0.2">
      <c r="D71" s="15" t="str">
        <v>Potassium - Generic</v>
      </c>
      <c r="E71" s="15" cm="1">
        <f t="array" ref="E71">Fertiliser_Equations_InorganicN2O.VEERG_5_1_1_1__1_InorganicFertiliserApplicationN2OEmissions(G30,$I$50,$I$51)</f>
        <v>0</v>
      </c>
      <c r="M71" s="75" t="s">
        <v>329</v>
      </c>
      <c r="N71" s="1" t="str" cm="1">
        <f t="array" ref="N71">Fertiliser_Equations_InorganicN2O.VEERG_5_1_1_2__3_EmissionFactorCotton_Variable()</f>
        <v>EF_fjCottonN2O</v>
      </c>
    </row>
    <row r="72" spans="1:20" ht="20.100000000000001" customHeight="1" x14ac:dyDescent="0.2">
      <c r="D72" s="15" t="str">
        <v>Sulfur - Generic</v>
      </c>
      <c r="E72" s="15" cm="1">
        <f t="array" ref="E72">Fertiliser_Equations_InorganicN2O.VEERG_5_1_1_1__1_InorganicFertiliserApplicationN2OEmissions(G31,$I$50,$I$51)</f>
        <v>0</v>
      </c>
      <c r="M72" s="75" t="s">
        <v>118</v>
      </c>
      <c r="N72" s="9" t="str" cm="1">
        <f t="array" ref="N72">Fertiliser_Equations_InorganicN2O.VEERG_5_1_1_2__3_EmissionFactorCotton_Unit()</f>
        <v>kg N2O-N/kg N applied</v>
      </c>
    </row>
    <row r="73" spans="1:20" ht="20.100000000000001" customHeight="1" x14ac:dyDescent="0.2">
      <c r="D73" s="15" t="str">
        <v>Zinc - Generic</v>
      </c>
      <c r="E73" s="15" cm="1">
        <f t="array" ref="E73">Fertiliser_Equations_InorganicN2O.VEERG_5_1_1_1__1_InorganicFertiliserApplicationN2OEmissions(G32,$I$50,$I$51)</f>
        <v>0</v>
      </c>
    </row>
    <row r="74" spans="1:20" ht="20.100000000000001" customHeight="1" x14ac:dyDescent="0.2">
      <c r="D74" s="15" t="str">
        <v>Muriate of potash (MOP)</v>
      </c>
      <c r="E74" s="15" cm="1">
        <f t="array" ref="E74">Fertiliser_Equations_InorganicN2O.VEERG_5_1_1_1__1_InorganicFertiliserApplicationN2OEmissions(G33,$I$50,$I$51)</f>
        <v>0</v>
      </c>
      <c r="M74" s="221" t="s">
        <v>780</v>
      </c>
      <c r="N74" s="221"/>
      <c r="O74" s="221"/>
      <c r="P74" s="221"/>
      <c r="Q74" s="221"/>
      <c r="R74" s="221"/>
      <c r="S74" s="221"/>
      <c r="T74" s="221"/>
    </row>
    <row r="75" spans="1:20" ht="20.100000000000001" customHeight="1" x14ac:dyDescent="0.2">
      <c r="D75" s="15" t="str">
        <v>Double superphosphate</v>
      </c>
      <c r="E75" s="15" cm="1">
        <f t="array" ref="E75">Fertiliser_Equations_InorganicN2O.VEERG_5_1_1_1__1_InorganicFertiliserApplicationN2OEmissions(G34,$I$50,$I$51)</f>
        <v>0</v>
      </c>
    </row>
    <row r="76" spans="1:20" ht="20.100000000000001" customHeight="1" x14ac:dyDescent="0.2">
      <c r="D76" s="15" t="str">
        <v>Single superphosphate (SSP)</v>
      </c>
      <c r="E76" s="15" cm="1">
        <f t="array" ref="E76">Fertiliser_Equations_InorganicN2O.VEERG_5_1_1_1__1_InorganicFertiliserApplicationN2OEmissions(G35,$I$50,$I$51)</f>
        <v>0</v>
      </c>
      <c r="M76" s="126" t="str" cm="1">
        <f t="array" ref="M76:N77">_xlfn.CHOOSECOLS(Fertiliser_Equations_InorganicN2O.VEERG_5_1_1_2__3_EmissionFactorCotton_Arguments(), 1, 2)</f>
        <v>N_fjCotton</v>
      </c>
      <c r="N76" s="129" t="str">
        <v>application rate of inorganic fertiliser type f in the cotton crop</v>
      </c>
      <c r="O76" s="224"/>
      <c r="P76" s="129" t="str" cm="1">
        <f t="array" ref="P76:Q77">_xlfn.CHOOSECOLS(Fertiliser_Equations_InorganicN2O.VEERG_5_1_1_2__3_EmissionFactorCotton_Arguments(), 3,4)</f>
        <v>kg N/ha</v>
      </c>
      <c r="Q76" s="114" t="str">
        <v>Input</v>
      </c>
      <c r="R76" s="122">
        <f>MIN(300, $N$35)</f>
        <v>182.82499999999999</v>
      </c>
      <c r="S76" s="225"/>
    </row>
    <row r="77" spans="1:20" ht="20.100000000000001" customHeight="1" x14ac:dyDescent="0.2">
      <c r="D77" s="15" t="str">
        <v>Ammonia</v>
      </c>
      <c r="E77" s="15" cm="1">
        <f t="array" ref="E77">Fertiliser_Equations_InorganicN2O.VEERG_5_1_1_1__1_InorganicFertiliserApplicationN2OEmissions(G36,$I$50,$I$51)</f>
        <v>4.5292500000000006E-2</v>
      </c>
      <c r="M77" s="126" t="str">
        <v>f</v>
      </c>
      <c r="N77" s="129" t="str">
        <v>Inorganic fertiliser type</v>
      </c>
      <c r="O77" s="224"/>
      <c r="P77" s="129" t="str">
        <v/>
      </c>
      <c r="Q77" s="115" t="str">
        <v>Constant</v>
      </c>
      <c r="R77" s="129" t="s">
        <v>774</v>
      </c>
      <c r="S77" s="223"/>
    </row>
    <row r="78" spans="1:20" ht="20.100000000000001" customHeight="1" x14ac:dyDescent="0.2">
      <c r="D78" s="15" t="str">
        <v>Calcium nitrate</v>
      </c>
      <c r="E78" s="15" cm="1">
        <f t="array" ref="E78">Fertiliser_Equations_InorganicN2O.VEERG_5_1_1_1__1_InorganicFertiliserApplicationN2OEmissions(G37,$I$50,$I$51)</f>
        <v>8.5250000000000013E-3</v>
      </c>
    </row>
    <row r="79" spans="1:20" ht="20.100000000000001" customHeight="1" x14ac:dyDescent="0.2">
      <c r="M79" s="75" t="s">
        <v>779</v>
      </c>
      <c r="N79" s="1" cm="1">
        <f t="array" ref="N79">Fertiliser_Equations_InorganicN2O.VEERG_5_1_1_2__3_EmissionFactorCotton(R76)</f>
        <v>3.231403335233797E-5</v>
      </c>
      <c r="O79" s="9" t="str">
        <f>N72</f>
        <v>kg N2O-N/kg N applied</v>
      </c>
    </row>
    <row r="80" spans="1:20" ht="20.100000000000001" customHeight="1" x14ac:dyDescent="0.2">
      <c r="D80" s="85" t="s">
        <v>781</v>
      </c>
      <c r="E80" s="86">
        <f>SUM(E60:E78)</f>
        <v>0.20110749340000006</v>
      </c>
      <c r="F80" s="95" t="str">
        <f>$E$47</f>
        <v>t N2O</v>
      </c>
    </row>
    <row r="82" spans="4:24" ht="20.100000000000001" customHeight="1" x14ac:dyDescent="0.2">
      <c r="D82" s="126" t="str" cm="1">
        <f t="array" ref="D82:E83">Common_Equations.Common_ConvertN2OToCO2e_Arguments()</f>
        <v>EN2O</v>
      </c>
      <c r="E82" s="129" t="str">
        <v>Nitrous oxide emissions (t N2O)</v>
      </c>
      <c r="F82" s="130"/>
      <c r="G82" s="15">
        <f>VEERG_5_1_1_1__1_InorganicFertiliserApplicationN2OEmissions_Result_Method1</f>
        <v>0.20110749340000006</v>
      </c>
      <c r="L82" s="83"/>
      <c r="M82" s="83"/>
      <c r="N82" s="83"/>
      <c r="O82" s="83"/>
      <c r="P82" s="83"/>
      <c r="Q82" s="83"/>
      <c r="R82" s="83"/>
      <c r="S82" s="83"/>
      <c r="T82" s="83"/>
      <c r="U82" s="83"/>
      <c r="V82" s="83"/>
      <c r="W82" s="83"/>
      <c r="X82" s="83"/>
    </row>
    <row r="83" spans="4:24" ht="20.100000000000001" customHeight="1" x14ac:dyDescent="0.2">
      <c r="D83" s="126" t="str">
        <v>GWPN2O</v>
      </c>
      <c r="E83" s="129" t="str">
        <v>Global warming potential for nitrous oxide (t CO2-e / t N2O)</v>
      </c>
      <c r="F83" s="130"/>
      <c r="G83" s="15">
        <f>Common_InputFunctions.Utility_LookupValueInTableNumber("N2O",Table_GWPData[Gas],Table_GWPData[CO2-e factor])</f>
        <v>265</v>
      </c>
      <c r="M83" s="2" t="str" cm="1">
        <f t="array" ref="M83">Fertiliser_Equations_InorganicN2O.VEERG_5_1_1_1__1_InorganicFertiliserApplicationN2OEmissions_Title()</f>
        <v>Nitrous oxide emissions from the application of all inorganic fertiliser types f to all production systems j</v>
      </c>
    </row>
    <row r="84" spans="4:24" ht="20.100000000000001" customHeight="1" x14ac:dyDescent="0.2">
      <c r="M84" s="17" t="str" cm="1">
        <f t="array" ref="M84">Fertiliser_Equations_InorganicN2O.VEERG_5_1_1_1__1_InorganicFertiliserApplicationN2OEmissions_Source()</f>
        <v>VEERG 2026: 5.1.1.1, Equation (1)</v>
      </c>
    </row>
    <row r="85" spans="4:24" ht="20.100000000000001" customHeight="1" x14ac:dyDescent="0.2">
      <c r="D85" s="83" t="s">
        <v>377</v>
      </c>
      <c r="E85" s="83" cm="1">
        <f t="array" ref="E85">Common_Equations.Common_ConvertN2OToCO2e(G82,G83)</f>
        <v>53.293485751000013</v>
      </c>
      <c r="F85" s="89" t="str" cm="1">
        <f t="array" ref="F85">Common_Equations.Common_ConvertN2OToCO2e_Unit()</f>
        <v>t CO2e</v>
      </c>
      <c r="M85" s="112" t="s">
        <v>328</v>
      </c>
      <c r="N85" s="112" t="str" cm="1">
        <f t="array" aca="1" ref="N85" ca="1">Common_InputFunctions.Utility_DisplayFunctionName($E$60)</f>
        <v>=Fertiliser_Equations_InorganicN2O.VEERG_5_1_1_1__1_InorganicFertiliserApplicationN2OEmissions</v>
      </c>
    </row>
    <row r="89" spans="4:24" ht="20.100000000000001" customHeight="1" x14ac:dyDescent="0.2">
      <c r="M89" s="75" t="s">
        <v>329</v>
      </c>
      <c r="N89" s="1" t="str" cm="1">
        <f t="array" ref="N89">Fertiliser_Equations_InorganicN2O.VEERG_5_1_1_1__1_InorganicFertiliserApplicationN2OEmissions_Variable()</f>
        <v>E_N2O</v>
      </c>
    </row>
    <row r="90" spans="4:24" ht="20.100000000000001" customHeight="1" x14ac:dyDescent="0.2">
      <c r="M90" s="75" t="s">
        <v>118</v>
      </c>
      <c r="N90" s="9" t="str" cm="1">
        <f t="array" ref="N90">Fertiliser_Equations_InorganicN2O.VEERG_5_1_1_1__1_InorganicFertiliserApplicationN2OEmissions_Unit()</f>
        <v>t N2O</v>
      </c>
    </row>
    <row r="92" spans="4:24" ht="20.100000000000001" customHeight="1" x14ac:dyDescent="0.2">
      <c r="M92" s="126" t="str" cm="1">
        <f t="array" ref="M92:N99">_xlfn.CHOOSECOLS(Fertiliser_Equations_InorganicN2O.VEERG_5_1_1_1__1_InorganicFertiliserApplicationN2OEmissions_Arguments_Method2(), 1, 2)</f>
        <v>MN_jf</v>
      </c>
      <c r="N92" s="129" t="str">
        <v>mass of nitrogen in inorganic fertiliser type f applied to production system j</v>
      </c>
      <c r="O92" s="224"/>
      <c r="P92" s="223"/>
      <c r="Q92" s="126" t="str" cm="1">
        <f t="array" ref="Q92:R99">_xlfn.CHOOSECOLS(Fertiliser_Equations_InorganicN2O.VEERG_5_1_1_1__1_InorganicFertiliserApplicationN2OEmissions_Arguments_Method2(), 3,4)</f>
        <v>kg N</v>
      </c>
      <c r="R92" s="115" t="str">
        <v>Calculated from 5.1.1.1 (2)</v>
      </c>
      <c r="S92" s="113">
        <f>N33</f>
        <v>18282.5</v>
      </c>
    </row>
    <row r="93" spans="4:24" ht="20.100000000000001" customHeight="1" x14ac:dyDescent="0.2">
      <c r="M93" s="126" t="str">
        <v>EF_jN2O</v>
      </c>
      <c r="N93" s="129" t="str">
        <v>emission factor for nitrous oxide for inorganic fertilisers</v>
      </c>
      <c r="O93" s="224"/>
      <c r="P93" s="223"/>
      <c r="Q93" s="126" t="str">
        <v>kg N2O-N/kg N applied</v>
      </c>
      <c r="R93" s="115" t="str">
        <v>Calculated from 5.1.1.2 (1)(2)(3)</v>
      </c>
      <c r="S93" s="113">
        <f>_xlfn.XLOOKUP(TRUE,N105:N108,O105:O108)</f>
        <v>9.6783250000000015E-3</v>
      </c>
    </row>
    <row r="94" spans="4:24" ht="20.100000000000001" customHeight="1" x14ac:dyDescent="0.2">
      <c r="M94" s="126" t="str">
        <v>C_N2O</v>
      </c>
      <c r="N94" s="129" t="str">
        <v>factor to convert elemental mass of nitrous oxide to molecular mass</v>
      </c>
      <c r="O94" s="224"/>
      <c r="P94" s="223"/>
      <c r="Q94" s="126" t="str">
        <v/>
      </c>
      <c r="R94" s="115" t="str">
        <v>Constant</v>
      </c>
      <c r="S94" s="126">
        <f>Common_InputFunctions.Utility_LookupValueInTableNumber("N2O",Table_GasToMolecularConversionFactor[Gas],Table_GasToMolecularConversionFactor[Conversion factor combined])</f>
        <v>1.5714285714285714</v>
      </c>
    </row>
    <row r="95" spans="4:24" ht="20.100000000000001" customHeight="1" x14ac:dyDescent="0.2">
      <c r="M95" s="126" t="str">
        <v>j</v>
      </c>
      <c r="N95" s="129" t="str">
        <v>Production system</v>
      </c>
      <c r="O95" s="224"/>
      <c r="P95" s="223"/>
      <c r="Q95" s="126" t="str">
        <v/>
      </c>
      <c r="R95" s="114" t="str">
        <v>Input</v>
      </c>
      <c r="S95" s="126" t="str">
        <f>X_Cell_Fertiliser_ProductionSystem</f>
        <v>Crop</v>
      </c>
    </row>
    <row r="96" spans="4:24" ht="20.100000000000001" customHeight="1" x14ac:dyDescent="0.2">
      <c r="M96" s="126" t="str">
        <v>c</v>
      </c>
      <c r="N96" s="129" t="str">
        <v>Crop type</v>
      </c>
      <c r="O96" s="224"/>
      <c r="P96" s="223"/>
      <c r="Q96" s="126" t="str">
        <v/>
      </c>
      <c r="R96" s="114" t="str">
        <v>Input</v>
      </c>
      <c r="S96" s="126" t="str">
        <f>X_Cell_Fertiliser_CropType</f>
        <v>Maize</v>
      </c>
    </row>
    <row r="97" spans="1:19" ht="20.100000000000001" customHeight="1" x14ac:dyDescent="0.2">
      <c r="M97" s="126" t="str">
        <v>f</v>
      </c>
      <c r="N97" s="129" t="str">
        <v>Inorganic fertiliser type</v>
      </c>
      <c r="O97" s="224"/>
      <c r="P97" s="223"/>
      <c r="Q97" s="126" t="str">
        <v/>
      </c>
      <c r="R97" s="115" t="str">
        <v>Constant</v>
      </c>
      <c r="S97" s="126" t="s">
        <v>782</v>
      </c>
    </row>
    <row r="98" spans="1:19" ht="20.100000000000001" customHeight="1" x14ac:dyDescent="0.2">
      <c r="A98" s="79" t="str">
        <f>HYPERLINK("#A1", "▲ Back to top")</f>
        <v>▲ Back to top</v>
      </c>
      <c r="M98" s="126" t="str">
        <v>ir</v>
      </c>
      <c r="N98" s="129" t="str">
        <v>irrigation method</v>
      </c>
      <c r="O98" s="224"/>
      <c r="P98" s="223"/>
      <c r="Q98" s="126" t="str">
        <v/>
      </c>
      <c r="R98" s="114" t="str">
        <v>Input</v>
      </c>
      <c r="S98" s="126" t="str">
        <f>X_Cell_Fertiliser_IrrigationMethod</f>
        <v>Drip irrigation</v>
      </c>
    </row>
    <row r="99" spans="1:19" ht="20.100000000000001" customHeight="1" x14ac:dyDescent="0.2">
      <c r="M99" s="129" t="str">
        <v>z</v>
      </c>
      <c r="N99" s="129" t="str">
        <v>rainfall zone</v>
      </c>
      <c r="O99" s="224"/>
      <c r="P99" s="224"/>
      <c r="Q99" s="126" t="str">
        <v/>
      </c>
      <c r="R99" s="114" t="str">
        <v>Input</v>
      </c>
      <c r="S99" s="126">
        <f>X_Cell_Site_RainfallZone</f>
        <v>0</v>
      </c>
    </row>
    <row r="102" spans="1:19" ht="20.100000000000001" customHeight="1" x14ac:dyDescent="0.2">
      <c r="M102" s="118" t="s">
        <v>783</v>
      </c>
    </row>
    <row r="103" spans="1:19" ht="20.100000000000001" customHeight="1" x14ac:dyDescent="0.2">
      <c r="M103" s="119" t="s">
        <v>784</v>
      </c>
    </row>
    <row r="104" spans="1:19" ht="20.100000000000001" customHeight="1" x14ac:dyDescent="0.2">
      <c r="M104" s="120" t="s">
        <v>311</v>
      </c>
      <c r="N104" s="120" t="s">
        <v>785</v>
      </c>
      <c r="O104" s="120" t="s">
        <v>786</v>
      </c>
    </row>
    <row r="105" spans="1:19" ht="20.100000000000001" customHeight="1" x14ac:dyDescent="0.2">
      <c r="M105" s="15" t="s">
        <v>787</v>
      </c>
      <c r="N105" s="15" t="b">
        <f>IF(AND(S96="Maize", NOT(S98="Not irrigated")), TRUE)</f>
        <v>1</v>
      </c>
      <c r="O105" s="15">
        <f>N49</f>
        <v>9.6783250000000015E-3</v>
      </c>
    </row>
    <row r="106" spans="1:19" ht="20.100000000000001" customHeight="1" x14ac:dyDescent="0.2">
      <c r="M106" s="15" t="s">
        <v>788</v>
      </c>
      <c r="N106" s="15" t="b">
        <f>IF(AND(S96="Grains", S98="Not irrigated", S99="High rainfall"), TRUE)</f>
        <v>0</v>
      </c>
      <c r="O106" s="15">
        <f>N63</f>
        <v>1.4492874999999999E-2</v>
      </c>
    </row>
    <row r="107" spans="1:19" ht="20.100000000000001" customHeight="1" x14ac:dyDescent="0.2">
      <c r="M107" s="15" t="s">
        <v>789</v>
      </c>
      <c r="N107" s="15" t="b">
        <f>IF(S96="Cotton", TRUE)</f>
        <v>0</v>
      </c>
      <c r="O107" s="226">
        <f>N79</f>
        <v>3.231403335233797E-5</v>
      </c>
    </row>
    <row r="108" spans="1:19" ht="20.100000000000001" customHeight="1" x14ac:dyDescent="0.2">
      <c r="M108" s="15" t="s">
        <v>790</v>
      </c>
      <c r="N108" s="15" t="b">
        <f>IF(AND(N105=FALSE, N107=FALSE, N106=FALSE),TRUE)</f>
        <v>0</v>
      </c>
      <c r="O108" s="15" cm="1">
        <f t="array" ref="O108">Common_InputFunctions.Utility_LookupN2OEFFromProdIrrigationRainfall($S$95,$S$98,$S$99,Table_SourceData_Common_EFN2O[Production system only],Table_SourceData_Common_EFN2O[Irrigation method],Table_SourceData_Common_EFN2O[Rainfall zone],Table_SourceData_Common_EFN2O[EFN2O])</f>
        <v>7.0000000000000001E-3</v>
      </c>
    </row>
    <row r="110" spans="1:19" ht="20.100000000000001" customHeight="1" x14ac:dyDescent="0.2">
      <c r="M110" s="85" t="s">
        <v>781</v>
      </c>
      <c r="N110" s="86" cm="1">
        <f t="array" ref="N110">Fertiliser_Equations_InorganicN2O.VEERG_5_1_1_1__1_InorganicFertiliserApplicationN2OEmissions(S92,S93,$S$94)</f>
        <v>0.2780548207053572</v>
      </c>
      <c r="O110" s="95" t="str">
        <f>$E$47</f>
        <v>t N2O</v>
      </c>
    </row>
    <row r="112" spans="1:19" ht="20.100000000000001" customHeight="1" x14ac:dyDescent="0.2">
      <c r="M112" s="126" t="str" cm="1">
        <f t="array" ref="M112:N113">Common_Equations.Common_ConvertN2OToCO2e_Arguments()</f>
        <v>EN2O</v>
      </c>
      <c r="N112" s="129" t="str">
        <v>Nitrous oxide emissions (t N2O)</v>
      </c>
      <c r="O112" s="130"/>
      <c r="P112" s="15">
        <f>VEERG_5_1_1_1__1_InorganicFertiliserApplicationN2OEmissions_Result_Method2</f>
        <v>0.2780548207053572</v>
      </c>
    </row>
    <row r="113" spans="13:16" ht="20.100000000000001" customHeight="1" x14ac:dyDescent="0.2">
      <c r="M113" s="126" t="str">
        <v>GWPN2O</v>
      </c>
      <c r="N113" s="129" t="str">
        <v>Global warming potential for nitrous oxide (t CO2-e / t N2O)</v>
      </c>
      <c r="O113" s="130"/>
      <c r="P113" s="15">
        <f>Common_InputFunctions.Utility_LookupValueInTableNumber("N2O",Table_GWPData[Gas],Table_GWPData[CO2-e factor])</f>
        <v>265</v>
      </c>
    </row>
    <row r="115" spans="13:16" ht="20.100000000000001" customHeight="1" x14ac:dyDescent="0.2">
      <c r="M115" s="83" t="s">
        <v>377</v>
      </c>
      <c r="N115" s="83" cm="1">
        <f t="array" ref="N115">Common_Equations.Common_ConvertN2OToCO2e(P112,P113)</f>
        <v>73.684527486919663</v>
      </c>
      <c r="O115" s="89" t="str" cm="1">
        <f t="array" ref="O115">Common_Equations.Common_ConvertN2OToCO2e_Unit()</f>
        <v>t CO2e</v>
      </c>
    </row>
    <row r="341" spans="8:8" ht="20.100000000000001" customHeight="1" x14ac:dyDescent="0.2">
      <c r="H341" s="8"/>
    </row>
    <row r="342" spans="8:8" ht="20.100000000000001" customHeight="1" x14ac:dyDescent="0.2">
      <c r="H342" s="8"/>
    </row>
  </sheetData>
  <dataValidations count="1">
    <dataValidation operator="equal" allowBlank="1" showInputMessage="1" showErrorMessage="1" sqref="N172:W172 E269 E228 R167:W167 G132 I129:I133 F134:I134 F129:F132 H128:H132 G129 F148:I148 I149 F150:I150" xr:uid="{24EBC6DC-EDB2-4A5C-83A0-FDFFDDC1F9C6}"/>
  </dataValidations>
  <pageMargins left="0.7" right="0.7" top="0.75" bottom="0.75" header="0.3" footer="0.3"/>
  <pageSetup paperSize="9" orientation="portrait" r:id="rId1"/>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B39374-9720-4F44-8238-BB452483AB43}">
  <sheetPr>
    <tabColor rgb="FF008000"/>
  </sheetPr>
  <dimension ref="A1:U78"/>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791</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Fertiliser_Equations_InorganicCO2.VEERG_5_1_1_3__2_MassOfUreaInInorganicFertiliser_Title()</f>
        <v>Mass of urea applied to production system</v>
      </c>
    </row>
    <row r="6" spans="1:21" ht="20.100000000000001" customHeight="1" x14ac:dyDescent="0.2">
      <c r="D6" s="17" t="str" cm="1">
        <f t="array" ref="D6">Fertiliser_Equations_InorganicCO2.VEERG_5_1_1_3__2_MassOfUreaInInorganicFertiliser_Source()</f>
        <v>VEERG 2026: 5.1.1.3, Equation (2)</v>
      </c>
    </row>
    <row r="7" spans="1:21" ht="20.100000000000001" customHeight="1" x14ac:dyDescent="0.2">
      <c r="D7" s="112" t="s">
        <v>328</v>
      </c>
      <c r="E7" s="112" t="str" cm="1">
        <f t="array" aca="1" ref="E7" ca="1">Common_InputFunctions.Utility_DisplayFunctionName(G19)</f>
        <v>=Fertiliser_Equations_InorganicCO2.VEERG_5_1_1_3__2_MassOfUreaInInorganicFertiliser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Fertiliser_Equations_InorganicCO2.VEERG_5_1_1_3__2_MassOfUreaInInorganicFertiliser_Variable()</f>
        <v>MU_jf</v>
      </c>
    </row>
    <row r="11" spans="1:21" ht="20.100000000000001" customHeight="1" x14ac:dyDescent="0.2">
      <c r="A11" s="5" t="str">
        <f>HYPERLINK("#'Input - Poultry'!A1", "Poultry")</f>
        <v>Poultry</v>
      </c>
      <c r="D11" s="75" t="s">
        <v>118</v>
      </c>
      <c r="E11" s="9" t="str" cm="1">
        <f t="array" ref="E11">Fertiliser_Equations_InorganicCO2.VEERG_5_1_1_3__2_MassOfUreaInInorganicFertiliser_Unit()</f>
        <v>kg urea</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26" t="str" cm="1">
        <f t="array" ref="D13:E14">_xlfn.CHOOSECOLS(Fertiliser_Equations_InorganicCO2.VEERG_5_1_1_3__2_MassOfUreaInInorganicFertiliser_Arguments(), 1, 2)</f>
        <v>TM_jf</v>
      </c>
      <c r="E13" s="129" t="str">
        <v>total mass of inorganic fertiliser type f applied to production system j</v>
      </c>
      <c r="F13" s="223"/>
      <c r="G13" s="126" t="str" cm="1">
        <f t="array" ref="G13:H14">_xlfn.CHOOSECOLS(Fertiliser_Equations_InorganicCO2.VEERG_5_1_1_3__2_MassOfUreaInInorganicFertiliser_Arguments(), 3, 4)</f>
        <v>kg</v>
      </c>
      <c r="H13" s="114" t="str">
        <v>Input</v>
      </c>
      <c r="I13" s="116" t="str" cm="1">
        <f t="array" aca="1" ref="I13" ca="1">HYPERLINK(Common_InputFunctions.Utility_SourceHyperlink($D$16), $D$16)</f>
        <v>Table_MU_j_f</v>
      </c>
    </row>
    <row r="14" spans="1:21" ht="20.100000000000001" customHeight="1" x14ac:dyDescent="0.2">
      <c r="A14" s="5" t="str">
        <f>HYPERLINK("#'Input - Fuel'!A1", "Fuel")</f>
        <v>Fuel</v>
      </c>
      <c r="D14" s="126" t="str">
        <v>FU_f</v>
      </c>
      <c r="E14" s="129" t="str">
        <v>fraction of urea in fertiliser type f</v>
      </c>
      <c r="F14" s="223"/>
      <c r="G14" s="126" t="str">
        <v>kg urea/kg</v>
      </c>
      <c r="H14" s="115" t="str">
        <v>Lookup</v>
      </c>
      <c r="I14" s="116" t="str" cm="1">
        <f t="array" aca="1" ref="I14" ca="1">HYPERLINK(Common_InputFunctions.Utility_SourceHyperlink($D$16), $D$16)</f>
        <v>Table_MU_j_f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792</v>
      </c>
    </row>
    <row r="17" spans="1:7" ht="20.100000000000001" customHeight="1" x14ac:dyDescent="0.2">
      <c r="A17" s="5" t="str">
        <f>HYPERLINK("#'Input - Livestock farm Inputs'!A1", "Livestock farm Inputs")</f>
        <v>Livestock farm Inputs</v>
      </c>
      <c r="D17" s="119" t="s">
        <v>793</v>
      </c>
    </row>
    <row r="18" spans="1:7" ht="20.100000000000001" customHeight="1" x14ac:dyDescent="0.2">
      <c r="A18" s="5" t="str">
        <f>HYPERLINK("#'Input - Freight'!A1", "Freight")</f>
        <v>Freight</v>
      </c>
      <c r="D18" s="120" t="s">
        <v>766</v>
      </c>
      <c r="E18" s="78" t="s">
        <v>767</v>
      </c>
      <c r="F18" s="120" t="s">
        <v>794</v>
      </c>
      <c r="G18" s="120" t="s">
        <v>795</v>
      </c>
    </row>
    <row r="19" spans="1:7" ht="20.100000000000001" customHeight="1" x14ac:dyDescent="0.2">
      <c r="A19" s="5" t="str">
        <f>HYPERLINK("#'Input - Solid waste'!A1", "Solid waste")</f>
        <v>Solid waste</v>
      </c>
      <c r="D19" s="15" t="str" cm="1">
        <f t="array" ref="D19:D37">Table_Fertiliser_ChemicalCompounds[Fertiliser type f]</f>
        <v>Monoammonium phosphate (MAP)</v>
      </c>
      <c r="E19" s="15" cm="1">
        <f t="array" ref="E19">Fertiliser_InputFunctions.Fertiliser_TotalChemicalCompoundAppliedAllIngredients($D19,(Table_Input_InorganicFertiliser_Brands[Total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Fertiliser_InputFunctions.Fertiliser_TotalChemicalCompoundAppliedAllIngredients($D19,Table_Input_InorganicFertiliser_Custom[Total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19" s="15" cm="1">
        <f t="array" ref="F19">Common_InputFunctions.Utility_LookupValueInTableNumber(D19,Table_Fertiliser_ChemicalCompounds[Fertiliser type f],Table_Fertiliser_ChemicalCompounds[FU f])</f>
        <v>0</v>
      </c>
      <c r="G19" s="15" cm="1">
        <f t="array" ref="G19">Fertiliser_Equations_InorganicCO2.VEERG_5_1_1_3__2_MassOfUreaInInorganicFertiliser(E19,F19)</f>
        <v>0</v>
      </c>
    </row>
    <row r="20" spans="1:7" ht="20.100000000000001" customHeight="1" x14ac:dyDescent="0.2">
      <c r="A20" s="5" t="str">
        <f>HYPERLINK("#'Input - Manure sent off-site'!A1", "Manure sent off-site")</f>
        <v>Manure sent off-site</v>
      </c>
      <c r="D20" s="15" t="str">
        <v>Diammonium phosphate (DAP)</v>
      </c>
      <c r="E20" s="15" cm="1">
        <f t="array" ref="E20">Fertiliser_InputFunctions.Fertiliser_TotalChemicalCompoundAppliedAllIngredients($D20,(Table_Input_InorganicFertiliser_Brands[Total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0" s="15" cm="1">
        <f t="array" ref="F20">Common_InputFunctions.Utility_LookupValueInTableNumber(D20,Table_Fertiliser_ChemicalCompounds[Fertiliser type f],Table_Fertiliser_ChemicalCompounds[FU f])</f>
        <v>0</v>
      </c>
      <c r="G20" s="15" cm="1">
        <f t="array" ref="G20">Fertiliser_Equations_InorganicCO2.VEERG_5_1_1_3__2_MassOfUreaInInorganicFertiliser(E20,F20)</f>
        <v>0</v>
      </c>
    </row>
    <row r="21" spans="1:7" ht="20.100000000000001" customHeight="1" x14ac:dyDescent="0.2">
      <c r="A21" s="5" t="str">
        <f>HYPERLINK("#'Input - Data quality'!A1", "Data quality")</f>
        <v>Data quality</v>
      </c>
      <c r="D21" s="15" t="str">
        <v>Urea</v>
      </c>
      <c r="E21" s="15" cm="1">
        <f t="array" ref="E21">Fertiliser_InputFunctions.Fertiliser_TotalChemicalCompoundAppliedAllIngredients($D21,(Table_Input_InorganicFertiliser_Brands[Total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25217.39</v>
      </c>
      <c r="F21" s="15" cm="1">
        <f t="array" ref="F21">Common_InputFunctions.Utility_LookupValueInTableNumber(D21,Table_Fertiliser_ChemicalCompounds[Fertiliser type f],Table_Fertiliser_ChemicalCompounds[FU f])</f>
        <v>1</v>
      </c>
      <c r="G21" s="15" cm="1">
        <f t="array" ref="G21">Fertiliser_Equations_InorganicCO2.VEERG_5_1_1_3__2_MassOfUreaInInorganicFertiliser(E21,F21)</f>
        <v>25217.39</v>
      </c>
    </row>
    <row r="22" spans="1:7" ht="20.100000000000001" customHeight="1" x14ac:dyDescent="0.2">
      <c r="A22" s="5" t="str">
        <f>HYPERLINK("#'Input - Fert Prod System'!A1", "Fert Prod System")</f>
        <v>Fert Prod System</v>
      </c>
      <c r="D22" s="15" t="str">
        <v>Sulphate of ammonia (SOA)</v>
      </c>
      <c r="E22" s="15" cm="1">
        <f t="array" ref="E22">Fertiliser_InputFunctions.Fertiliser_TotalChemicalCompoundAppliedAllIngredients($D22,(Table_Input_InorganicFertiliser_Brands[Total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2" s="15" cm="1">
        <f t="array" ref="F22">Common_InputFunctions.Utility_LookupValueInTableNumber(D22,Table_Fertiliser_ChemicalCompounds[Fertiliser type f],Table_Fertiliser_ChemicalCompounds[FU f])</f>
        <v>0</v>
      </c>
      <c r="G22" s="15" cm="1">
        <f t="array" ref="G22">Fertiliser_Equations_InorganicCO2.VEERG_5_1_1_3__2_MassOfUreaInInorganicFertiliser(E22,F22)</f>
        <v>0</v>
      </c>
    </row>
    <row r="23" spans="1:7" ht="20.100000000000001" customHeight="1" x14ac:dyDescent="0.2">
      <c r="A23" s="5" t="str">
        <f>HYPERLINK("#'Input - Fertiliser'!A1", "Fertiliser")</f>
        <v>Fertiliser</v>
      </c>
      <c r="D23" s="15" t="str">
        <v>Urea-ammonium nitrate (UAN)</v>
      </c>
      <c r="E23" s="15" cm="1">
        <f t="array" ref="E23">Fertiliser_InputFunctions.Fertiliser_TotalChemicalCompoundAppliedAllIngredients($D23,(Table_Input_InorganicFertiliser_Brands[Total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3" s="15" cm="1">
        <f t="array" ref="F23">Common_InputFunctions.Utility_LookupValueInTableNumber(D23,Table_Fertiliser_ChemicalCompounds[Fertiliser type f],Table_Fertiliser_ChemicalCompounds[FU f])</f>
        <v>0.35</v>
      </c>
      <c r="G23" s="15" cm="1">
        <f t="array" ref="G23">Fertiliser_Equations_InorganicCO2.VEERG_5_1_1_3__2_MassOfUreaInInorganicFertiliser(E23,F23)</f>
        <v>0</v>
      </c>
    </row>
    <row r="24" spans="1:7" ht="20.100000000000001" customHeight="1" x14ac:dyDescent="0.2">
      <c r="D24" s="15" t="str">
        <v>Ammonium nitrate (AN)</v>
      </c>
      <c r="E24" s="15" cm="1">
        <f t="array" ref="E24">Fertiliser_InputFunctions.Fertiliser_TotalChemicalCompoundAppliedAllIngredients($D24,(Table_Input_InorganicFertiliser_Brands[Total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4" s="15" cm="1">
        <f t="array" ref="F24">Common_InputFunctions.Utility_LookupValueInTableNumber(D24,Table_Fertiliser_ChemicalCompounds[Fertiliser type f],Table_Fertiliser_ChemicalCompounds[FU f])</f>
        <v>0</v>
      </c>
      <c r="G24" s="15" cm="1">
        <f t="array" ref="G24">Fertiliser_Equations_InorganicCO2.VEERG_5_1_1_3__2_MassOfUreaInInorganicFertiliser(E24,F24)</f>
        <v>0</v>
      </c>
    </row>
    <row r="25" spans="1:7" ht="20.100000000000001" customHeight="1" x14ac:dyDescent="0.2">
      <c r="D25" s="15" t="str">
        <v>Calcium ammonium nitrate (CAN)</v>
      </c>
      <c r="E25" s="15" cm="1">
        <f t="array" ref="E25">Fertiliser_InputFunctions.Fertiliser_TotalChemicalCompoundAppliedAllIngredients($D25,(Table_Input_InorganicFertiliser_Brands[Total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5" s="15" cm="1">
        <f t="array" ref="F25">Common_InputFunctions.Utility_LookupValueInTableNumber(D25,Table_Fertiliser_ChemicalCompounds[Fertiliser type f],Table_Fertiliser_ChemicalCompounds[FU f])</f>
        <v>0</v>
      </c>
      <c r="G25" s="15" cm="1">
        <f t="array" ref="G25">Fertiliser_Equations_InorganicCO2.VEERG_5_1_1_3__2_MassOfUreaInInorganicFertiliser(E25,F25)</f>
        <v>0</v>
      </c>
    </row>
    <row r="26" spans="1:7" ht="20.100000000000001" customHeight="1" x14ac:dyDescent="0.2">
      <c r="A26" s="6" t="s">
        <v>2</v>
      </c>
      <c r="D26" s="15" t="str">
        <v>Nitrogen - Ammoniacal</v>
      </c>
      <c r="E26" s="15" cm="1">
        <f t="array" ref="E26">Fertiliser_InputFunctions.Fertiliser_TotalChemicalCompoundAppliedAllIngredients($D26,(Table_Input_InorganicFertiliser_Brands[Total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1240</v>
      </c>
      <c r="F26" s="15" cm="1">
        <f t="array" ref="F26">Common_InputFunctions.Utility_LookupValueInTableNumber(D26,Table_Fertiliser_ChemicalCompounds[Fertiliser type f],Table_Fertiliser_ChemicalCompounds[FU f])</f>
        <v>0</v>
      </c>
      <c r="G26" s="15" cm="1">
        <f t="array" ref="G26">Fertiliser_Equations_InorganicCO2.VEERG_5_1_1_3__2_MassOfUreaInInorganicFertiliser(E26,F26)</f>
        <v>0</v>
      </c>
    </row>
    <row r="27" spans="1:7" ht="20.100000000000001" customHeight="1" x14ac:dyDescent="0.2">
      <c r="A27" s="5" t="str">
        <f>HYPERLINK("#'4.6.1.1-2 Methane'!A1", "4.6.1.1-2 Manure Methane")</f>
        <v>4.6.1.1-2 Manure Methane</v>
      </c>
      <c r="D27" s="15" t="str">
        <v>Nitrogen - Nitrate</v>
      </c>
      <c r="E27" s="15" cm="1">
        <f t="array" ref="E27">Fertiliser_InputFunctions.Fertiliser_TotalChemicalCompoundAppliedAllIngredients($D27,(Table_Input_InorganicFertiliser_Brands[Total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550</v>
      </c>
      <c r="F27" s="15" cm="1">
        <f t="array" ref="F27">Common_InputFunctions.Utility_LookupValueInTableNumber(D27,Table_Fertiliser_ChemicalCompounds[Fertiliser type f],Table_Fertiliser_ChemicalCompounds[FU f])</f>
        <v>0</v>
      </c>
      <c r="G27" s="15" cm="1">
        <f t="array" ref="G27">Fertiliser_Equations_InorganicCO2.VEERG_5_1_1_3__2_MassOfUreaInInorganicFertiliser(E27,F27)</f>
        <v>0</v>
      </c>
    </row>
    <row r="28" spans="1:7" ht="20.100000000000001" customHeight="1" x14ac:dyDescent="0.2">
      <c r="A28" s="5" t="str">
        <f>HYPERLINK("#'4.6.1.3-4 Direct N20'!A1", "4.6.1.3-4 Manure Direct N2O")</f>
        <v>4.6.1.3-4 Manure Direct N2O</v>
      </c>
      <c r="D28" s="15" t="str">
        <v>Nitrogen - Generic</v>
      </c>
      <c r="E28" s="15" cm="1">
        <f t="array" ref="E28">Fertiliser_InputFunctions.Fertiliser_TotalChemicalCompoundAppliedAllIngredients($D28,(Table_Input_InorganicFertiliser_Brands[Total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Fertiliser_InputFunctions.Fertiliser_TotalChemicalCompoundAppliedAllIngredients($D28,Table_Input_InorganicFertiliser_Custom[Total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28" s="15" cm="1">
        <f t="array" ref="F28">Common_InputFunctions.Utility_LookupValueInTableNumber(D28,Table_Fertiliser_ChemicalCompounds[Fertiliser type f],Table_Fertiliser_ChemicalCompounds[FU f])</f>
        <v>0</v>
      </c>
      <c r="G28" s="15" cm="1">
        <f t="array" ref="G28">Fertiliser_Equations_InorganicCO2.VEERG_5_1_1_3__2_MassOfUreaInInorganicFertiliser(E28,F28)</f>
        <v>0</v>
      </c>
    </row>
    <row r="29" spans="1:7" ht="20.100000000000001" customHeight="1" x14ac:dyDescent="0.2">
      <c r="A29" s="5" t="str">
        <f>HYPERLINK("#'4.6.1.5-6 Atmos Dep'!A1", "4.6.1.5-6 Manure Atmos Dep")</f>
        <v>4.6.1.5-6 Manure Atmos Dep</v>
      </c>
      <c r="D29" s="15" t="str">
        <v>Phosphorus - Generic</v>
      </c>
      <c r="E29" s="15" cm="1">
        <f t="array" ref="E29">Fertiliser_InputFunctions.Fertiliser_TotalChemicalCompoundAppliedAllIngredients($D29,(Table_Input_InorganicFertiliser_Brands[Total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Fertiliser_InputFunctions.Fertiliser_TotalChemicalCompoundAppliedAllIngredients($D29,Table_Input_InorganicFertiliser_Custom[Total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520</v>
      </c>
      <c r="F29" s="15" cm="1">
        <f t="array" ref="F29">Common_InputFunctions.Utility_LookupValueInTableNumber(D29,Table_Fertiliser_ChemicalCompounds[Fertiliser type f],Table_Fertiliser_ChemicalCompounds[FU f])</f>
        <v>0</v>
      </c>
      <c r="G29" s="15" cm="1">
        <f t="array" ref="G29">Fertiliser_Equations_InorganicCO2.VEERG_5_1_1_3__2_MassOfUreaInInorganicFertiliser(E29,F29)</f>
        <v>0</v>
      </c>
    </row>
    <row r="30" spans="1:7" ht="20.100000000000001" customHeight="1" x14ac:dyDescent="0.2">
      <c r="A30" s="5" t="str">
        <f>HYPERLINK("#'4.6.1.7-8 Leaching and runoff'!A1", "4.6.1.7-8 Manure Leaching and runoff")</f>
        <v>4.6.1.7-8 Manure Leaching and runoff</v>
      </c>
      <c r="D30" s="15" t="str">
        <v>Potassium - Generic</v>
      </c>
      <c r="E30" s="15" cm="1">
        <f t="array" ref="E30">Fertiliser_InputFunctions.Fertiliser_TotalChemicalCompoundAppliedAllIngredients($D30,(Table_Input_InorganicFertiliser_Brands[Total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Fertiliser_InputFunctions.Fertiliser_TotalChemicalCompoundAppliedAllIngredients($D30,Table_Input_InorganicFertiliser_Custom[Total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4300</v>
      </c>
      <c r="F30" s="15" cm="1">
        <f t="array" ref="F30">Common_InputFunctions.Utility_LookupValueInTableNumber(D30,Table_Fertiliser_ChemicalCompounds[Fertiliser type f],Table_Fertiliser_ChemicalCompounds[FU f])</f>
        <v>0</v>
      </c>
      <c r="G30" s="15" cm="1">
        <f t="array" ref="G30">Fertiliser_Equations_InorganicCO2.VEERG_5_1_1_3__2_MassOfUreaInInorganicFertiliser(E30,F30)</f>
        <v>0</v>
      </c>
    </row>
    <row r="31" spans="1:7" ht="20.100000000000001" customHeight="1" x14ac:dyDescent="0.2">
      <c r="A31" s="5" t="str">
        <f>HYPERLINK("#'4.6.1.9 Manure applied to soils'!A1", "4.6.1.9 Manure applied to soils")</f>
        <v>4.6.1.9 Manure applied to soils</v>
      </c>
      <c r="D31" s="15" t="str">
        <v>Sulfur - Generic</v>
      </c>
      <c r="E31" s="15" cm="1">
        <f t="array" ref="E31">Fertiliser_InputFunctions.Fertiliser_TotalChemicalCompoundAppliedAllIngredients($D31,(Table_Input_InorganicFertiliser_Brands[Total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Fertiliser_InputFunctions.Fertiliser_TotalChemicalCompoundAppliedAllIngredients($D31,Table_Input_InorganicFertiliser_Custom[Total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1890</v>
      </c>
      <c r="F31" s="15" cm="1">
        <f t="array" ref="F31">Common_InputFunctions.Utility_LookupValueInTableNumber(D31,Table_Fertiliser_ChemicalCompounds[Fertiliser type f],Table_Fertiliser_ChemicalCompounds[FU f])</f>
        <v>0</v>
      </c>
      <c r="G31" s="15" cm="1">
        <f t="array" ref="G31">Fertiliser_Equations_InorganicCO2.VEERG_5_1_1_3__2_MassOfUreaInInorganicFertiliser(E31,F31)</f>
        <v>0</v>
      </c>
    </row>
    <row r="32" spans="1:7" ht="20.100000000000001" customHeight="1" x14ac:dyDescent="0.2">
      <c r="A32" s="5" t="str">
        <f>HYPERLINK("#'4.6.1.10-11 Soil direct N2O'!A1", "4.6.1.10-11 Soil direct N2O")</f>
        <v>4.6.1.10-11 Soil direct N2O</v>
      </c>
      <c r="D32" s="15" t="str">
        <v>Zinc - Generic</v>
      </c>
      <c r="E32" s="15" cm="1">
        <f t="array" ref="E32">Fertiliser_InputFunctions.Fertiliser_TotalChemicalCompoundAppliedAllIngredients($D32,(Table_Input_InorganicFertiliser_Brands[Total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Fertiliser_InputFunctions.Fertiliser_TotalChemicalCompoundAppliedAllIngredients($D32,Table_Input_InorganicFertiliser_Custom[Total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2000</v>
      </c>
      <c r="F32" s="15" cm="1">
        <f t="array" ref="F32">Common_InputFunctions.Utility_LookupValueInTableNumber(D32,Table_Fertiliser_ChemicalCompounds[Fertiliser type f],Table_Fertiliser_ChemicalCompounds[FU f])</f>
        <v>0</v>
      </c>
      <c r="G32" s="15" cm="1">
        <f t="array" ref="G32">Fertiliser_Equations_InorganicCO2.VEERG_5_1_1_3__2_MassOfUreaInInorganicFertiliser(E32,F32)</f>
        <v>0</v>
      </c>
    </row>
    <row r="33" spans="1:12" ht="20.100000000000001" customHeight="1" x14ac:dyDescent="0.2">
      <c r="A33" s="5" t="str">
        <f>HYPERLINK("#'4.6.1.12-13 Soil atmos dep'!A1", "4.6.1.12-13 Soil atmos dep")</f>
        <v>4.6.1.12-13 Soil atmos dep</v>
      </c>
      <c r="D33" s="15" t="str">
        <v>Muriate of potash (MOP)</v>
      </c>
      <c r="E33" s="15" cm="1">
        <f t="array" ref="E33">Fertiliser_InputFunctions.Fertiliser_TotalChemicalCompoundAppliedAllIngredients($D33,(Table_Input_InorganicFertiliser_Brands[Total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Fertiliser_InputFunctions.Fertiliser_TotalChemicalCompoundAppliedAllIngredients($D33,Table_Input_InorganicFertiliser_Custom[Total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3" s="15" cm="1">
        <f t="array" ref="F33">Common_InputFunctions.Utility_LookupValueInTableNumber(D33,Table_Fertiliser_ChemicalCompounds[Fertiliser type f],Table_Fertiliser_ChemicalCompounds[FU f])</f>
        <v>0</v>
      </c>
      <c r="G33" s="15" cm="1">
        <f t="array" ref="G33">Fertiliser_Equations_InorganicCO2.VEERG_5_1_1_3__2_MassOfUreaInInorganicFertiliser(E33,F33)</f>
        <v>0</v>
      </c>
    </row>
    <row r="34" spans="1:12" ht="20.100000000000001" customHeight="1" x14ac:dyDescent="0.2">
      <c r="A34" s="5" t="str">
        <f>HYPERLINK("#'4.6.1.14-15 Soil leach runoff'!A1", "4.6.1.14-15 Soil leach runoff")</f>
        <v>4.6.1.14-15 Soil leach runoff</v>
      </c>
      <c r="D34" s="15" t="str">
        <v>Double superphosphate</v>
      </c>
      <c r="E34" s="15" cm="1">
        <f t="array" ref="E34">Fertiliser_InputFunctions.Fertiliser_TotalChemicalCompoundAppliedAllIngredients($D34,(Table_Input_InorganicFertiliser_Brands[Total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Fertiliser_InputFunctions.Fertiliser_TotalChemicalCompoundAppliedAllIngredients($D34,Table_Input_InorganicFertiliser_Custom[Total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4" s="15" cm="1">
        <f t="array" ref="F34">Common_InputFunctions.Utility_LookupValueInTableNumber(D34,Table_Fertiliser_ChemicalCompounds[Fertiliser type f],Table_Fertiliser_ChemicalCompounds[FU f])</f>
        <v>0</v>
      </c>
      <c r="G34" s="15" cm="1">
        <f t="array" ref="G34">Fertiliser_Equations_InorganicCO2.VEERG_5_1_1_3__2_MassOfUreaInInorganicFertiliser(E34,F34)</f>
        <v>0</v>
      </c>
    </row>
    <row r="35" spans="1:12" ht="20.100000000000001" customHeight="1" x14ac:dyDescent="0.2">
      <c r="A35" s="5" t="str">
        <f>HYPERLINK("#'8.1.1.1-2 Transport fuel'!A1", "8.1.1.1-2 Transport fuel")</f>
        <v>8.1.1.1-2 Transport fuel</v>
      </c>
      <c r="D35" s="15" t="str">
        <v>Single superphosphate (SSP)</v>
      </c>
      <c r="E35" s="15" cm="1">
        <f t="array" ref="E35">Fertiliser_InputFunctions.Fertiliser_TotalChemicalCompoundAppliedAllIngredients($D35,(Table_Input_InorganicFertiliser_Brands[Total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Fertiliser_InputFunctions.Fertiliser_TotalChemicalCompoundAppliedAllIngredients($D35,Table_Input_InorganicFertiliser_Custom[Total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0</v>
      </c>
      <c r="F35" s="15" cm="1">
        <f t="array" ref="F35">Common_InputFunctions.Utility_LookupValueInTableNumber(D35,Table_Fertiliser_ChemicalCompounds[Fertiliser type f],Table_Fertiliser_ChemicalCompounds[FU f])</f>
        <v>0</v>
      </c>
      <c r="G35" s="15" cm="1">
        <f t="array" ref="G35">Fertiliser_Equations_InorganicCO2.VEERG_5_1_1_3__2_MassOfUreaInInorganicFertiliser(E35,F35)</f>
        <v>0</v>
      </c>
    </row>
    <row r="36" spans="1:12" ht="20.100000000000001" customHeight="1" x14ac:dyDescent="0.2">
      <c r="A36" s="5" t="str">
        <f>HYPERLINK("#'8.2.1.1-2 Stationary fuel'!A1", "8.2.1.1-2 Stationary fuel")</f>
        <v>8.2.1.1-2 Stationary fuel</v>
      </c>
      <c r="D36" s="15" t="str">
        <v>Ammonia</v>
      </c>
      <c r="E36" s="15" cm="1">
        <f t="array" ref="E36">Fertiliser_InputFunctions.Fertiliser_TotalChemicalCompoundAppliedAllIngredients($D36,(Table_Input_InorganicFertiliser_Brands[Total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Fertiliser_InputFunctions.Fertiliser_TotalChemicalCompoundAppliedAllIngredients($D36,Table_Input_InorganicFertiliser_Custom[Total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6" s="15" cm="1">
        <f t="array" ref="F36">Common_InputFunctions.Utility_LookupValueInTableNumber(D36,Table_Fertiliser_ChemicalCompounds[Fertiliser type f],Table_Fertiliser_ChemicalCompounds[FU f])</f>
        <v>0</v>
      </c>
      <c r="G36" s="15" cm="1">
        <f t="array" ref="G36">Fertiliser_Equations_InorganicCO2.VEERG_5_1_1_3__2_MassOfUreaInInorganicFertiliser(E36,F36)</f>
        <v>0</v>
      </c>
    </row>
    <row r="37" spans="1:12" ht="20.100000000000001" customHeight="1" x14ac:dyDescent="0.2">
      <c r="A37" s="5" t="str">
        <f>HYPERLINK("#'10.1.1-2 Solid waste treatment'!A1", "10.1.1.1-2 Solid waste")</f>
        <v>10.1.1.1-2 Solid waste</v>
      </c>
      <c r="D37" s="15" t="str">
        <v>Calcium nitrate</v>
      </c>
      <c r="E37" s="15" cm="1">
        <f t="array" ref="E37">Fertiliser_InputFunctions.Fertiliser_TotalChemicalCompoundAppliedAllIngredients($D37,(Table_Input_InorganicFertiliser_Brands[Total applied (kg)]*Table_Input_InorganicFertiliser_Brands[Density]),Table_Input_InorganicFertiliser_Brands[Ingredient 1],Table_Input_InorganicFertiliser_Brands[Ingredient 1 percent],Table_Input_InorganicFertiliser_Brands[Ingredient 2],Table_Input_InorganicFertiliser_Brands[Ingredient 2 percent],Table_Input_InorganicFertiliser_Brands[Ingredient 3],Table_Input_InorganicFertiliser_Brands[Ingredient 3 percent],Table_Input_InorganicFertiliser_Brands[Ingredient 4],Table_Input_InorganicFertiliser_Brands[Ingredient 4 percent],Table_Input_InorganicFertiliser_Brands[Ingredient 5],Table_Input_InorganicFertiliser_Brands[Ingredient 5 percent],Table_Input_InorganicFertiliser_Brands[Ingredient 6],Table_Input_InorganicFertiliser_Brands[Ingredient 6 percent])+
Fertiliser_InputFunctions.Fertiliser_TotalChemicalCompoundAppliedAllIngredients($D37,Table_Input_InorganicFertiliser_Custom[Total applied (kg)],Table_Input_InorganicFertiliser_Custom[Ingredient 1 (select)],Table_Input_InorganicFertiliser_Custom[Ingredient 1 percent],Table_Input_InorganicFertiliser_Custom[Ingredient 2],Table_Input_InorganicFertiliser_Custom[Ingredient 2 percent],Table_Input_InorganicFertiliser_Custom[Ingredient 3],Table_Input_InorganicFertiliser_Custom[Ingredient 3 percent],Table_Input_InorganicFertiliser_Custom[Ingredient 4],Table_Input_InorganicFertiliser_Custom[Ingredient 4 percent])</f>
        <v>5000</v>
      </c>
      <c r="F37" s="15" cm="1">
        <f t="array" ref="F37">Common_InputFunctions.Utility_LookupValueInTableNumber(D37,Table_Fertiliser_ChemicalCompounds[Fertiliser type f],Table_Fertiliser_ChemicalCompounds[FU f])</f>
        <v>0</v>
      </c>
      <c r="G37" s="15" cm="1">
        <f t="array" ref="G37">Fertiliser_Equations_InorganicCO2.VEERG_5_1_1_3__2_MassOfUreaInInorganicFertiliser(E37,F37)</f>
        <v>0</v>
      </c>
    </row>
    <row r="38" spans="1:12" ht="20.100000000000001" customHeight="1" x14ac:dyDescent="0.2">
      <c r="A38" s="5" t="str">
        <f>HYPERLINK("#'14.1.1-2 Purchased electricity'!A1", "14.1.1-2 Purchased electricity")</f>
        <v>14.1.1-2 Purchased electricity</v>
      </c>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c r="C40" s="83"/>
      <c r="D40" s="83"/>
      <c r="E40" s="83"/>
      <c r="F40" s="83"/>
      <c r="G40" s="83"/>
      <c r="H40" s="83"/>
      <c r="I40" s="83"/>
      <c r="J40" s="83"/>
      <c r="K40" s="83"/>
      <c r="L40" s="83"/>
    </row>
    <row r="41" spans="1:12" ht="20.100000000000001" customHeight="1" x14ac:dyDescent="0.2">
      <c r="A41" s="5" t="str">
        <f>HYPERLINK("#'5.1.1.1-2 Inorganic fert N2O'!A1", "5.1.1.1-2 Inorganic fert N2O")</f>
        <v>5.1.1.1-2 Inorganic fert N2O</v>
      </c>
      <c r="D41" s="2" t="str" cm="1">
        <f t="array" ref="D41">Fertiliser_Equations_InorganicCO2.VEERG_5_1_1_3__1_InorganicFertiliserApplicationCO2Emissions_Title()</f>
        <v>Carbon dioxide emissions resulting from the use of all inorganic, urea-based fertilisers</v>
      </c>
    </row>
    <row r="42" spans="1:12" ht="20.100000000000001" customHeight="1" x14ac:dyDescent="0.2">
      <c r="A42" s="117" t="str">
        <f>HYPERLINK("#'5.1.1.3-4 Inorganic fert CO2'!A1", "5.1.1.3-4 Inorganic fert CO2")</f>
        <v>5.1.1.3-4 Inorganic fert CO2</v>
      </c>
      <c r="D42" s="17" t="str" cm="1">
        <f t="array" ref="D42">Fertiliser_Equations_InorganicCO2.VEERG_5_1_1_3__1_InorganicFertiliserApplicationCO2Emissions_Source()</f>
        <v>VEERG 2026: 5.1.1.3, Equation (1)</v>
      </c>
    </row>
    <row r="43" spans="1:12" ht="20.100000000000001" customHeight="1" x14ac:dyDescent="0.2">
      <c r="A43" s="5" t="str">
        <f>HYPERLINK("#'5.2.1.1-2 Organic Fert N2O'!A1", "5.2.1.1-2 Organic Fert N2O")</f>
        <v>5.2.1.1-2 Organic Fert N2O</v>
      </c>
      <c r="D43" s="112" t="s">
        <v>328</v>
      </c>
      <c r="E43" s="112" t="str" cm="1">
        <f t="array" aca="1" ref="E43" ca="1">Common_InputFunctions.Utility_DisplayFunctionName(E58)</f>
        <v>=Fertiliser_Equations_InorganicCO2.VEERG_5_1_1_3__1_InorganicFertiliserApplicationCO2Emissions</v>
      </c>
    </row>
    <row r="44" spans="1:12" ht="20.100000000000001" customHeight="1" x14ac:dyDescent="0.2">
      <c r="A44" s="5" t="str">
        <f>HYPERLINK("#'5.3.1.1-2 Lime CO2'!A1", "5.3.1.1-2 Lime CO2")</f>
        <v>5.3.1.1-2 Lime CO2</v>
      </c>
    </row>
    <row r="45" spans="1:12" ht="20.100000000000001" customHeight="1" x14ac:dyDescent="0.2">
      <c r="A45" s="5" t="str">
        <f>HYPERLINK("#'5.4.1.1-4 Atmos deposition'!A1", "5.4.1.1-4 Atmos deposition")</f>
        <v>5.4.1.1-4 Atmos deposition</v>
      </c>
    </row>
    <row r="46" spans="1:12" ht="20.100000000000001" customHeight="1" x14ac:dyDescent="0.2">
      <c r="A46" s="5" t="str">
        <f>HYPERLINK("#'5.5.1.1-2 Leaching and runoff'!A1", "5.5.1.1-2 Leaching and runoff")</f>
        <v>5.5.1.1-2 Leaching and runoff</v>
      </c>
      <c r="D46" s="75" t="s">
        <v>329</v>
      </c>
      <c r="E46" s="1" t="str" cm="1">
        <f t="array" ref="E46">Fertiliser_Equations_InorganicCO2.VEERG_5_1_1_3__1_InorganicFertiliserApplicationCO2Emissions_Variable()</f>
        <v>E_CO2</v>
      </c>
    </row>
    <row r="47" spans="1:12" ht="20.100000000000001" customHeight="1" x14ac:dyDescent="0.2">
      <c r="D47" s="75" t="s">
        <v>118</v>
      </c>
      <c r="E47" s="9" t="str" cm="1">
        <f t="array" ref="E47">Fertiliser_Equations_InorganicCO2.VEERG_5_1_1_3__1_InorganicFertiliserApplicationCO2Emissions_Unit()</f>
        <v>t CO2</v>
      </c>
    </row>
    <row r="49" spans="1:9" ht="20.100000000000001" customHeight="1" x14ac:dyDescent="0.2">
      <c r="A49" s="80" t="s">
        <v>1</v>
      </c>
      <c r="D49" s="126" t="str" cm="1">
        <f t="array" ref="D49:E53">_xlfn.CHOOSECOLS(Fertiliser_Equations_InorganicCO2.VEERG_5_1_1_3__1_InorganicFertiliserApplicationCO2Emissions_Arguments(), 1, 2)</f>
        <v>MU_jf</v>
      </c>
      <c r="E49" s="129" t="str">
        <v>mass of urea of inorganic fertiliser type f applied to production system j</v>
      </c>
      <c r="F49" s="223"/>
      <c r="G49" s="126" t="str" cm="1">
        <f t="array" ref="G49:H53">_xlfn.CHOOSECOLS(Fertiliser_Equations_InorganicCO2.VEERG_5_1_1_3__1_InorganicFertiliserApplicationCO2Emissions_Arguments(), 3,4)</f>
        <v>kg urea</v>
      </c>
      <c r="H49" s="115" t="str">
        <v>Calculated</v>
      </c>
      <c r="I49" s="116" t="str" cm="1">
        <f t="array" aca="1" ref="I49" ca="1">HYPERLINK(Common_InputFunctions.Utility_SourceHyperlink($D$16), $D$16)</f>
        <v>Table_MU_j_f</v>
      </c>
    </row>
    <row r="50" spans="1:9" ht="20.100000000000001" customHeight="1" x14ac:dyDescent="0.2">
      <c r="A50" s="5" t="str">
        <f>HYPERLINK("#'Constants - Poultry'!A1", "Constants - Poultry")</f>
        <v>Constants - Poultry</v>
      </c>
      <c r="D50" s="126" t="str">
        <v>EF_ureaCO2</v>
      </c>
      <c r="E50" s="129" t="str">
        <v>emission factor for carbon emissions from urea-based fertilisers</v>
      </c>
      <c r="F50" s="223"/>
      <c r="G50" s="126" t="str">
        <v>kg C/kg urea</v>
      </c>
      <c r="H50" s="115" t="str">
        <v>Constant</v>
      </c>
      <c r="I50" s="126">
        <f>Fertiliser_EFUreaCO2_Data</f>
        <v>0.2</v>
      </c>
    </row>
    <row r="51" spans="1:9" ht="20.100000000000001" customHeight="1" x14ac:dyDescent="0.2">
      <c r="A51" s="5" t="str">
        <f>HYPERLINK("#'Constants - Common livestock'!A1", "Constants - Common Livestock")</f>
        <v>Constants - Common Livestock</v>
      </c>
      <c r="D51" s="126" t="str">
        <v>C_CO2</v>
      </c>
      <c r="E51" s="129" t="str">
        <v>factor to convert elemental mass of carbon to molecular mass of carbon dioxide</v>
      </c>
      <c r="F51" s="223"/>
      <c r="G51" s="126" t="str">
        <v/>
      </c>
      <c r="H51" s="115" t="str">
        <v>Constant</v>
      </c>
      <c r="I51" s="126">
        <f>Common_InputFunctions.Utility_LookupValueInTableNumber("CO2",Table_GasToMolecularConversionFactor[Gas], Table_GasToMolecularConversionFactor[Conversion factor combined])</f>
        <v>3.6666666666666665</v>
      </c>
    </row>
    <row r="52" spans="1:9" ht="20.100000000000001" customHeight="1" x14ac:dyDescent="0.2">
      <c r="A52" s="5" t="str">
        <f>HYPERLINK("#'Constants - Electricity'!A1", "Constants - Electricity")</f>
        <v>Constants - Electricity</v>
      </c>
      <c r="D52" s="126" t="str">
        <v>j</v>
      </c>
      <c r="E52" s="129" t="str">
        <v>Production system</v>
      </c>
      <c r="F52" s="223"/>
      <c r="G52" s="126" t="str">
        <v/>
      </c>
      <c r="H52" s="114" t="str">
        <v>Input</v>
      </c>
      <c r="I52" s="126" t="str">
        <f>X_Cell_Fertiliser_ProductionSystem</f>
        <v>Crop</v>
      </c>
    </row>
    <row r="53" spans="1:9" ht="20.100000000000001" customHeight="1" x14ac:dyDescent="0.2">
      <c r="A53" s="5" t="str">
        <f>HYPERLINK("#'Constants - Fertiliser'!A1", "Constants - Fertiliser")</f>
        <v>Constants - Fertiliser</v>
      </c>
      <c r="D53" s="126" t="str">
        <v>f</v>
      </c>
      <c r="E53" s="129" t="str">
        <v>Inorganic fertiliser type</v>
      </c>
      <c r="F53" s="223"/>
      <c r="G53" s="126" t="str">
        <v/>
      </c>
      <c r="H53" s="115" t="str">
        <v>Lookup</v>
      </c>
      <c r="I53" s="116" t="str" cm="1">
        <f t="array" aca="1" ref="I53" ca="1">HYPERLINK(Common_InputFunctions.Utility_SourceHyperlink($D$16), $D$16)</f>
        <v>Table_MU_j_f</v>
      </c>
    </row>
    <row r="54" spans="1:9" ht="20.100000000000001" customHeight="1" x14ac:dyDescent="0.2">
      <c r="A54" s="5" t="str">
        <f>HYPERLINK("#'Constants - Fuel'!A1", "Constants - Fuel")</f>
        <v>Constants - Fuel</v>
      </c>
    </row>
    <row r="55" spans="1:9" ht="20.100000000000001" customHeight="1" x14ac:dyDescent="0.2">
      <c r="A55" s="5" t="str">
        <f>HYPERLINK("#'Constants - Scope 3'!A1", "Constants - Scope 3")</f>
        <v>Constants - Scope 3</v>
      </c>
      <c r="D55" s="118" t="s">
        <v>796</v>
      </c>
    </row>
    <row r="56" spans="1:9" ht="20.100000000000001" customHeight="1" x14ac:dyDescent="0.2">
      <c r="A56" s="5" t="str">
        <f>HYPERLINK("#'Constants - Solid Waste'!A1", "Constants - Solid Waste")</f>
        <v>Constants - Solid Waste</v>
      </c>
      <c r="D56" s="119" t="s">
        <v>797</v>
      </c>
    </row>
    <row r="57" spans="1:9" ht="20.100000000000001" customHeight="1" x14ac:dyDescent="0.2">
      <c r="A57" s="5" t="str">
        <f>HYPERLINK("#'Constants - Common'!A1", "Constants - Common")</f>
        <v>Constants - Common</v>
      </c>
      <c r="D57" s="120" t="s">
        <v>766</v>
      </c>
      <c r="E57" s="120" t="s">
        <v>778</v>
      </c>
    </row>
    <row r="58" spans="1:9" ht="20.100000000000001" customHeight="1" x14ac:dyDescent="0.2">
      <c r="D58" s="15" t="str" cm="1">
        <f t="array" ref="D58:D76">Table_Fertiliser_ChemicalCompounds[Fertiliser type f]</f>
        <v>Monoammonium phosphate (MAP)</v>
      </c>
      <c r="E58" s="15" cm="1">
        <f t="array" ref="E58">Fertiliser_Equations_InorganicCO2.VEERG_5_1_1_3__1_InorganicFertiliserApplicationCO2Emissions(G19,$I$50,$I$51)</f>
        <v>0</v>
      </c>
      <c r="F58" s="16" t="str">
        <f>$E$47</f>
        <v>t CO2</v>
      </c>
    </row>
    <row r="59" spans="1:9" ht="20.100000000000001" customHeight="1" x14ac:dyDescent="0.2">
      <c r="D59" s="15" t="str">
        <v>Diammonium phosphate (DAP)</v>
      </c>
      <c r="E59" s="15" cm="1">
        <f t="array" ref="E59">Fertiliser_Equations_InorganicCO2.VEERG_5_1_1_3__1_InorganicFertiliserApplicationCO2Emissions(G20,$I$50,$I$51)</f>
        <v>0</v>
      </c>
    </row>
    <row r="60" spans="1:9" ht="20.100000000000001" customHeight="1" x14ac:dyDescent="0.2">
      <c r="D60" s="15" t="str">
        <v>Urea</v>
      </c>
      <c r="E60" s="15" cm="1">
        <f t="array" ref="E60">Fertiliser_Equations_InorganicCO2.VEERG_5_1_1_3__1_InorganicFertiliserApplicationCO2Emissions(G21,$I$50,$I$51)</f>
        <v>18.492752666666668</v>
      </c>
    </row>
    <row r="61" spans="1:9" ht="20.100000000000001" customHeight="1" x14ac:dyDescent="0.2">
      <c r="D61" s="15" t="str">
        <v>Sulphate of ammonia (SOA)</v>
      </c>
      <c r="E61" s="15" cm="1">
        <f t="array" ref="E61">Fertiliser_Equations_InorganicCO2.VEERG_5_1_1_3__1_InorganicFertiliserApplicationCO2Emissions(G22,$I$50,$I$51)</f>
        <v>0</v>
      </c>
    </row>
    <row r="62" spans="1:9" ht="20.100000000000001" customHeight="1" x14ac:dyDescent="0.2">
      <c r="D62" s="15" t="str">
        <v>Urea-ammonium nitrate (UAN)</v>
      </c>
      <c r="E62" s="15" cm="1">
        <f t="array" ref="E62">Fertiliser_Equations_InorganicCO2.VEERG_5_1_1_3__1_InorganicFertiliserApplicationCO2Emissions(G23,$I$50,$I$51)</f>
        <v>0</v>
      </c>
    </row>
    <row r="63" spans="1:9" ht="20.100000000000001" customHeight="1" x14ac:dyDescent="0.2">
      <c r="D63" s="15" t="str">
        <v>Ammonium nitrate (AN)</v>
      </c>
      <c r="E63" s="15" cm="1">
        <f t="array" ref="E63">Fertiliser_Equations_InorganicCO2.VEERG_5_1_1_3__1_InorganicFertiliserApplicationCO2Emissions(G24,$I$50,$I$51)</f>
        <v>0</v>
      </c>
    </row>
    <row r="64" spans="1:9" ht="20.100000000000001" customHeight="1" x14ac:dyDescent="0.2">
      <c r="D64" s="15" t="str">
        <v>Calcium ammonium nitrate (CAN)</v>
      </c>
      <c r="E64" s="15" cm="1">
        <f t="array" ref="E64">Fertiliser_Equations_InorganicCO2.VEERG_5_1_1_3__1_InorganicFertiliserApplicationCO2Emissions(G25,$I$50,$I$51)</f>
        <v>0</v>
      </c>
    </row>
    <row r="65" spans="1:6" ht="20.100000000000001" customHeight="1" x14ac:dyDescent="0.2">
      <c r="D65" s="15" t="str">
        <v>Nitrogen - Ammoniacal</v>
      </c>
      <c r="E65" s="15" cm="1">
        <f t="array" ref="E65">Fertiliser_Equations_InorganicCO2.VEERG_5_1_1_3__1_InorganicFertiliserApplicationCO2Emissions(G26,$I$50,$I$51)</f>
        <v>0</v>
      </c>
    </row>
    <row r="66" spans="1:6" ht="20.100000000000001" customHeight="1" x14ac:dyDescent="0.2">
      <c r="D66" s="15" t="str">
        <v>Nitrogen - Nitrate</v>
      </c>
      <c r="E66" s="15" cm="1">
        <f t="array" ref="E66">Fertiliser_Equations_InorganicCO2.VEERG_5_1_1_3__1_InorganicFertiliserApplicationCO2Emissions(G27,$I$50,$I$51)</f>
        <v>0</v>
      </c>
    </row>
    <row r="67" spans="1:6" ht="20.100000000000001" customHeight="1" x14ac:dyDescent="0.2">
      <c r="D67" s="15" t="str">
        <v>Nitrogen - Generic</v>
      </c>
      <c r="E67" s="15" cm="1">
        <f t="array" ref="E67">Fertiliser_Equations_InorganicCO2.VEERG_5_1_1_3__1_InorganicFertiliserApplicationCO2Emissions(G28,$I$50,$I$51)</f>
        <v>0</v>
      </c>
    </row>
    <row r="68" spans="1:6" ht="20.100000000000001" customHeight="1" x14ac:dyDescent="0.2">
      <c r="A68" s="79" t="str">
        <f>HYPERLINK("#A1", "▲ Back to top")</f>
        <v>▲ Back to top</v>
      </c>
      <c r="D68" s="15" t="str">
        <v>Phosphorus - Generic</v>
      </c>
      <c r="E68" s="15" cm="1">
        <f t="array" ref="E68">Fertiliser_Equations_InorganicCO2.VEERG_5_1_1_3__1_InorganicFertiliserApplicationCO2Emissions(G29,$I$50,$I$51)</f>
        <v>0</v>
      </c>
    </row>
    <row r="69" spans="1:6" ht="20.100000000000001" customHeight="1" x14ac:dyDescent="0.2">
      <c r="D69" s="15" t="str">
        <v>Potassium - Generic</v>
      </c>
      <c r="E69" s="15" cm="1">
        <f t="array" ref="E69">Fertiliser_Equations_InorganicCO2.VEERG_5_1_1_3__1_InorganicFertiliserApplicationCO2Emissions(G30,$I$50,$I$51)</f>
        <v>0</v>
      </c>
    </row>
    <row r="70" spans="1:6" ht="20.100000000000001" customHeight="1" x14ac:dyDescent="0.2">
      <c r="D70" s="15" t="str">
        <v>Sulfur - Generic</v>
      </c>
      <c r="E70" s="15" cm="1">
        <f t="array" ref="E70">Fertiliser_Equations_InorganicCO2.VEERG_5_1_1_3__1_InorganicFertiliserApplicationCO2Emissions(G31,$I$50,$I$51)</f>
        <v>0</v>
      </c>
    </row>
    <row r="71" spans="1:6" ht="20.100000000000001" customHeight="1" x14ac:dyDescent="0.2">
      <c r="D71" s="15" t="str">
        <v>Zinc - Generic</v>
      </c>
      <c r="E71" s="15" cm="1">
        <f t="array" ref="E71">Fertiliser_Equations_InorganicCO2.VEERG_5_1_1_3__1_InorganicFertiliserApplicationCO2Emissions(G32,$I$50,$I$51)</f>
        <v>0</v>
      </c>
    </row>
    <row r="72" spans="1:6" ht="20.100000000000001" customHeight="1" x14ac:dyDescent="0.2">
      <c r="D72" s="15" t="str">
        <v>Muriate of potash (MOP)</v>
      </c>
      <c r="E72" s="15" cm="1">
        <f t="array" ref="E72">Fertiliser_Equations_InorganicCO2.VEERG_5_1_1_3__1_InorganicFertiliserApplicationCO2Emissions(G33,$I$50,$I$51)</f>
        <v>0</v>
      </c>
    </row>
    <row r="73" spans="1:6" ht="20.100000000000001" customHeight="1" x14ac:dyDescent="0.2">
      <c r="D73" s="15" t="str">
        <v>Double superphosphate</v>
      </c>
      <c r="E73" s="15" cm="1">
        <f t="array" ref="E73">Fertiliser_Equations_InorganicCO2.VEERG_5_1_1_3__1_InorganicFertiliserApplicationCO2Emissions(G34,$I$50,$I$51)</f>
        <v>0</v>
      </c>
    </row>
    <row r="74" spans="1:6" ht="20.100000000000001" customHeight="1" x14ac:dyDescent="0.2">
      <c r="D74" s="15" t="str">
        <v>Single superphosphate (SSP)</v>
      </c>
      <c r="E74" s="15" cm="1">
        <f t="array" ref="E74">Fertiliser_Equations_InorganicCO2.VEERG_5_1_1_3__1_InorganicFertiliserApplicationCO2Emissions(G35,$I$50,$I$51)</f>
        <v>0</v>
      </c>
    </row>
    <row r="75" spans="1:6" ht="20.100000000000001" customHeight="1" x14ac:dyDescent="0.2">
      <c r="D75" s="15" t="str">
        <v>Ammonia</v>
      </c>
      <c r="E75" s="15" cm="1">
        <f t="array" ref="E75">Fertiliser_Equations_InorganicCO2.VEERG_5_1_1_3__1_InorganicFertiliserApplicationCO2Emissions(G36,$I$50,$I$51)</f>
        <v>0</v>
      </c>
    </row>
    <row r="76" spans="1:6" ht="20.100000000000001" customHeight="1" x14ac:dyDescent="0.2">
      <c r="D76" s="15" t="str">
        <v>Calcium nitrate</v>
      </c>
      <c r="E76" s="15" cm="1">
        <f t="array" ref="E76">Fertiliser_Equations_InorganicCO2.VEERG_5_1_1_3__1_InorganicFertiliserApplicationCO2Emissions(G37,$I$50,$I$51)</f>
        <v>0</v>
      </c>
    </row>
    <row r="78" spans="1:6" ht="20.100000000000001" customHeight="1" x14ac:dyDescent="0.2">
      <c r="D78" s="85" t="s">
        <v>798</v>
      </c>
      <c r="E78" s="86">
        <f>SUM(E58:E76)</f>
        <v>18.492752666666668</v>
      </c>
      <c r="F78" s="95" t="str">
        <f>$E$47</f>
        <v>t CO2</v>
      </c>
    </row>
  </sheetData>
  <pageMargins left="0.7" right="0.7" top="0.75" bottom="0.75" header="0.3" footer="0.3"/>
  <pageSetup paperSize="9" orientation="portrait" r:id="rId1"/>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18BC10-5E1C-4AC6-9368-8292639CF451}">
  <sheetPr>
    <tabColor rgb="FF008000"/>
  </sheetPr>
  <dimension ref="A1:U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799</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Fertiliser_Equations_OrganicN2O.VEERG_5_2_1_1__2_MassOfNitrogenInOrganicFertiliser_Title()</f>
        <v>Mass of nitrogen in purchased organic fertilisers applied to production system</v>
      </c>
    </row>
    <row r="6" spans="1:21" ht="20.100000000000001" customHeight="1" x14ac:dyDescent="0.2">
      <c r="D6" s="17" t="str" cm="1">
        <f t="array" ref="D6">Fertiliser_Equations_OrganicN2O.VEERG_5_2_1_1__2_MassOfNitrogenInOrganicFertiliser_Source()</f>
        <v>VEERG 2026: 5.2.1.1, Equation (2)</v>
      </c>
    </row>
    <row r="7" spans="1:21" ht="20.100000000000001" customHeight="1" x14ac:dyDescent="0.2">
      <c r="D7" s="112" t="s">
        <v>328</v>
      </c>
      <c r="E7" s="112" t="str" cm="1">
        <f t="array" aca="1" ref="E7" ca="1">Common_InputFunctions.Utility_DisplayFunctionName($I$20)</f>
        <v>=Fertiliser_Equations_OrganicN2O.VEERG_5_2_1_1__2_MassOfNitrogenInOrganicFertiliser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Fertiliser_Equations_OrganicN2O.VEERG_5_2_1_1__2_MassOfNitrogenInOrganicFertiliser_Variable()</f>
        <v>MNSoil_jf</v>
      </c>
    </row>
    <row r="11" spans="1:21" ht="20.100000000000001" customHeight="1" x14ac:dyDescent="0.2">
      <c r="A11" s="5" t="str">
        <f>HYPERLINK("#'Input - Poultry'!A1", "Poultry")</f>
        <v>Poultry</v>
      </c>
      <c r="D11" s="75" t="s">
        <v>118</v>
      </c>
      <c r="E11" s="9" t="str" cm="1">
        <f t="array" ref="E11">Fertiliser_Equations_OrganicN2O.VEERG_5_2_1_1__2_MassOfNitrogenInOrganicFertiliser_Unit()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26" t="str" cm="1">
        <f t="array" ref="D13:E15">_xlfn.CHOOSECOLS(Fertiliser_Equations_OrganicN2O.VEERG_5_2_1_1__2_MassOfNitrogenInOrganicFertiliser_Arguments(), 1, 2)</f>
        <v>M_organicjf</v>
      </c>
      <c r="E13" s="129" t="str">
        <v>mass of organic fertiliser type f applied to production system j</v>
      </c>
      <c r="F13" s="223"/>
      <c r="G13" s="113" t="str" cm="1">
        <f t="array" ref="G13:H15">_xlfn.CHOOSECOLS(Fertiliser_Equations_OrganicN2O.VEERG_5_2_1_1__2_MassOfNitrogenInOrganicFertiliser_Arguments(), 3,4)</f>
        <v>kg</v>
      </c>
      <c r="H13" s="114" t="str">
        <v>Input</v>
      </c>
      <c r="I13" s="116" t="str" cm="1">
        <f t="array" aca="1" ref="I13" ca="1">HYPERLINK(Common_InputFunctions.Utility_SourceHyperlink($D$17), $D$17)</f>
        <v>Table_MNSoil_j_f</v>
      </c>
    </row>
    <row r="14" spans="1:21" ht="20.100000000000001" customHeight="1" x14ac:dyDescent="0.2">
      <c r="A14" s="5" t="str">
        <f>HYPERLINK("#'Input - Fuel'!A1", "Fuel")</f>
        <v>Fuel</v>
      </c>
      <c r="D14" s="126" t="str">
        <v>FN_organicf</v>
      </c>
      <c r="E14" s="129" t="str">
        <v>nitrogen fraction of organic fertiliser type f</v>
      </c>
      <c r="F14" s="223"/>
      <c r="G14" s="113" t="str">
        <v>kg N/kg</v>
      </c>
      <c r="H14" s="114" t="str">
        <v>Input</v>
      </c>
      <c r="I14" s="116" t="str" cm="1">
        <f t="array" aca="1" ref="I14" ca="1">HYPERLINK(Common_InputFunctions.Utility_SourceHyperlink($D$17), $D$17)</f>
        <v>Table_MNSoil_j_f</v>
      </c>
    </row>
    <row r="15" spans="1:21" ht="20.100000000000001" customHeight="1" x14ac:dyDescent="0.2">
      <c r="A15" s="5" t="str">
        <f>HYPERLINK("#'Input - Electricity'!A1", "Electricity")</f>
        <v>Electricity</v>
      </c>
      <c r="D15" s="126" t="str">
        <v>f</v>
      </c>
      <c r="E15" s="129" t="str">
        <v>Organic fertiliser type</v>
      </c>
      <c r="F15" s="223"/>
      <c r="G15" s="113" t="str">
        <v/>
      </c>
      <c r="H15" s="114" t="str">
        <v>Input</v>
      </c>
      <c r="I15" s="116" t="str" cm="1">
        <f t="array" aca="1" ref="I15" ca="1">HYPERLINK(Common_InputFunctions.Utility_SourceHyperlink($D$17), $D$17)</f>
        <v>Table_MNSoil_j_f</v>
      </c>
    </row>
    <row r="16" spans="1:21" ht="20.100000000000001" customHeight="1" x14ac:dyDescent="0.2">
      <c r="A16" s="5" t="str">
        <f>HYPERLINK("#'Input - Common farm inputs'!A1", "Common farm inputs")</f>
        <v>Common farm inputs</v>
      </c>
    </row>
    <row r="17" spans="1:10" ht="20.100000000000001" customHeight="1" x14ac:dyDescent="0.2">
      <c r="A17" s="5" t="str">
        <f>HYPERLINK("#'Input - Livestock farm Inputs'!A1", "Livestock farm Inputs")</f>
        <v>Livestock farm Inputs</v>
      </c>
      <c r="D17" s="118" t="s">
        <v>800</v>
      </c>
    </row>
    <row r="18" spans="1:10" ht="20.100000000000001" customHeight="1" x14ac:dyDescent="0.2">
      <c r="A18" s="5" t="str">
        <f>HYPERLINK("#'Input - Freight'!A1", "Freight")</f>
        <v>Freight</v>
      </c>
      <c r="D18" s="119" t="s">
        <v>801</v>
      </c>
    </row>
    <row r="19" spans="1:10" ht="20.100000000000001" customHeight="1" x14ac:dyDescent="0.2">
      <c r="A19" s="5" t="str">
        <f>HYPERLINK("#'Input - Solid waste'!A1", "Solid waste")</f>
        <v>Solid waste</v>
      </c>
      <c r="D19" s="78" t="s">
        <v>802</v>
      </c>
      <c r="E19" s="78" t="s">
        <v>803</v>
      </c>
      <c r="F19" s="78" t="s">
        <v>694</v>
      </c>
      <c r="G19" s="227" t="s">
        <v>804</v>
      </c>
      <c r="H19" s="78" t="s">
        <v>805</v>
      </c>
      <c r="I19" s="227" t="s">
        <v>806</v>
      </c>
    </row>
    <row r="20" spans="1:10" ht="20.100000000000001" customHeight="1" x14ac:dyDescent="0.2">
      <c r="A20" s="5" t="str">
        <f>HYPERLINK("#'Input - Manure sent off-site'!A1", "Manure sent off-site")</f>
        <v>Manure sent off-site</v>
      </c>
      <c r="D20" s="15" t="str" cm="1">
        <f t="array" ref="D20:D22">Table_Input_OrganicFertiliser[Organic fertiliser type (select)]</f>
        <v>Manure - Other</v>
      </c>
      <c r="E20" s="228" cm="1">
        <f t="array" ref="E20:E22">Table_Input_OrganicFertiliser[Amount applied (kg/hectare)]</f>
        <v>10</v>
      </c>
      <c r="F20" s="228" cm="1">
        <f t="array" ref="F20:F22">Table_Input_OrganicFertiliser[Application area (ha)]</f>
        <v>100</v>
      </c>
      <c r="G20" s="15" cm="1">
        <f t="array" ref="G20:G22">Table_Input_OrganicFertiliser[Amount applied (kg/hectare)]*Table_Input_OrganicFertiliser[Application area (ha)]</f>
        <v>1000</v>
      </c>
      <c r="H20" s="229" cm="1">
        <f t="array" ref="H20:H22">Table_Input_OrganicFertiliser[Percentage of N in fertiliser]</f>
        <v>0.3</v>
      </c>
      <c r="I20" s="15" cm="1">
        <f t="array" ref="I20">Fertiliser_Equations_OrganicN2O.VEERG_5_2_1_1__2_MassOfNitrogenInOrganicFertiliser(G20,H20)</f>
        <v>300</v>
      </c>
    </row>
    <row r="21" spans="1:10" ht="20.100000000000001" customHeight="1" x14ac:dyDescent="0.2">
      <c r="A21" s="5" t="str">
        <f>HYPERLINK("#'Input - Data quality'!A1", "Data quality")</f>
        <v>Data quality</v>
      </c>
      <c r="D21" s="15" t="str">
        <v>Manure - Poultry</v>
      </c>
      <c r="E21" s="15">
        <v>10</v>
      </c>
      <c r="F21" s="15">
        <v>100</v>
      </c>
      <c r="G21" s="15">
        <v>1000</v>
      </c>
      <c r="H21" s="15">
        <v>0.25</v>
      </c>
      <c r="I21" s="15" cm="1">
        <f t="array" ref="I21">Fertiliser_Equations_Organic.VEERG_5_2_1_1__2_MassOfNitrogenInOrganicFertiliser(G21,H21)</f>
        <v>250</v>
      </c>
    </row>
    <row r="22" spans="1:10" ht="20.100000000000001" customHeight="1" x14ac:dyDescent="0.2">
      <c r="A22" s="5" t="str">
        <f>HYPERLINK("#'Input - Fert Prod System'!A1", "Fert Prod System")</f>
        <v>Fert Prod System</v>
      </c>
      <c r="D22" s="15" t="str">
        <v>Other organic fertiliser</v>
      </c>
      <c r="E22" s="15">
        <v>10</v>
      </c>
      <c r="F22" s="15">
        <v>100</v>
      </c>
      <c r="G22" s="15">
        <v>1000</v>
      </c>
      <c r="H22" s="15">
        <v>0.16</v>
      </c>
      <c r="I22" s="15" cm="1">
        <f t="array" ref="I22">Fertiliser_Equations_Organic.VEERG_5_2_1_1__2_MassOfNitrogenInOrganicFertiliser(G22,H22)</f>
        <v>160</v>
      </c>
    </row>
    <row r="23" spans="1:10" ht="20.100000000000001" customHeight="1" x14ac:dyDescent="0.2">
      <c r="A23" s="5" t="str">
        <f>HYPERLINK("#'Input - Fertiliser'!A1", "Fertiliser")</f>
        <v>Fertiliser</v>
      </c>
      <c r="D23" s="15"/>
      <c r="E23" s="15"/>
      <c r="F23" s="15"/>
      <c r="G23" s="15"/>
      <c r="H23" s="15"/>
      <c r="I23" s="15" cm="1">
        <f t="array" ref="I23">Fertiliser_Equations_Organic.VEERG_5_2_1_1__2_MassOfNitrogenInOrganicFertiliser(G23,H23)</f>
        <v>0</v>
      </c>
    </row>
    <row r="24" spans="1:10" ht="20.100000000000001" customHeight="1" x14ac:dyDescent="0.2">
      <c r="D24" s="15"/>
      <c r="E24" s="15"/>
      <c r="F24" s="15"/>
      <c r="G24" s="15"/>
      <c r="H24" s="15"/>
      <c r="I24" s="15" cm="1">
        <f t="array" ref="I24">Fertiliser_Equations_Organic.VEERG_5_2_1_1__2_MassOfNitrogenInOrganicFertiliser(G24,H24)</f>
        <v>0</v>
      </c>
    </row>
    <row r="25" spans="1:10" ht="20.100000000000001" customHeight="1" x14ac:dyDescent="0.2">
      <c r="D25" s="15"/>
      <c r="E25" s="15"/>
      <c r="F25" s="15"/>
      <c r="G25" s="15"/>
      <c r="H25" s="15"/>
      <c r="I25" s="15" cm="1">
        <f t="array" ref="I25">Fertiliser_Equations_Organic.VEERG_5_2_1_1__2_MassOfNitrogenInOrganicFertiliser(G25,H25)</f>
        <v>0</v>
      </c>
    </row>
    <row r="26" spans="1:10" ht="20.100000000000001" customHeight="1" x14ac:dyDescent="0.2">
      <c r="A26" s="6" t="s">
        <v>2</v>
      </c>
      <c r="D26" s="15"/>
      <c r="E26" s="15"/>
      <c r="F26" s="15"/>
      <c r="G26" s="15"/>
      <c r="H26" s="15"/>
      <c r="I26" s="15" cm="1">
        <f t="array" ref="I26">Fertiliser_Equations_Organic.VEERG_5_2_1_1__2_MassOfNitrogenInOrganicFertiliser(G26,H26)</f>
        <v>0</v>
      </c>
    </row>
    <row r="27" spans="1:10" ht="20.100000000000001" customHeight="1" x14ac:dyDescent="0.2">
      <c r="A27" s="5" t="str">
        <f>HYPERLINK("#'4.6.1.1-2 Methane'!A1", "4.6.1.1-2 Manure Methane")</f>
        <v>4.6.1.1-2 Manure Methane</v>
      </c>
      <c r="D27" s="15"/>
      <c r="E27" s="15"/>
      <c r="F27" s="15"/>
      <c r="G27" s="15"/>
      <c r="H27" s="15"/>
      <c r="I27" s="15" cm="1">
        <f t="array" ref="I27">Fertiliser_Equations_Organic.VEERG_5_2_1_1__2_MassOfNitrogenInOrganicFertiliser(G27,H27)</f>
        <v>0</v>
      </c>
    </row>
    <row r="28" spans="1:10" ht="20.100000000000001" customHeight="1" x14ac:dyDescent="0.2">
      <c r="A28" s="5" t="str">
        <f>HYPERLINK("#'4.6.1.3-4 Direct N20'!A1", "4.6.1.3-4 Manure Direct N2O")</f>
        <v>4.6.1.3-4 Manure Direct N2O</v>
      </c>
      <c r="D28" s="15"/>
      <c r="E28" s="15"/>
      <c r="F28" s="15"/>
      <c r="G28" s="15"/>
      <c r="H28" s="15"/>
      <c r="I28" s="15" cm="1">
        <f t="array" ref="I28">Fertiliser_Equations_Organic.VEERG_5_2_1_1__2_MassOfNitrogenInOrganicFertiliser(G28,H28)</f>
        <v>0</v>
      </c>
    </row>
    <row r="29" spans="1:10" ht="20.100000000000001" customHeight="1" x14ac:dyDescent="0.2">
      <c r="A29" s="5" t="str">
        <f>HYPERLINK("#'4.6.1.5-6 Atmos Dep'!A1", "4.6.1.5-6 Manure Atmos Dep")</f>
        <v>4.6.1.5-6 Manure Atmos Dep</v>
      </c>
      <c r="D29" s="15"/>
      <c r="E29" s="15"/>
      <c r="F29" s="15"/>
      <c r="G29" s="15"/>
      <c r="H29" s="15"/>
      <c r="I29" s="15" cm="1">
        <f t="array" ref="I29">Fertiliser_Equations_Organic.VEERG_5_2_1_1__2_MassOfNitrogenInOrganicFertiliser(G29,H29)</f>
        <v>0</v>
      </c>
    </row>
    <row r="30" spans="1:10" ht="20.100000000000001" customHeight="1" x14ac:dyDescent="0.2">
      <c r="A30" s="5" t="str">
        <f>HYPERLINK("#'4.6.1.7-8 Leaching and runoff'!A1", "4.6.1.7-8 Manure Leaching and runoff")</f>
        <v>4.6.1.7-8 Manure Leaching and runoff</v>
      </c>
      <c r="D30" s="15"/>
      <c r="E30" s="15"/>
      <c r="F30" s="15"/>
      <c r="G30" s="15"/>
      <c r="H30" s="15"/>
      <c r="I30" s="15" cm="1">
        <f t="array" ref="I30">Fertiliser_Equations_Organic.VEERG_5_2_1_1__2_MassOfNitrogenInOrganicFertiliser(G30,H30)</f>
        <v>0</v>
      </c>
    </row>
    <row r="31" spans="1:10" ht="20.100000000000001" customHeight="1" x14ac:dyDescent="0.2">
      <c r="A31" s="5" t="str">
        <f>HYPERLINK("#'4.6.1.9 Manure applied to soils'!A1", "4.6.1.9 Manure applied to soils")</f>
        <v>4.6.1.9 Manure applied to soils</v>
      </c>
      <c r="D31" s="154"/>
      <c r="E31" s="154"/>
      <c r="F31" s="154"/>
      <c r="G31" s="154"/>
      <c r="H31" s="154"/>
      <c r="I31" s="154"/>
      <c r="J31" s="154"/>
    </row>
    <row r="32" spans="1:10" ht="20.100000000000001" customHeight="1" x14ac:dyDescent="0.2">
      <c r="A32" s="5" t="str">
        <f>HYPERLINK("#'4.6.1.10-11 Soil direct N2O'!A1", "4.6.1.10-11 Soil direct N2O")</f>
        <v>4.6.1.10-11 Soil direct N2O</v>
      </c>
      <c r="D32" s="88" t="s">
        <v>807</v>
      </c>
      <c r="E32" s="88">
        <f>SUM(I20:I30)</f>
        <v>710</v>
      </c>
      <c r="F32" s="230" t="str">
        <f>$E$11</f>
        <v>kg N</v>
      </c>
      <c r="G32" s="154"/>
      <c r="H32" s="154"/>
      <c r="I32" s="154"/>
      <c r="J32" s="154"/>
    </row>
    <row r="33" spans="1:12" ht="20.100000000000001" customHeight="1" x14ac:dyDescent="0.2">
      <c r="A33" s="5" t="str">
        <f>HYPERLINK("#'4.6.1.12-13 Soil atmos dep'!A1", "4.6.1.12-13 Soil atmos dep")</f>
        <v>4.6.1.12-13 Soil atmos dep</v>
      </c>
    </row>
    <row r="34" spans="1:12" ht="20.100000000000001" customHeight="1" x14ac:dyDescent="0.2">
      <c r="A34" s="5" t="str">
        <f>HYPERLINK("#'4.6.1.14-15 Soil leach runoff'!A1", "4.6.1.14-15 Soil leach runoff")</f>
        <v>4.6.1.14-15 Soil leach runoff</v>
      </c>
    </row>
    <row r="35" spans="1:12" ht="20.100000000000001" customHeight="1" x14ac:dyDescent="0.2">
      <c r="A35" s="5" t="str">
        <f>HYPERLINK("#'8.1.1.1-2 Transport fuel'!A1", "8.1.1.1-2 Transport fuel")</f>
        <v>8.1.1.1-2 Transport fuel</v>
      </c>
      <c r="C35" s="231"/>
      <c r="D35" s="231"/>
      <c r="E35" s="231"/>
      <c r="F35" s="231"/>
      <c r="G35" s="231"/>
      <c r="H35" s="231"/>
      <c r="I35" s="231"/>
      <c r="J35" s="231"/>
      <c r="K35" s="231"/>
      <c r="L35" s="231"/>
    </row>
    <row r="36" spans="1:12" ht="20.100000000000001" customHeight="1" x14ac:dyDescent="0.2">
      <c r="A36" s="5" t="str">
        <f>HYPERLINK("#'8.2.1.1-2 Stationary fuel'!A1", "8.2.1.1-2 Stationary fuel")</f>
        <v>8.2.1.1-2 Stationary fuel</v>
      </c>
      <c r="D36" s="2" t="str" cm="1">
        <f t="array" ref="D36">Fertiliser_Equations_OrganicN2O.VEERG_5_2_1_1__1_OrganicFertiliserApplicationN2OEmissions_Title()</f>
        <v>Nitrous oxide emissions from the application of all organic fertiliser types f to all production systems j</v>
      </c>
    </row>
    <row r="37" spans="1:12" ht="20.100000000000001" customHeight="1" x14ac:dyDescent="0.2">
      <c r="A37" s="5" t="str">
        <f>HYPERLINK("#'10.1.1-2 Solid waste treatment'!A1", "10.1.1.1-2 Solid waste")</f>
        <v>10.1.1.1-2 Solid waste</v>
      </c>
      <c r="D37" s="17" t="str" cm="1">
        <f t="array" ref="D37">Fertiliser_Equations_OrganicN2O.VEERG_5_2_1_1__1_OrganicFertiliserApplicationN2OEmissions_Source()</f>
        <v>VEERG 2026: 5.2.1.1, Equation (1)</v>
      </c>
    </row>
    <row r="38" spans="1:12" ht="20.100000000000001" customHeight="1" x14ac:dyDescent="0.2">
      <c r="A38" s="5" t="str">
        <f>HYPERLINK("#'14.1.1-2 Purchased electricity'!A1", "14.1.1-2 Purchased electricity")</f>
        <v>14.1.1-2 Purchased electricity</v>
      </c>
      <c r="D38" s="112" t="s">
        <v>328</v>
      </c>
      <c r="E38" s="112" t="str" cm="1">
        <f t="array" aca="1" ref="E38" ca="1">Common_InputFunctions.Utility_DisplayFunctionName($I$20)</f>
        <v>=Fertiliser_Equations_OrganicN2O.VEERG_5_2_1_1__2_MassOfNitrogenInOrganicFertiliser</v>
      </c>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row>
    <row r="41" spans="1:12" ht="20.100000000000001" customHeight="1" x14ac:dyDescent="0.2">
      <c r="A41" s="5" t="str">
        <f>HYPERLINK("#'5.1.1.1-2 Inorganic fert N2O'!A1", "5.1.1.1-2 Inorganic fert N2O")</f>
        <v>5.1.1.1-2 Inorganic fert N2O</v>
      </c>
      <c r="D41" s="75" t="s">
        <v>329</v>
      </c>
      <c r="E41" s="1" t="str" cm="1">
        <f t="array" ref="E41">Fertiliser_Equations_OrganicN2O.VEERG_5_2_1_1__1_OrganicFertiliserApplicationN2OEmissions_Variable()</f>
        <v>E_N2O</v>
      </c>
    </row>
    <row r="42" spans="1:12" ht="20.100000000000001" customHeight="1" x14ac:dyDescent="0.2">
      <c r="A42" s="5" t="str">
        <f>HYPERLINK("#'5.1.1.3-4 Inorganic fert CO2'!A1", "5.1.1.3-4 Inorganic fert CO2")</f>
        <v>5.1.1.3-4 Inorganic fert CO2</v>
      </c>
      <c r="D42" s="75" t="s">
        <v>118</v>
      </c>
      <c r="E42" s="9" t="str" cm="1">
        <f t="array" ref="E42">Fertiliser_Equations_OrganicN2O.VEERG_5_2_1_1__1_OrganicFertiliserApplicationN2OEmissions_Unit()</f>
        <v>t N2O</v>
      </c>
    </row>
    <row r="43" spans="1:12" ht="20.100000000000001" customHeight="1" x14ac:dyDescent="0.2">
      <c r="A43" s="117" t="str">
        <f>HYPERLINK("#'5.2.1.1-2 Organic Fert N2O'!A1", "5.2.1.1-2 Organic Fert N2O")</f>
        <v>5.2.1.1-2 Organic Fert N2O</v>
      </c>
    </row>
    <row r="44" spans="1:12" ht="20.100000000000001" customHeight="1" x14ac:dyDescent="0.2">
      <c r="A44" s="5" t="str">
        <f>HYPERLINK("#'5.3.1.1-2 Lime CO2'!A1", "5.3.1.1-2 Lime CO2")</f>
        <v>5.3.1.1-2 Lime CO2</v>
      </c>
      <c r="D44" s="113" t="str" cm="1">
        <f t="array" ref="D44:E48">_xlfn.CHOOSECOLS(Fertiliser_Equations_OrganicN2O.VEERG_5_2_1_1__1_OrganicFertiliserApplicationN2OEmissions_Arguments(), 1, 2)</f>
        <v>MNSoil_jf</v>
      </c>
      <c r="E44" s="122" t="str">
        <v>mass of nitrogen in organic fertiliser type f applied to production system j</v>
      </c>
      <c r="F44" s="136"/>
      <c r="G44" s="136"/>
      <c r="H44" s="123"/>
      <c r="I44" s="113" t="str" cm="1">
        <f t="array" ref="I44:J48">_xlfn.CHOOSECOLS(Fertiliser_Equations_OrganicN2O.VEERG_5_2_1_1__1_OrganicFertiliserApplicationN2OEmissions_Arguments(), 3,4)</f>
        <v>kg N</v>
      </c>
      <c r="J44" s="115" t="str">
        <v>Calculated from 5.2.1.1 (2)</v>
      </c>
      <c r="K44" s="113">
        <f>$E$32</f>
        <v>710</v>
      </c>
    </row>
    <row r="45" spans="1:12" ht="20.100000000000001" customHeight="1" x14ac:dyDescent="0.2">
      <c r="A45" s="5" t="str">
        <f>HYPERLINK("#'5.4.1.1-4 Atmos deposition'!A1", "5.4.1.1-4 Atmos deposition")</f>
        <v>5.4.1.1-4 Atmos deposition</v>
      </c>
      <c r="D45" s="113" t="str">
        <v>EF_N2Oi</v>
      </c>
      <c r="E45" s="122" t="str">
        <v>emission factor for direct nitrous oxide emissions from organic fertiliser applied to soils and aquatic systems in climate zone i</v>
      </c>
      <c r="F45" s="136"/>
      <c r="G45" s="136"/>
      <c r="H45" s="123"/>
      <c r="I45" s="113" t="str">
        <v>kg N2O-N/kg N</v>
      </c>
      <c r="J45" s="115" t="str">
        <v>Lookup</v>
      </c>
      <c r="K45" s="113">
        <f>Common_InputFunctions.Utility_LookupValueInTableNumber(K48, Table_SourceData_Common_EFOrganicFertCropResidues[Climate Zone],Table_SourceData_Common_EFOrganicFertCropResidues[EFNi &amp; EFN2Oi])</f>
        <v>0</v>
      </c>
    </row>
    <row r="46" spans="1:12" ht="20.100000000000001" customHeight="1" x14ac:dyDescent="0.2">
      <c r="A46" s="5" t="str">
        <f>HYPERLINK("#'5.5.1.1-2 Leaching and runoff'!A1", "5.5.1.1-2 Leaching and runoff")</f>
        <v>5.5.1.1-2 Leaching and runoff</v>
      </c>
      <c r="D46" s="113" t="str">
        <v>C_N2O</v>
      </c>
      <c r="E46" s="122" t="str">
        <v>factor to convert elemental mass of nitrous oxide to molecular mass</v>
      </c>
      <c r="F46" s="136"/>
      <c r="G46" s="136"/>
      <c r="H46" s="123"/>
      <c r="I46" s="113" t="str">
        <v/>
      </c>
      <c r="J46" s="115" t="str">
        <v>Constant</v>
      </c>
      <c r="K46" s="126">
        <f>Common_InputFunctions.Utility_LookupValueInTableNumber("N2O",Table_GasToMolecularConversionFactor[Gas],Table_GasToMolecularConversionFactor[Conversion factor combined])</f>
        <v>1.5714285714285714</v>
      </c>
    </row>
    <row r="47" spans="1:12" ht="20.100000000000001" customHeight="1" x14ac:dyDescent="0.2">
      <c r="D47" s="113" t="str">
        <v>j</v>
      </c>
      <c r="E47" s="122" t="str">
        <v>Production system</v>
      </c>
      <c r="F47" s="136"/>
      <c r="G47" s="136"/>
      <c r="H47" s="123"/>
      <c r="I47" s="113" t="str">
        <v/>
      </c>
      <c r="J47" s="114" t="str">
        <v>Input</v>
      </c>
      <c r="K47" s="113" t="str">
        <f>X_Cell_Fertiliser_ProductionSystem</f>
        <v>Crop</v>
      </c>
    </row>
    <row r="48" spans="1:12" ht="20.100000000000001" customHeight="1" x14ac:dyDescent="0.2">
      <c r="D48" s="113" t="str">
        <v>i</v>
      </c>
      <c r="E48" s="122" t="str">
        <v>Wet or dry climate zone</v>
      </c>
      <c r="F48" s="136"/>
      <c r="G48" s="136"/>
      <c r="H48" s="123"/>
      <c r="I48" s="113" t="str">
        <v/>
      </c>
      <c r="J48" s="114" t="str">
        <v>Input</v>
      </c>
      <c r="K48" s="113">
        <f>X_Cell_Site_WetOrDryClimateZone</f>
        <v>0</v>
      </c>
    </row>
    <row r="49" spans="1:7" ht="20.100000000000001" customHeight="1" x14ac:dyDescent="0.2">
      <c r="A49" s="80" t="s">
        <v>1</v>
      </c>
    </row>
    <row r="50" spans="1:7" ht="20.100000000000001" customHeight="1" x14ac:dyDescent="0.2">
      <c r="A50" s="5" t="str">
        <f>HYPERLINK("#'Constants - Poultry'!A1", "Constants - Poultry")</f>
        <v>Constants - Poultry</v>
      </c>
      <c r="D50" s="85" t="s">
        <v>781</v>
      </c>
      <c r="E50" s="86" cm="1">
        <f t="array" ref="E50">Fertiliser_Equations_OrganicN2O.VEERG_5_2_1_1__1_OrganicFertiliserApplicationN2OEmissions(K44,K45,K46)</f>
        <v>0</v>
      </c>
      <c r="F50" s="95" t="str">
        <f>$E$42</f>
        <v>t N2O</v>
      </c>
    </row>
    <row r="51" spans="1:7" ht="20.100000000000001" customHeight="1" x14ac:dyDescent="0.2">
      <c r="A51" s="5" t="str">
        <f>HYPERLINK("#'Constants - Common livestock'!A1", "Constants - Common Livestock")</f>
        <v>Constants - Common Livestock</v>
      </c>
    </row>
    <row r="52" spans="1:7" ht="20.100000000000001" customHeight="1" x14ac:dyDescent="0.2">
      <c r="A52" s="5" t="str">
        <f>HYPERLINK("#'Constants - Electricity'!A1", "Constants - Electricity")</f>
        <v>Constants - Electricity</v>
      </c>
      <c r="D52" s="126" t="str" cm="1">
        <f t="array" ref="D52:E53">Common_Equations.Common_ConvertN2OToCO2e_Arguments()</f>
        <v>EN2O</v>
      </c>
      <c r="E52" s="129" t="str">
        <v>Nitrous oxide emissions (t N2O)</v>
      </c>
      <c r="F52" s="130"/>
      <c r="G52" s="15">
        <f>VEERG_5_2_1_1__2_MassOfNitrogenInOrganicFertiliser_Result_Method1</f>
        <v>0</v>
      </c>
    </row>
    <row r="53" spans="1:7" ht="20.100000000000001" customHeight="1" x14ac:dyDescent="0.2">
      <c r="A53" s="5" t="str">
        <f>HYPERLINK("#'Constants - Fertiliser'!A1", "Constants - Fertiliser")</f>
        <v>Constants - Fertiliser</v>
      </c>
      <c r="D53" s="126" t="str">
        <v>GWPN2O</v>
      </c>
      <c r="E53" s="129" t="str">
        <v>Global warming potential for nitrous oxide (t CO2-e / t N2O)</v>
      </c>
      <c r="F53" s="130"/>
      <c r="G53" s="15">
        <f>Common_InputFunctions.Utility_LookupValueInTableNumber("N2O",Table_GWPData[Gas],Table_GWPData[CO2-e factor])</f>
        <v>265</v>
      </c>
    </row>
    <row r="54" spans="1:7" ht="20.100000000000001" customHeight="1" x14ac:dyDescent="0.2">
      <c r="A54" s="5" t="str">
        <f>HYPERLINK("#'Constants - Fuel'!A1", "Constants - Fuel")</f>
        <v>Constants - Fuel</v>
      </c>
    </row>
    <row r="55" spans="1:7" ht="20.100000000000001" customHeight="1" x14ac:dyDescent="0.2">
      <c r="A55" s="5" t="str">
        <f>HYPERLINK("#'Constants - Scope 3'!A1", "Constants - Scope 3")</f>
        <v>Constants - Scope 3</v>
      </c>
      <c r="D55" s="83" t="s">
        <v>377</v>
      </c>
      <c r="E55" s="83" cm="1">
        <f t="array" ref="E55">Common_Equations.Common_ConvertN2OToCO2e(G52,G53)</f>
        <v>0</v>
      </c>
      <c r="F55" s="89" t="str" cm="1">
        <f t="array" ref="F55">Common_Equations.Common_ConvertN2OToCO2e_Unit()</f>
        <v>t CO2e</v>
      </c>
    </row>
    <row r="56" spans="1:7" ht="20.100000000000001" customHeight="1" x14ac:dyDescent="0.2">
      <c r="A56" s="5" t="str">
        <f>HYPERLINK("#'Constants - Solid Waste'!A1", "Constants - Solid Waste")</f>
        <v>Constants - Solid Waste</v>
      </c>
    </row>
    <row r="57" spans="1:7"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AF8A74-412D-4108-AE34-70B304E73A8D}">
  <sheetPr>
    <tabColor rgb="FF008000"/>
  </sheetPr>
  <dimension ref="A1:U57"/>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808</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Fertiliser_Equations_Lime.VEERG_5_3_1_1__1_LimeApplicationCO2Emissions_Title()</f>
        <v>Emissions from the application of lime and dolomite to production systems</v>
      </c>
    </row>
    <row r="6" spans="1:21" ht="20.100000000000001" customHeight="1" x14ac:dyDescent="0.2">
      <c r="D6" s="17" t="str" cm="1">
        <f t="array" ref="D6">Fertiliser_Equations_Lime.VEERG_5_3_1_1__1_LimeApplicationCO2Emissions_Source()</f>
        <v>VEERG 2026: 5.3.1.1, Equation (1)</v>
      </c>
    </row>
    <row r="7" spans="1:21" ht="20.100000000000001" customHeight="1" x14ac:dyDescent="0.2">
      <c r="D7" s="112" t="s">
        <v>328</v>
      </c>
      <c r="E7" s="112" t="str" cm="1">
        <f t="array" aca="1" ref="E7" ca="1">Common_InputFunctions.Utility_DisplayFunctionName(H25)</f>
        <v>=Fertiliser_Equations_Lime.VEERG_5_3_1_1__1_LimeApplicationCO2Emissions</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Fertiliser_Equations_Lime.VEERG_5_3_1_1__1_LimeApplicationCO2Emissions_Variable()</f>
        <v>E_lime</v>
      </c>
    </row>
    <row r="11" spans="1:21" ht="20.100000000000001" customHeight="1" x14ac:dyDescent="0.2">
      <c r="A11" s="5" t="str">
        <f>HYPERLINK("#'Input - Poultry'!A1", "Poultry")</f>
        <v>Poultry</v>
      </c>
      <c r="D11" s="75" t="s">
        <v>118</v>
      </c>
      <c r="E11" s="9" t="str" cm="1">
        <f t="array" ref="E11">Fertiliser_Equations_Lime.VEERG_5_3_1_1__1_LimeApplicationCO2Emissions_Unit()</f>
        <v>t CO2</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20">_xlfn.CHOOSECOLS(Fertiliser_Equations_Lime.VEERG_5_3_1_1__1_LimeApplicationCO2Emissions_Arguments(), 1, 2)</f>
        <v>M_lime</v>
      </c>
      <c r="E13" s="122" t="str">
        <v>total mass of lime applied to production system</v>
      </c>
      <c r="F13" s="123"/>
      <c r="G13" s="113" t="str" cm="1">
        <f t="array" ref="G13:H20">_xlfn.CHOOSECOLS(Fertiliser_Equations_Lime.VEERG_5_3_1_1__1_LimeApplicationCO2Emissions_Arguments(), 3,4)</f>
        <v>kg</v>
      </c>
      <c r="H13" s="114" t="str">
        <v>Input</v>
      </c>
      <c r="I13" s="116" t="str" cm="1">
        <f t="array" aca="1" ref="I13" ca="1">HYPERLINK(Common_InputFunctions.Utility_SourceHyperlink($D$22), $D$22)</f>
        <v>Table_E_lime</v>
      </c>
    </row>
    <row r="14" spans="1:21" ht="20.100000000000001" customHeight="1" x14ac:dyDescent="0.2">
      <c r="A14" s="5" t="str">
        <f>HYPERLINK("#'Input - Fuel'!A1", "Fuel")</f>
        <v>Fuel</v>
      </c>
      <c r="D14" s="113" t="str">
        <v>FracLime</v>
      </c>
      <c r="E14" s="122" t="str">
        <v>fraction of lime as limestone (CaCO3)</v>
      </c>
      <c r="F14" s="123"/>
      <c r="G14" s="113" t="str">
        <v>fraction</v>
      </c>
      <c r="H14" s="114" t="str">
        <v>Input</v>
      </c>
      <c r="I14" s="116" t="str" cm="1">
        <f t="array" aca="1" ref="I14" ca="1">HYPERLINK(Common_InputFunctions.Utility_SourceHyperlink($D$22), $D$22)</f>
        <v>Table_E_lime</v>
      </c>
    </row>
    <row r="15" spans="1:21" ht="20.100000000000001" customHeight="1" x14ac:dyDescent="0.2">
      <c r="A15" s="5" t="str">
        <f>HYPERLINK("#'Input - Electricity'!A1", "Electricity")</f>
        <v>Electricity</v>
      </c>
      <c r="D15" s="113" t="str">
        <v>P_lime</v>
      </c>
      <c r="E15" s="122" t="str">
        <v>fractional purity of limestone</v>
      </c>
      <c r="F15" s="123"/>
      <c r="G15" s="113" t="str">
        <v>fraction</v>
      </c>
      <c r="H15" s="115" t="str">
        <v>Constant</v>
      </c>
      <c r="I15" s="113">
        <f>'Constants - Fertiliser'!$E$66</f>
        <v>0.9</v>
      </c>
    </row>
    <row r="16" spans="1:21" ht="20.100000000000001" customHeight="1" x14ac:dyDescent="0.2">
      <c r="A16" s="5" t="str">
        <f>HYPERLINK("#'Input - Common farm inputs'!A1", "Common farm inputs")</f>
        <v>Common farm inputs</v>
      </c>
      <c r="D16" s="113" t="str">
        <v>EF_lime</v>
      </c>
      <c r="E16" s="122" t="str">
        <v>emission factor for limestone fraction of lime</v>
      </c>
      <c r="F16" s="123"/>
      <c r="G16" s="113" t="str">
        <v>kg C/kg</v>
      </c>
      <c r="H16" s="115" t="str">
        <v>Constant</v>
      </c>
      <c r="I16" s="113">
        <f>'Constants - Fertiliser'!$F$66</f>
        <v>0.12</v>
      </c>
    </row>
    <row r="17" spans="1:9" ht="20.100000000000001" customHeight="1" x14ac:dyDescent="0.2">
      <c r="A17" s="5" t="str">
        <f>HYPERLINK("#'Input - Livestock farm Inputs'!A1", "Livestock farm Inputs")</f>
        <v>Livestock farm Inputs</v>
      </c>
      <c r="D17" s="113" t="str">
        <v>FracDol</v>
      </c>
      <c r="E17" s="122" t="str">
        <v>fraction of lime as dolomite</v>
      </c>
      <c r="F17" s="123"/>
      <c r="G17" s="113" t="str">
        <v>fraction</v>
      </c>
      <c r="H17" s="114" t="str">
        <v>Input</v>
      </c>
      <c r="I17" s="116" t="str" cm="1">
        <f t="array" aca="1" ref="I17" ca="1">HYPERLINK(Common_InputFunctions.Utility_SourceHyperlink($D$22), $D$22)</f>
        <v>Table_E_lime</v>
      </c>
    </row>
    <row r="18" spans="1:9" ht="20.100000000000001" customHeight="1" x14ac:dyDescent="0.2">
      <c r="A18" s="5" t="str">
        <f>HYPERLINK("#'Input - Freight'!A1", "Freight")</f>
        <v>Freight</v>
      </c>
      <c r="D18" s="113" t="str">
        <v>P_dol</v>
      </c>
      <c r="E18" s="122" t="str">
        <v>fractional purity of dolomite</v>
      </c>
      <c r="F18" s="123"/>
      <c r="G18" s="113" t="str">
        <v>fraction</v>
      </c>
      <c r="H18" s="115" t="str">
        <v>Constant</v>
      </c>
      <c r="I18" s="113">
        <f>'Constants - Fertiliser'!$E$67</f>
        <v>0.95</v>
      </c>
    </row>
    <row r="19" spans="1:9" ht="20.100000000000001" customHeight="1" x14ac:dyDescent="0.2">
      <c r="A19" s="5" t="str">
        <f>HYPERLINK("#'Input - Solid waste'!A1", "Solid waste")</f>
        <v>Solid waste</v>
      </c>
      <c r="D19" s="113" t="str">
        <v>EF_dol</v>
      </c>
      <c r="E19" s="122" t="str">
        <v>emission factor for dolomite fraction of lime</v>
      </c>
      <c r="F19" s="123"/>
      <c r="G19" s="113" t="str">
        <v>kg C/kg</v>
      </c>
      <c r="H19" s="115" t="str">
        <v>Constant</v>
      </c>
      <c r="I19" s="113">
        <f>'Constants - Fertiliser'!$F$67</f>
        <v>0.13</v>
      </c>
    </row>
    <row r="20" spans="1:9" ht="20.100000000000001" customHeight="1" x14ac:dyDescent="0.2">
      <c r="A20" s="5" t="str">
        <f>HYPERLINK("#'Input - Manure sent off-site'!A1", "Manure sent off-site")</f>
        <v>Manure sent off-site</v>
      </c>
      <c r="D20" s="113" t="str">
        <v>C_CO2</v>
      </c>
      <c r="E20" s="122" t="str">
        <v>factor to convert elemental mass of carbon dioxide to molecular mass</v>
      </c>
      <c r="F20" s="123"/>
      <c r="G20" s="113" t="str">
        <v/>
      </c>
      <c r="H20" s="115" t="str">
        <v>Constant</v>
      </c>
      <c r="I20" s="126">
        <f>Common_InputFunctions.Utility_LookupValueInTableNumber("CO2",Table_GasToMolecularConversionFactor[Gas], Table_GasToMolecularConversionFactor[Conversion factor combined])</f>
        <v>3.6666666666666665</v>
      </c>
    </row>
    <row r="21" spans="1:9" ht="20.100000000000001" customHeight="1" x14ac:dyDescent="0.2">
      <c r="A21" s="5" t="str">
        <f>HYPERLINK("#'Input - Data quality'!A1", "Data quality")</f>
        <v>Data quality</v>
      </c>
    </row>
    <row r="22" spans="1:9" ht="20.100000000000001" customHeight="1" x14ac:dyDescent="0.2">
      <c r="A22" s="5" t="str">
        <f>HYPERLINK("#'Input - Fert Prod System'!A1", "Fert Prod System")</f>
        <v>Fert Prod System</v>
      </c>
      <c r="D22" s="118" t="s">
        <v>809</v>
      </c>
    </row>
    <row r="23" spans="1:9" ht="20.100000000000001" customHeight="1" x14ac:dyDescent="0.2">
      <c r="A23" s="5" t="str">
        <f>HYPERLINK("#'Input - Fertiliser'!A1", "Fertiliser")</f>
        <v>Fertiliser</v>
      </c>
      <c r="D23" s="119" t="s">
        <v>731</v>
      </c>
    </row>
    <row r="24" spans="1:9" ht="20.100000000000001" customHeight="1" x14ac:dyDescent="0.2">
      <c r="D24" s="78" t="s">
        <v>810</v>
      </c>
      <c r="E24" s="78" t="s">
        <v>811</v>
      </c>
      <c r="F24" s="78" t="s">
        <v>812</v>
      </c>
      <c r="G24" s="78" t="s">
        <v>813</v>
      </c>
      <c r="H24" s="120" t="s">
        <v>814</v>
      </c>
    </row>
    <row r="25" spans="1:9" ht="20.100000000000001" customHeight="1" x14ac:dyDescent="0.2">
      <c r="D25" s="15" t="str" cm="1">
        <f t="array" ref="D25:D27">Table_Input_Lime[Product]</f>
        <v>Lime product 1</v>
      </c>
      <c r="E25" s="232" cm="1">
        <f t="array" ref="E25:E27">Table_Input_Lime[Total amount applied (t)]*10^3</f>
        <v>100000</v>
      </c>
      <c r="F25" s="156" cm="1">
        <f t="array" ref="F25:F27">Table_Input_Lime[Percent Lime CaCO3]</f>
        <v>0.8</v>
      </c>
      <c r="G25" s="156" cm="1">
        <f t="array" ref="G25:G27">Table_Input_Lime[Percent Dolomite CaMg(CO3)2]</f>
        <v>0.1</v>
      </c>
      <c r="H25" s="15" cm="1">
        <f t="array" ref="H25">Fertiliser_Equations_Lime.VEERG_5_3_1_1__1_LimeApplicationCO2Emissions(E25,F25,$I$15,$I$16,G25,$I$18,$I$19,$I$20)</f>
        <v>36.208333333333329</v>
      </c>
    </row>
    <row r="26" spans="1:9" ht="20.100000000000001" customHeight="1" x14ac:dyDescent="0.2">
      <c r="A26" s="6" t="s">
        <v>2</v>
      </c>
      <c r="D26" s="15" t="str">
        <v>Lime product 2</v>
      </c>
      <c r="E26" s="15">
        <v>100000</v>
      </c>
      <c r="F26" s="15">
        <v>1</v>
      </c>
      <c r="G26" s="15">
        <v>0</v>
      </c>
      <c r="H26" s="15" cm="1">
        <f t="array" ref="H26">Fertiliser_Equations_Lime.VEERG_5_3_1_1__1_LimeApplicationCO2Emissions(E26,F26,$I$15,$I$16,G26,$I$18,$I$19,$I$20)</f>
        <v>39.6</v>
      </c>
    </row>
    <row r="27" spans="1:9" ht="20.100000000000001" customHeight="1" x14ac:dyDescent="0.2">
      <c r="A27" s="5" t="str">
        <f>HYPERLINK("#'4.6.1.1-2 Methane'!A1", "4.6.1.1-2 Manure Methane")</f>
        <v>4.6.1.1-2 Manure Methane</v>
      </c>
      <c r="D27" s="15" t="str">
        <v>Lime product 3</v>
      </c>
      <c r="E27" s="15">
        <v>100000</v>
      </c>
      <c r="F27" s="15">
        <v>0</v>
      </c>
      <c r="G27" s="15">
        <v>0</v>
      </c>
      <c r="H27" s="15" cm="1">
        <f t="array" ref="H27">Fertiliser_Equations_Lime.VEERG_5_3_1_1__1_LimeApplicationCO2Emissions(E27,F27,$I$15,$I$16,G27,$I$18,$I$19,$I$20)</f>
        <v>0</v>
      </c>
    </row>
    <row r="28" spans="1:9" ht="20.100000000000001" customHeight="1" x14ac:dyDescent="0.2">
      <c r="A28" s="5" t="str">
        <f>HYPERLINK("#'4.6.1.3-4 Direct N20'!A1", "4.6.1.3-4 Manure Direct N2O")</f>
        <v>4.6.1.3-4 Manure Direct N2O</v>
      </c>
      <c r="D28" s="15"/>
      <c r="E28" s="15"/>
      <c r="F28" s="15"/>
      <c r="G28" s="15"/>
      <c r="H28" s="15" cm="1">
        <f t="array" ref="H28">Fertiliser_Equations_Lime.VEERG_5_3_1_1__1_LimeApplicationCO2Emissions(E28,F28,$I$15,$I$16,G28,$I$18,$I$19,$I$20)</f>
        <v>0</v>
      </c>
    </row>
    <row r="29" spans="1:9" ht="20.100000000000001" customHeight="1" x14ac:dyDescent="0.2">
      <c r="A29" s="5" t="str">
        <f>HYPERLINK("#'4.6.1.5-6 Atmos Dep'!A1", "4.6.1.5-6 Manure Atmos Dep")</f>
        <v>4.6.1.5-6 Manure Atmos Dep</v>
      </c>
      <c r="D29" s="15"/>
      <c r="E29" s="15"/>
      <c r="F29" s="15"/>
      <c r="G29" s="15"/>
      <c r="H29" s="15" cm="1">
        <f t="array" ref="H29">Fertiliser_Equations_Lime.VEERG_5_3_1_1__1_LimeApplicationCO2Emissions(E29,F29,$I$15,$I$16,G29,$I$18,$I$19,$I$20)</f>
        <v>0</v>
      </c>
    </row>
    <row r="30" spans="1:9" ht="20.100000000000001" customHeight="1" x14ac:dyDescent="0.2">
      <c r="A30" s="5" t="str">
        <f>HYPERLINK("#'4.6.1.7-8 Leaching and runoff'!A1", "4.6.1.7-8 Manure Leaching and runoff")</f>
        <v>4.6.1.7-8 Manure Leaching and runoff</v>
      </c>
    </row>
    <row r="31" spans="1:9" ht="20.100000000000001" customHeight="1" x14ac:dyDescent="0.2">
      <c r="A31" s="5" t="str">
        <f>HYPERLINK("#'4.6.1.9 Manure applied to soils'!A1", "4.6.1.9 Manure applied to soils")</f>
        <v>4.6.1.9 Manure applied to soils</v>
      </c>
      <c r="D31" s="85" t="s">
        <v>815</v>
      </c>
      <c r="E31" s="86">
        <f>SUM(H25:H29)</f>
        <v>75.808333333333337</v>
      </c>
      <c r="F31" s="233" t="s">
        <v>127</v>
      </c>
    </row>
    <row r="32" spans="1:9" ht="20.100000000000001" customHeight="1" x14ac:dyDescent="0.2">
      <c r="A32" s="5" t="str">
        <f>HYPERLINK("#'4.6.1.10-11 Soil direct N2O'!A1", "4.6.1.10-11 Soil direct N2O")</f>
        <v>4.6.1.10-11 Soil direct N2O</v>
      </c>
    </row>
    <row r="33" spans="1:1" ht="20.100000000000001" customHeight="1" x14ac:dyDescent="0.2">
      <c r="A33" s="5" t="str">
        <f>HYPERLINK("#'4.6.1.12-13 Soil atmos dep'!A1", "4.6.1.12-13 Soil atmos dep")</f>
        <v>4.6.1.12-13 Soil atmos dep</v>
      </c>
    </row>
    <row r="34" spans="1:1" ht="20.100000000000001" customHeight="1" x14ac:dyDescent="0.2">
      <c r="A34" s="5" t="str">
        <f>HYPERLINK("#'4.6.1.14-15 Soil leach runoff'!A1", "4.6.1.14-15 Soil leach runoff")</f>
        <v>4.6.1.14-15 Soil leach runoff</v>
      </c>
    </row>
    <row r="35" spans="1:1" ht="20.100000000000001" customHeight="1" x14ac:dyDescent="0.2">
      <c r="A35" s="5" t="str">
        <f>HYPERLINK("#'8.1.1.1-2 Transport fuel'!A1", "8.1.1.1-2 Transport fuel")</f>
        <v>8.1.1.1-2 Transport fuel</v>
      </c>
    </row>
    <row r="36" spans="1:1" ht="20.100000000000001" customHeight="1" x14ac:dyDescent="0.2">
      <c r="A36" s="5" t="str">
        <f>HYPERLINK("#'8.2.1.1-2 Stationary fuel'!A1", "8.2.1.1-2 Stationary fuel")</f>
        <v>8.2.1.1-2 Stationary fuel</v>
      </c>
    </row>
    <row r="37" spans="1:1" ht="20.100000000000001" customHeight="1" x14ac:dyDescent="0.2">
      <c r="A37" s="5" t="str">
        <f>HYPERLINK("#'10.1.1-2 Solid waste treatment'!A1", "10.1.1.1-2 Solid waste")</f>
        <v>10.1.1.1-2 Solid waste</v>
      </c>
    </row>
    <row r="38" spans="1:1" ht="20.100000000000001" customHeight="1" x14ac:dyDescent="0.2">
      <c r="A38" s="5" t="str">
        <f>HYPERLINK("#'14.1.1-2 Purchased electricity'!A1", "14.1.1-2 Purchased electricity")</f>
        <v>14.1.1-2 Purchased electricity</v>
      </c>
    </row>
    <row r="39" spans="1:1" ht="20.100000000000001" customHeight="1" x14ac:dyDescent="0.2">
      <c r="A39" s="5" t="str">
        <f>HYPERLINK("#'15 Scope 3'!A1", "15 Scope 3")</f>
        <v>15 Scope 3</v>
      </c>
    </row>
    <row r="40" spans="1:1" ht="20.100000000000001" customHeight="1" x14ac:dyDescent="0.2">
      <c r="A40" s="5" t="str">
        <f>HYPERLINK("#'Calcs - Manure sent off-site'!A1", "Calcs - Manure sent off-site")</f>
        <v>Calcs - Manure sent off-site</v>
      </c>
    </row>
    <row r="41" spans="1:1" ht="20.100000000000001" customHeight="1" x14ac:dyDescent="0.2">
      <c r="A41" s="5" t="str">
        <f>HYPERLINK("#'5.1.1.1-2 Inorganic fert N2O'!A1", "5.1.1.1-2 Inorganic fert N2O")</f>
        <v>5.1.1.1-2 Inorganic fert N2O</v>
      </c>
    </row>
    <row r="42" spans="1:1" ht="20.100000000000001" customHeight="1" x14ac:dyDescent="0.2">
      <c r="A42" s="5" t="str">
        <f>HYPERLINK("#'5.1.1.3-4 Inorganic fert CO2'!A1", "5.1.1.3-4 Inorganic fert CO2")</f>
        <v>5.1.1.3-4 Inorganic fert CO2</v>
      </c>
    </row>
    <row r="43" spans="1:1" ht="20.100000000000001" customHeight="1" x14ac:dyDescent="0.2">
      <c r="A43" s="5" t="str">
        <f>HYPERLINK("#'5.2.1.1-2 Organic Fert N2O'!A1", "5.2.1.1-2 Organic Fert N2O")</f>
        <v>5.2.1.1-2 Organic Fert N2O</v>
      </c>
    </row>
    <row r="44" spans="1:1" ht="20.100000000000001" customHeight="1" x14ac:dyDescent="0.2">
      <c r="A44" s="117" t="str">
        <f>HYPERLINK("#'5.3.1.1-2 Lime CO2'!A1", "5.3.1.1-2 Lime CO2")</f>
        <v>5.3.1.1-2 Lime CO2</v>
      </c>
    </row>
    <row r="45" spans="1:1" ht="20.100000000000001" customHeight="1" x14ac:dyDescent="0.2">
      <c r="A45" s="5" t="str">
        <f>HYPERLINK("#'5.4.1.1-4 Atmos deposition'!A1", "5.4.1.1-4 Atmos deposition")</f>
        <v>5.4.1.1-4 Atmos deposition</v>
      </c>
    </row>
    <row r="46" spans="1:1" ht="20.100000000000001" customHeight="1" x14ac:dyDescent="0.2">
      <c r="A46" s="5" t="str">
        <f>HYPERLINK("#'5.5.1.1-2 Leaching and runoff'!A1", "5.5.1.1-2 Leaching and runoff")</f>
        <v>5.5.1.1-2 Leaching and runoff</v>
      </c>
    </row>
    <row r="49" spans="1:1" ht="20.100000000000001" customHeight="1" x14ac:dyDescent="0.2">
      <c r="A49" s="80" t="s">
        <v>1</v>
      </c>
    </row>
    <row r="50" spans="1:1" ht="20.100000000000001" customHeight="1" x14ac:dyDescent="0.2">
      <c r="A50" s="5" t="str">
        <f>HYPERLINK("#'Constants - Poultry'!A1", "Constants - Poultry")</f>
        <v>Constants - Poultry</v>
      </c>
    </row>
    <row r="51" spans="1:1" ht="20.100000000000001" customHeight="1" x14ac:dyDescent="0.2">
      <c r="A51" s="5" t="str">
        <f>HYPERLINK("#'Constants - Common livestock'!A1", "Constants - Common Livestock")</f>
        <v>Constants - Common Livestock</v>
      </c>
    </row>
    <row r="52" spans="1:1" ht="20.100000000000001" customHeight="1" x14ac:dyDescent="0.2">
      <c r="A52" s="5" t="str">
        <f>HYPERLINK("#'Constants - Electricity'!A1", "Constants - Electricity")</f>
        <v>Constants - Electricity</v>
      </c>
    </row>
    <row r="53" spans="1:1" ht="20.100000000000001" customHeight="1" x14ac:dyDescent="0.2">
      <c r="A53" s="5" t="str">
        <f>HYPERLINK("#'Constants - Fertiliser'!A1", "Constants - Fertiliser")</f>
        <v>Constants - Fertiliser</v>
      </c>
    </row>
    <row r="54" spans="1:1" ht="20.100000000000001" customHeight="1" x14ac:dyDescent="0.2">
      <c r="A54" s="5" t="str">
        <f>HYPERLINK("#'Constants - Fuel'!A1", "Constants - Fuel")</f>
        <v>Constants - Fuel</v>
      </c>
    </row>
    <row r="55" spans="1:1" ht="20.100000000000001" customHeight="1" x14ac:dyDescent="0.2">
      <c r="A55" s="5" t="str">
        <f>HYPERLINK("#'Constants - Scope 3'!A1", "Constants - Scope 3")</f>
        <v>Constants - Scope 3</v>
      </c>
    </row>
    <row r="56" spans="1:1" ht="20.100000000000001" customHeight="1" x14ac:dyDescent="0.2">
      <c r="A56" s="5" t="str">
        <f>HYPERLINK("#'Constants - Solid Waste'!A1", "Constants - Solid Waste")</f>
        <v>Constants - Solid Waste</v>
      </c>
    </row>
    <row r="57" spans="1:1" ht="20.100000000000001" customHeight="1" x14ac:dyDescent="0.2">
      <c r="A57" s="5" t="str">
        <f>HYPERLINK("#'Constants - Common'!A1", "Constants - Common")</f>
        <v>Constants - Common</v>
      </c>
    </row>
  </sheetData>
  <pageMargins left="0.7" right="0.7" top="0.75" bottom="0.75" header="0.3" footer="0.3"/>
  <pageSetup paperSize="9" orientation="portrait" r:id="rId1"/>
  <drawing r:id="rId2"/>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C9D612-239C-41AD-BF40-A6C82BCF1407}">
  <sheetPr>
    <tabColor rgb="FF008000"/>
  </sheetPr>
  <dimension ref="A1:U151"/>
  <sheetViews>
    <sheetView showGridLines="0" workbookViewId="0" zoomScale="100" zoomScaleNormal="100">
      <pane xSplit="1" topLeftCell="B1" activePane="topRight" state="frozenSplit"/>
      <selection pane="topRight" activeCell="A56" sqref="A56"/>
    </sheetView>
  </sheetViews>
  <sheetFormatPr defaultRowHeight="20.100000000000001" customHeight="1" x14ac:dyDescent="0.2"/>
  <cols>
    <col min="1" max="1" width="36.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20" customFormat="1" ht="30" customHeight="1" x14ac:dyDescent="0.35">
      <c r="A1" s="10" t="e" vm="1">
        <v>#VALUE!</v>
      </c>
      <c r="C1" s="20" t="s">
        <v>816</v>
      </c>
    </row>
    <row r="2" spans="1:21" s="3" customFormat="1" ht="20.100000000000001" customHeight="1" x14ac:dyDescent="0.2">
      <c r="A2"/>
    </row>
    <row r="3" spans="1:21" ht="20.100000000000001" customHeight="1" x14ac:dyDescent="0.2">
      <c r="A3" s="5" t="str">
        <f>HYPERLINK("#'Home'!A1", "Home")</f>
        <v>Home</v>
      </c>
      <c r="C3" s="22"/>
      <c r="D3" s="22" t="s">
        <v>130</v>
      </c>
      <c r="E3" s="22"/>
      <c r="F3" s="22"/>
      <c r="G3" s="22"/>
      <c r="H3" s="22"/>
      <c r="I3" s="22"/>
      <c r="J3" s="22"/>
      <c r="K3" s="22"/>
      <c r="L3" s="22"/>
      <c r="N3" s="22"/>
      <c r="O3" s="22" t="s">
        <v>131</v>
      </c>
      <c r="P3" s="22"/>
      <c r="Q3" s="22"/>
      <c r="R3" s="22"/>
      <c r="S3" s="22"/>
      <c r="T3" s="22"/>
      <c r="U3" s="22"/>
    </row>
    <row r="4" spans="1:21" ht="20.100000000000001" customHeight="1" x14ac:dyDescent="0.2">
      <c r="A4" s="5" t="str">
        <f>HYPERLINK("#'Results - Activity period'!A1", "Results - Activity period")</f>
        <v>Results - Activity period</v>
      </c>
    </row>
    <row r="5" spans="1:21" ht="20.100000000000001" customHeight="1" x14ac:dyDescent="0.2">
      <c r="A5" s="5" t="str">
        <f>HYPERLINK("#'Results - Product EI'!A1", "Results - Product Emissions Intensity")</f>
        <v>Results - Product Emissions Intensity</v>
      </c>
      <c r="D5" s="2" t="str" cm="1">
        <f t="array" ref="D5">Fertiliser_Equations_AtmosphericDeposition.VEERG_5_4_1_1__2_MassOfNitrogenVolatilisedFromInorganicFertiliser_Title()</f>
        <v>Mass of nitrogen volatilised from inorganic fertiliser applied to production system</v>
      </c>
    </row>
    <row r="6" spans="1:21" ht="20.100000000000001" customHeight="1" x14ac:dyDescent="0.2">
      <c r="D6" s="17" t="str" cm="1">
        <f t="array" ref="D6">Fertiliser_Equations_AtmosphericDeposition.VEERG_5_4_1_1__2_MassOfNitrogenVolatilisedFromInorganicFertiliser_Source()</f>
        <v>VEERG 2026: 5.4.1.1, Equation (2)</v>
      </c>
    </row>
    <row r="7" spans="1:21" ht="20.100000000000001" customHeight="1" x14ac:dyDescent="0.2">
      <c r="D7" s="112" t="s">
        <v>328</v>
      </c>
      <c r="E7" s="112" t="str" cm="1">
        <f t="array" aca="1" ref="E7" ca="1">Common_InputFunctions.Utility_DisplayFunctionName(H19)</f>
        <v>=Fertiliser_Equations_AtmosphericDeposition.VEERG_5_4_1_1__2_MassOfNitrogenVolatilisedFromInorganicFertiliser</v>
      </c>
    </row>
    <row r="8" spans="1:21" ht="20.100000000000001" customHeight="1" x14ac:dyDescent="0.2">
      <c r="A8" s="7" t="s">
        <v>0</v>
      </c>
    </row>
    <row r="9" spans="1:21" ht="20.100000000000001" customHeight="1" x14ac:dyDescent="0.2">
      <c r="A9" s="5" t="str">
        <f>HYPERLINK("#'Input - Enterprise'!A1", "Enterprise")</f>
        <v>Enterprise</v>
      </c>
    </row>
    <row r="10" spans="1:21" ht="20.100000000000001" customHeight="1" x14ac:dyDescent="0.2">
      <c r="A10" s="5" t="str">
        <f>HYPERLINK("#'Input - Site'!A1", "Site")</f>
        <v>Site</v>
      </c>
      <c r="D10" s="75" t="s">
        <v>329</v>
      </c>
      <c r="E10" s="1" t="str" cm="1">
        <f t="array" ref="E10">Fertiliser_Equations_AtmosphericDeposition.VEERG_5_4_1_1__2_MassOfNitrogenVolatilisedFromInorganicFertiliser_Variable()</f>
        <v>M_volinorganicjf</v>
      </c>
    </row>
    <row r="11" spans="1:21" ht="20.100000000000001" customHeight="1" x14ac:dyDescent="0.2">
      <c r="A11" s="5" t="str">
        <f>HYPERLINK("#'Input - Poultry'!A1", "Poultry")</f>
        <v>Poultry</v>
      </c>
      <c r="D11" s="75" t="s">
        <v>118</v>
      </c>
      <c r="E11" s="9" t="str" cm="1">
        <f t="array" ref="E11">Fertiliser_Equations_AtmosphericDeposition.VEERG_5_4_1_1__2_MassOfNitrogenVolatilisedFromInorganicFertiliser_Unit()</f>
        <v>kg N</v>
      </c>
    </row>
    <row r="12" spans="1:21" ht="20.100000000000001" customHeight="1" x14ac:dyDescent="0.2">
      <c r="A12" s="5" t="str">
        <f>HYPERLINK("#'Input - Livestock sales'!A1", "Livestock sales")</f>
        <v>Livestock sales</v>
      </c>
    </row>
    <row r="13" spans="1:21" ht="20.100000000000001" customHeight="1" x14ac:dyDescent="0.2">
      <c r="A13" s="5" t="str">
        <f>HYPERLINK("#'Input - Poultry purchases'!A1", "Poultry purchases")</f>
        <v>Poultry purchases</v>
      </c>
      <c r="D13" s="113" t="str" cm="1">
        <f t="array" ref="D13:E14">_xlfn.CHOOSECOLS(Fertiliser_Equations_AtmosphericDeposition.VEERG_5_4_1_1__2_MassOfNitrogenVolatilisedFromInorganicFertiliser_Arguments(), 1, 2)</f>
        <v>MN_jf</v>
      </c>
      <c r="E13" s="122" t="str">
        <v>mass of nitrogen in inorganic fertiliser applied</v>
      </c>
      <c r="F13" s="123"/>
      <c r="G13" s="113" t="str" cm="1">
        <f t="array" ref="G13:H14">_xlfn.CHOOSECOLS(Fertiliser_Equations_AtmosphericDeposition.VEERG_5_4_1_1__2_MassOfNitrogenVolatilisedFromInorganicFertiliser_Arguments(), 3,4)</f>
        <v>kg N</v>
      </c>
      <c r="H13" s="115" t="str">
        <v>Calculated from 5.1.1.1 (2)</v>
      </c>
      <c r="I13" s="116" t="str" cm="1">
        <f t="array" aca="1" ref="I13" ca="1">HYPERLINK(Common_InputFunctions.Utility_SourceHyperlink($D$16),$D$16)</f>
        <v>Table_M_vol_inorganic_j_f</v>
      </c>
    </row>
    <row r="14" spans="1:21" ht="20.100000000000001" customHeight="1" x14ac:dyDescent="0.2">
      <c r="A14" s="5" t="str">
        <f>HYPERLINK("#'Input - Fuel'!A1", "Fuel")</f>
        <v>Fuel</v>
      </c>
      <c r="D14" s="113" t="str">
        <v>FracGASF_f</v>
      </c>
      <c r="E14" s="122" t="str">
        <v>fraction of inorganic fertiliser that volatilises</v>
      </c>
      <c r="F14" s="123"/>
      <c r="G14" s="113" t="str">
        <v>(kg NH3-N + NOx-N)/kg N</v>
      </c>
      <c r="H14" s="115" t="str">
        <v>Constant</v>
      </c>
      <c r="I14" s="116" t="str" cm="1">
        <f t="array" aca="1" ref="I14" ca="1">HYPERLINK(Common_InputFunctions.Utility_SourceHyperlink($D$16),$D$16)</f>
        <v>Table_M_vol_inorganic_j_f</v>
      </c>
    </row>
    <row r="15" spans="1:21" ht="20.100000000000001" customHeight="1" x14ac:dyDescent="0.2">
      <c r="A15" s="5" t="str">
        <f>HYPERLINK("#'Input - Electricity'!A1", "Electricity")</f>
        <v>Electricity</v>
      </c>
    </row>
    <row r="16" spans="1:21" ht="20.100000000000001" customHeight="1" x14ac:dyDescent="0.2">
      <c r="A16" s="5" t="str">
        <f>HYPERLINK("#'Input - Common farm inputs'!A1", "Common farm inputs")</f>
        <v>Common farm inputs</v>
      </c>
      <c r="D16" s="118" t="s">
        <v>817</v>
      </c>
    </row>
    <row r="17" spans="1:8" ht="20.100000000000001" customHeight="1" x14ac:dyDescent="0.2">
      <c r="A17" s="5" t="str">
        <f>HYPERLINK("#'Input - Livestock farm Inputs'!A1", "Livestock farm Inputs")</f>
        <v>Livestock farm Inputs</v>
      </c>
      <c r="D17" s="119" t="s">
        <v>818</v>
      </c>
    </row>
    <row r="18" spans="1:8" ht="20.100000000000001" customHeight="1" x14ac:dyDescent="0.2">
      <c r="A18" s="5" t="str">
        <f>HYPERLINK("#'Input - Freight'!A1", "Freight")</f>
        <v>Freight</v>
      </c>
      <c r="D18" s="120" t="s">
        <v>819</v>
      </c>
      <c r="E18" s="120" t="s">
        <v>820</v>
      </c>
      <c r="F18" s="120" t="s">
        <v>821</v>
      </c>
      <c r="G18" s="234" t="s">
        <v>822</v>
      </c>
      <c r="H18" s="234" t="s">
        <v>823</v>
      </c>
    </row>
    <row r="19" spans="1:8" ht="20.100000000000001" customHeight="1" x14ac:dyDescent="0.2">
      <c r="A19" s="5" t="str">
        <f>HYPERLINK("#'Input - Solid waste'!A1", "Solid waste")</f>
        <v>Solid waste</v>
      </c>
      <c r="D19" s="15" t="str" cm="1">
        <f t="array" ref="D19:D37">Table_Fertiliser_ChemicalCompounds[Fertiliser type f]</f>
        <v>Monoammonium phosphate (MAP)</v>
      </c>
      <c r="E19" s="15">
        <f>INDEX(Table_MN_j_f,2,4)</f>
        <v>0</v>
      </c>
      <c r="F19" s="15" t="str" cm="1">
        <f t="array" ref="F19">Common_InputFunctions.Utility_LookupValueInTable(D19, Table_Fertiliser_ChemicalCompounds[Fertiliser type f],Table_Fertiliser_ChemicalCompounds[Basis])</f>
        <v>Ammonium-based fertilisers</v>
      </c>
      <c r="G19" s="15" cm="1">
        <f t="array" ref="G19">Common_InputFunctions.Utility_LookupValueInTableNumber(F19, Table_SourceData_Fertiliser_FracGASF[Fertiliser type f],Table_SourceData_Fertiliser_FracGASF[FracGASF f])</f>
        <v>0.08</v>
      </c>
      <c r="H19" s="15" cm="1">
        <f t="array" ref="H19">Fertiliser_Equations_AtmosphericDeposition.VEERG_5_4_1_1__2_MassOfNitrogenVolatilisedFromInorganicFertiliser(E19,G19)</f>
        <v>0</v>
      </c>
    </row>
    <row r="20" spans="1:8" ht="20.100000000000001" customHeight="1" x14ac:dyDescent="0.2">
      <c r="A20" s="5" t="str">
        <f>HYPERLINK("#'Input - Manure sent off-site'!A1", "Manure sent off-site")</f>
        <v>Manure sent off-site</v>
      </c>
      <c r="D20" s="15" t="str">
        <v>Diammonium phosphate (DAP)</v>
      </c>
      <c r="E20" s="15">
        <f>INDEX(Table_MN_j_f,3,4)</f>
        <v>0</v>
      </c>
      <c r="F20" s="15" t="str" cm="1">
        <f t="array" ref="F20">Common_InputFunctions.Utility_LookupValueInTable(D20, Table_Fertiliser_ChemicalCompounds[Fertiliser type f],Table_Fertiliser_ChemicalCompounds[Basis])</f>
        <v>Ammonium-based fertilisers</v>
      </c>
      <c r="G20" s="15" cm="1">
        <f t="array" ref="G20">Common_InputFunctions.Utility_LookupValueInTableNumber(F20, Table_SourceData_Fertiliser_FracGASF[Fertiliser type f],Table_SourceData_Fertiliser_FracGASF[FracGASF f])</f>
        <v>0.08</v>
      </c>
      <c r="H20" s="15" cm="1">
        <f t="array" ref="H20">Fertiliser_Equations_AtmosphericDeposition.VEERG_5_4_1_1__2_MassOfNitrogenVolatilisedFromInorganicFertiliser(E20,G20)</f>
        <v>0</v>
      </c>
    </row>
    <row r="21" spans="1:8" ht="20.100000000000001" customHeight="1" x14ac:dyDescent="0.2">
      <c r="A21" s="5" t="str">
        <f>HYPERLINK("#'Input - Data quality'!A1", "Data quality")</f>
        <v>Data quality</v>
      </c>
      <c r="D21" s="15" t="str">
        <v>Urea</v>
      </c>
      <c r="E21" s="15">
        <f>INDEX(Table_MN_j_f,4,4)</f>
        <v>11599.999400000001</v>
      </c>
      <c r="F21" s="15" t="str" cm="1">
        <f t="array" ref="F21">Common_InputFunctions.Utility_LookupValueInTable(D21, Table_Fertiliser_ChemicalCompounds[Fertiliser type f],Table_Fertiliser_ChemicalCompounds[Basis])</f>
        <v>Urea-based fertilisers</v>
      </c>
      <c r="G21" s="15" cm="1">
        <f t="array" ref="G21">Common_InputFunctions.Utility_LookupValueInTableNumber(F21, Table_SourceData_Fertiliser_FracGASF[Fertiliser type f],Table_SourceData_Fertiliser_FracGASF[FracGASF f])</f>
        <v>0.15</v>
      </c>
      <c r="H21" s="15" cm="1">
        <f t="array" ref="H21">Fertiliser_Equations_AtmosphericDeposition.VEERG_5_4_1_1__2_MassOfNitrogenVolatilisedFromInorganicFertiliser(E21,G21)</f>
        <v>1739.99991</v>
      </c>
    </row>
    <row r="22" spans="1:8" ht="20.100000000000001" customHeight="1" x14ac:dyDescent="0.2">
      <c r="A22" s="5" t="str">
        <f>HYPERLINK("#'Input - Fert Prod System'!A1", "Fert Prod System")</f>
        <v>Fert Prod System</v>
      </c>
      <c r="D22" s="15" t="str">
        <v>Sulphate of ammonia (SOA)</v>
      </c>
      <c r="E22" s="15">
        <f>INDEX(Table_MN_j_f,5,4)</f>
        <v>0</v>
      </c>
      <c r="F22" s="15" t="str" cm="1">
        <f t="array" ref="F22">Common_InputFunctions.Utility_LookupValueInTable(D22, Table_Fertiliser_ChemicalCompounds[Fertiliser type f],Table_Fertiliser_ChemicalCompounds[Basis])</f>
        <v>Ammonium-based fertilisers</v>
      </c>
      <c r="G22" s="15" cm="1">
        <f t="array" ref="G22">Common_InputFunctions.Utility_LookupValueInTableNumber(F22, Table_SourceData_Fertiliser_FracGASF[Fertiliser type f],Table_SourceData_Fertiliser_FracGASF[FracGASF f])</f>
        <v>0.08</v>
      </c>
      <c r="H22" s="15" cm="1">
        <f t="array" ref="H22">Fertiliser_Equations_AtmosphericDeposition.VEERG_5_4_1_1__2_MassOfNitrogenVolatilisedFromInorganicFertiliser(E22,G22)</f>
        <v>0</v>
      </c>
    </row>
    <row r="23" spans="1:8" ht="20.100000000000001" customHeight="1" x14ac:dyDescent="0.2">
      <c r="A23" s="5" t="str">
        <f>HYPERLINK("#'Input - Fertiliser'!A1", "Fertiliser")</f>
        <v>Fertiliser</v>
      </c>
      <c r="D23" s="15" t="str">
        <v>Urea-ammonium nitrate (UAN)</v>
      </c>
      <c r="E23" s="15">
        <f>INDEX(Table_MN_j_f,6,4)</f>
        <v>0</v>
      </c>
      <c r="F23" s="15" t="str" cm="1">
        <f t="array" ref="F23">Common_InputFunctions.Utility_LookupValueInTable(D23, Table_Fertiliser_ChemicalCompounds[Fertiliser type f],Table_Fertiliser_ChemicalCompounds[Basis])</f>
        <v>Urea-based fertilisers</v>
      </c>
      <c r="G23" s="15" cm="1">
        <f t="array" ref="G23">Common_InputFunctions.Utility_LookupValueInTableNumber(F23, Table_SourceData_Fertiliser_FracGASF[Fertiliser type f],Table_SourceData_Fertiliser_FracGASF[FracGASF f])</f>
        <v>0.15</v>
      </c>
      <c r="H23" s="15" cm="1">
        <f t="array" ref="H23">Fertiliser_Equations_AtmosphericDeposition.VEERG_5_4_1_1__2_MassOfNitrogenVolatilisedFromInorganicFertiliser(E23,G23)</f>
        <v>0</v>
      </c>
    </row>
    <row r="24" spans="1:8" ht="20.100000000000001" customHeight="1" x14ac:dyDescent="0.2">
      <c r="D24" s="15" t="str">
        <v>Ammonium nitrate (AN)</v>
      </c>
      <c r="E24" s="15">
        <f>INDEX(Table_MN_j_f,7,4)</f>
        <v>0</v>
      </c>
      <c r="F24" s="15" t="str" cm="1">
        <f t="array" ref="F24">Common_InputFunctions.Utility_LookupValueInTable(D24, Table_Fertiliser_ChemicalCompounds[Fertiliser type f],Table_Fertiliser_ChemicalCompounds[Basis])</f>
        <v>Ammonium-nitrate based fertilisers</v>
      </c>
      <c r="G24" s="15" cm="1">
        <f t="array" ref="G24">Common_InputFunctions.Utility_LookupValueInTableNumber(F24, Table_SourceData_Fertiliser_FracGASF[Fertiliser type f],Table_SourceData_Fertiliser_FracGASF[FracGASF f])</f>
        <v>0.05</v>
      </c>
      <c r="H24" s="15" cm="1">
        <f t="array" ref="H24">Fertiliser_Equations_AtmosphericDeposition.VEERG_5_4_1_1__2_MassOfNitrogenVolatilisedFromInorganicFertiliser(E24,G24)</f>
        <v>0</v>
      </c>
    </row>
    <row r="25" spans="1:8" ht="20.100000000000001" customHeight="1" x14ac:dyDescent="0.2">
      <c r="D25" s="15" t="str">
        <v>Calcium ammonium nitrate (CAN)</v>
      </c>
      <c r="E25" s="15">
        <f>INDEX(Table_MN_j_f,8,4)</f>
        <v>0</v>
      </c>
      <c r="F25" s="15" t="str" cm="1">
        <f t="array" ref="F25">Common_InputFunctions.Utility_LookupValueInTable(D25, Table_Fertiliser_ChemicalCompounds[Fertiliser type f],Table_Fertiliser_ChemicalCompounds[Basis])</f>
        <v>Ammonium-nitrate based fertilisers</v>
      </c>
      <c r="G25" s="15" cm="1">
        <f t="array" ref="G25">Common_InputFunctions.Utility_LookupValueInTableNumber(F25, Table_SourceData_Fertiliser_FracGASF[Fertiliser type f],Table_SourceData_Fertiliser_FracGASF[FracGASF f])</f>
        <v>0.05</v>
      </c>
      <c r="H25" s="15" cm="1">
        <f t="array" ref="H25">Fertiliser_Equations_AtmosphericDeposition.VEERG_5_4_1_1__2_MassOfNitrogenVolatilisedFromInorganicFertiliser(E25,G25)</f>
        <v>0</v>
      </c>
    </row>
    <row r="26" spans="1:8" ht="20.100000000000001" customHeight="1" x14ac:dyDescent="0.2">
      <c r="A26" s="6" t="s">
        <v>2</v>
      </c>
      <c r="D26" s="15" t="str">
        <v>Nitrogen - Ammoniacal</v>
      </c>
      <c r="E26" s="15">
        <f>INDEX(Table_MN_j_f,9,4)</f>
        <v>1240</v>
      </c>
      <c r="F26" s="15" t="str" cm="1">
        <f t="array" ref="F26">Common_InputFunctions.Utility_LookupValueInTable(D26, Table_Fertiliser_ChemicalCompounds[Fertiliser type f],Table_Fertiliser_ChemicalCompounds[Basis])</f>
        <v>Ammonium-based fertilisers</v>
      </c>
      <c r="G26" s="15" cm="1">
        <f t="array" ref="G26">Common_InputFunctions.Utility_LookupValueInTableNumber(F26, Table_SourceData_Fertiliser_FracGASF[Fertiliser type f],Table_SourceData_Fertiliser_FracGASF[FracGASF f])</f>
        <v>0.08</v>
      </c>
      <c r="H26" s="15" cm="1">
        <f t="array" ref="H26">Fertiliser_Equations_AtmosphericDeposition.VEERG_5_4_1_1__2_MassOfNitrogenVolatilisedFromInorganicFertiliser(E26,G26)</f>
        <v>99.2</v>
      </c>
    </row>
    <row r="27" spans="1:8" ht="20.100000000000001" customHeight="1" x14ac:dyDescent="0.2">
      <c r="A27" s="5" t="str">
        <f>HYPERLINK("#'4.6.1.1-2 Methane'!A1", "4.6.1.1-2 Manure Methane")</f>
        <v>4.6.1.1-2 Manure Methane</v>
      </c>
      <c r="D27" s="15" t="str">
        <v>Nitrogen - Nitrate</v>
      </c>
      <c r="E27" s="15">
        <f>INDEX(Table_MN_j_f,10,4)</f>
        <v>550</v>
      </c>
      <c r="F27" s="15" t="str" cm="1">
        <f t="array" ref="F27">Common_InputFunctions.Utility_LookupValueInTable(D27, Table_Fertiliser_ChemicalCompounds[Fertiliser type f],Table_Fertiliser_ChemicalCompounds[Basis])</f>
        <v>Nitrate-based fertilisers</v>
      </c>
      <c r="G27" s="15" cm="1">
        <f t="array" ref="G27">Common_InputFunctions.Utility_LookupValueInTableNumber(F27, Table_SourceData_Fertiliser_FracGASF[Fertiliser type f],Table_SourceData_Fertiliser_FracGASF[FracGASF f])</f>
        <v>0.01</v>
      </c>
      <c r="H27" s="15" cm="1">
        <f t="array" ref="H27">Fertiliser_Equations_AtmosphericDeposition.VEERG_5_4_1_1__2_MassOfNitrogenVolatilisedFromInorganicFertiliser(E27,G27)</f>
        <v>5.5</v>
      </c>
    </row>
    <row r="28" spans="1:8" ht="20.100000000000001" customHeight="1" x14ac:dyDescent="0.2">
      <c r="A28" s="5" t="str">
        <f>HYPERLINK("#'4.6.1.3-4 Direct N20'!A1", "4.6.1.3-4 Manure Direct N2O")</f>
        <v>4.6.1.3-4 Manure Direct N2O</v>
      </c>
      <c r="D28" s="15" t="str">
        <v>Nitrogen - Generic</v>
      </c>
      <c r="E28" s="15">
        <f>INDEX(Table_MN_j_f,11,4)</f>
        <v>0</v>
      </c>
      <c r="F28" s="15" t="str" cm="1">
        <f t="array" ref="F28">Common_InputFunctions.Utility_LookupValueInTable(D28, Table_Fertiliser_ChemicalCompounds[Fertiliser type f],Table_Fertiliser_ChemicalCompounds[Basis])</f>
        <v>Urea-based fertilisers</v>
      </c>
      <c r="G28" s="15" cm="1">
        <f t="array" ref="G28">Common_InputFunctions.Utility_LookupValueInTableNumber(F28, Table_SourceData_Fertiliser_FracGASF[Fertiliser type f],Table_SourceData_Fertiliser_FracGASF[FracGASF f])</f>
        <v>0.15</v>
      </c>
      <c r="H28" s="15" cm="1">
        <f t="array" ref="H28">Fertiliser_Equations_AtmosphericDeposition.VEERG_5_4_1_1__2_MassOfNitrogenVolatilisedFromInorganicFertiliser(E28,G28)</f>
        <v>0</v>
      </c>
    </row>
    <row r="29" spans="1:8" ht="20.100000000000001" customHeight="1" x14ac:dyDescent="0.2">
      <c r="A29" s="5" t="str">
        <f>HYPERLINK("#'4.6.1.5-6 Atmos Dep'!A1", "4.6.1.5-6 Manure Atmos Dep")</f>
        <v>4.6.1.5-6 Manure Atmos Dep</v>
      </c>
      <c r="D29" s="15" t="str">
        <v>Phosphorus - Generic</v>
      </c>
      <c r="E29" s="15">
        <f>INDEX(Table_MN_j_f,12,4)</f>
        <v>0</v>
      </c>
      <c r="F29" s="15" t="str" cm="1">
        <f t="array" ref="F29">Common_InputFunctions.Utility_LookupValueInTable(D29, Table_Fertiliser_ChemicalCompounds[Fertiliser type f],Table_Fertiliser_ChemicalCompounds[Basis])</f>
        <v>Other fertilisers</v>
      </c>
      <c r="G29" s="15" cm="1">
        <f t="array" ref="G29">Common_InputFunctions.Utility_LookupValueInTableNumber(F29, Table_SourceData_Fertiliser_FracGASF[Fertiliser type f],Table_SourceData_Fertiliser_FracGASF[FracGASF f])</f>
        <v>0.11</v>
      </c>
      <c r="H29" s="15" cm="1">
        <f t="array" ref="H29">Fertiliser_Equations_AtmosphericDeposition.VEERG_5_4_1_1__2_MassOfNitrogenVolatilisedFromInorganicFertiliser(E29,G29)</f>
        <v>0</v>
      </c>
    </row>
    <row r="30" spans="1:8" ht="20.100000000000001" customHeight="1" x14ac:dyDescent="0.2">
      <c r="A30" s="5" t="str">
        <f>HYPERLINK("#'4.6.1.7-8 Leaching and runoff'!A1", "4.6.1.7-8 Manure Leaching and runoff")</f>
        <v>4.6.1.7-8 Manure Leaching and runoff</v>
      </c>
      <c r="D30" s="15" t="str">
        <v>Potassium - Generic</v>
      </c>
      <c r="E30" s="15">
        <f>INDEX(Table_MN_j_f,13,4)</f>
        <v>0</v>
      </c>
      <c r="F30" s="15" t="str" cm="1">
        <f t="array" ref="F30">Common_InputFunctions.Utility_LookupValueInTable(D30, Table_Fertiliser_ChemicalCompounds[Fertiliser type f],Table_Fertiliser_ChemicalCompounds[Basis])</f>
        <v>Other fertilisers</v>
      </c>
      <c r="G30" s="15" cm="1">
        <f t="array" ref="G30">Common_InputFunctions.Utility_LookupValueInTableNumber(F30, Table_SourceData_Fertiliser_FracGASF[Fertiliser type f],Table_SourceData_Fertiliser_FracGASF[FracGASF f])</f>
        <v>0.11</v>
      </c>
      <c r="H30" s="15" cm="1">
        <f t="array" ref="H30">Fertiliser_Equations_AtmosphericDeposition.VEERG_5_4_1_1__2_MassOfNitrogenVolatilisedFromInorganicFertiliser(E30,G30)</f>
        <v>0</v>
      </c>
    </row>
    <row r="31" spans="1:8" ht="20.100000000000001" customHeight="1" x14ac:dyDescent="0.2">
      <c r="A31" s="5" t="str">
        <f>HYPERLINK("#'4.6.1.9 Manure applied to soils'!A1", "4.6.1.9 Manure applied to soils")</f>
        <v>4.6.1.9 Manure applied to soils</v>
      </c>
      <c r="D31" s="15" t="str">
        <v>Sulfur - Generic</v>
      </c>
      <c r="E31" s="15">
        <f>INDEX(Table_MN_j_f,14,4)</f>
        <v>0</v>
      </c>
      <c r="F31" s="15" t="str" cm="1">
        <f t="array" ref="F31">Common_InputFunctions.Utility_LookupValueInTable(D31, Table_Fertiliser_ChemicalCompounds[Fertiliser type f],Table_Fertiliser_ChemicalCompounds[Basis])</f>
        <v>Other fertilisers</v>
      </c>
      <c r="G31" s="15" cm="1">
        <f t="array" ref="G31">Common_InputFunctions.Utility_LookupValueInTableNumber(F31, Table_SourceData_Fertiliser_FracGASF[Fertiliser type f],Table_SourceData_Fertiliser_FracGASF[FracGASF f])</f>
        <v>0.11</v>
      </c>
      <c r="H31" s="15" cm="1">
        <f t="array" ref="H31">Fertiliser_Equations_AtmosphericDeposition.VEERG_5_4_1_1__2_MassOfNitrogenVolatilisedFromInorganicFertiliser(E31,G31)</f>
        <v>0</v>
      </c>
    </row>
    <row r="32" spans="1:8" ht="20.100000000000001" customHeight="1" x14ac:dyDescent="0.2">
      <c r="A32" s="5" t="str">
        <f>HYPERLINK("#'4.6.1.10-11 Soil direct N2O'!A1", "4.6.1.10-11 Soil direct N2O")</f>
        <v>4.6.1.10-11 Soil direct N2O</v>
      </c>
      <c r="D32" s="15" t="str">
        <v>Zinc - Generic</v>
      </c>
      <c r="E32" s="15">
        <f>INDEX(Table_MN_j_f,15,4)</f>
        <v>0</v>
      </c>
      <c r="F32" s="15" t="str" cm="1">
        <f t="array" ref="F32">Common_InputFunctions.Utility_LookupValueInTable(D32, Table_Fertiliser_ChemicalCompounds[Fertiliser type f],Table_Fertiliser_ChemicalCompounds[Basis])</f>
        <v>Other fertilisers</v>
      </c>
      <c r="G32" s="15" cm="1">
        <f t="array" ref="G32">Common_InputFunctions.Utility_LookupValueInTableNumber(F32, Table_SourceData_Fertiliser_FracGASF[Fertiliser type f],Table_SourceData_Fertiliser_FracGASF[FracGASF f])</f>
        <v>0.11</v>
      </c>
      <c r="H32" s="15" cm="1">
        <f t="array" ref="H32">Fertiliser_Equations_AtmosphericDeposition.VEERG_5_4_1_1__2_MassOfNitrogenVolatilisedFromInorganicFertiliser(E32,G32)</f>
        <v>0</v>
      </c>
    </row>
    <row r="33" spans="1:12" ht="20.100000000000001" customHeight="1" x14ac:dyDescent="0.2">
      <c r="A33" s="5" t="str">
        <f>HYPERLINK("#'4.6.1.12-13 Soil atmos dep'!A1", "4.6.1.12-13 Soil atmos dep")</f>
        <v>4.6.1.12-13 Soil atmos dep</v>
      </c>
      <c r="D33" s="15" t="str">
        <v>Muriate of potash (MOP)</v>
      </c>
      <c r="E33" s="15">
        <f>INDEX(Table_MN_j_f,16,4)</f>
        <v>0</v>
      </c>
      <c r="F33" s="15" t="str" cm="1">
        <f t="array" ref="F33">Common_InputFunctions.Utility_LookupValueInTable(D33, Table_Fertiliser_ChemicalCompounds[Fertiliser type f],Table_Fertiliser_ChemicalCompounds[Basis])</f>
        <v>Other fertilisers</v>
      </c>
      <c r="G33" s="15" cm="1">
        <f t="array" ref="G33">Common_InputFunctions.Utility_LookupValueInTableNumber(F33, Table_SourceData_Fertiliser_FracGASF[Fertiliser type f],Table_SourceData_Fertiliser_FracGASF[FracGASF f])</f>
        <v>0.11</v>
      </c>
      <c r="H33" s="15" cm="1">
        <f t="array" ref="H33">Fertiliser_Equations_AtmosphericDeposition.VEERG_5_4_1_1__2_MassOfNitrogenVolatilisedFromInorganicFertiliser(E33,G33)</f>
        <v>0</v>
      </c>
    </row>
    <row r="34" spans="1:12" ht="20.100000000000001" customHeight="1" x14ac:dyDescent="0.2">
      <c r="A34" s="5" t="str">
        <f>HYPERLINK("#'4.6.1.14-15 Soil leach runoff'!A1", "4.6.1.14-15 Soil leach runoff")</f>
        <v>4.6.1.14-15 Soil leach runoff</v>
      </c>
      <c r="D34" s="15" t="str">
        <v>Double superphosphate</v>
      </c>
      <c r="E34" s="15">
        <f>INDEX(Table_MN_j_f,17,4)</f>
        <v>0</v>
      </c>
      <c r="F34" s="15" t="str" cm="1">
        <f t="array" ref="F34">Common_InputFunctions.Utility_LookupValueInTable(D34, Table_Fertiliser_ChemicalCompounds[Fertiliser type f],Table_Fertiliser_ChemicalCompounds[Basis])</f>
        <v>Other fertilisers</v>
      </c>
      <c r="G34" s="15" cm="1">
        <f t="array" ref="G34">Common_InputFunctions.Utility_LookupValueInTableNumber(F34, Table_SourceData_Fertiliser_FracGASF[Fertiliser type f],Table_SourceData_Fertiliser_FracGASF[FracGASF f])</f>
        <v>0.11</v>
      </c>
      <c r="H34" s="15" cm="1">
        <f t="array" ref="H34">Fertiliser_Equations_AtmosphericDeposition.VEERG_5_4_1_1__2_MassOfNitrogenVolatilisedFromInorganicFertiliser(E34,G34)</f>
        <v>0</v>
      </c>
    </row>
    <row r="35" spans="1:12" ht="20.100000000000001" customHeight="1" x14ac:dyDescent="0.2">
      <c r="A35" s="5" t="str">
        <f>HYPERLINK("#'8.1.1.1-2 Transport fuel'!A1", "8.1.1.1-2 Transport fuel")</f>
        <v>8.1.1.1-2 Transport fuel</v>
      </c>
      <c r="D35" s="15" t="str">
        <v>Single superphosphate (SSP)</v>
      </c>
      <c r="E35" s="15">
        <f>INDEX(Table_MN_j_f,18,4)</f>
        <v>0</v>
      </c>
      <c r="F35" s="15" t="str" cm="1">
        <f t="array" ref="F35">Common_InputFunctions.Utility_LookupValueInTable(D35, Table_Fertiliser_ChemicalCompounds[Fertiliser type f],Table_Fertiliser_ChemicalCompounds[Basis])</f>
        <v>Other fertilisers</v>
      </c>
      <c r="G35" s="15" cm="1">
        <f t="array" ref="G35">Common_InputFunctions.Utility_LookupValueInTableNumber(F35, Table_SourceData_Fertiliser_FracGASF[Fertiliser type f],Table_SourceData_Fertiliser_FracGASF[FracGASF f])</f>
        <v>0.11</v>
      </c>
      <c r="H35" s="15" cm="1">
        <f t="array" ref="H35">Fertiliser_Equations_AtmosphericDeposition.VEERG_5_4_1_1__2_MassOfNitrogenVolatilisedFromInorganicFertiliser(E35,G35)</f>
        <v>0</v>
      </c>
    </row>
    <row r="36" spans="1:12" ht="20.100000000000001" customHeight="1" x14ac:dyDescent="0.2">
      <c r="A36" s="5" t="str">
        <f>HYPERLINK("#'8.2.1.1-2 Stationary fuel'!A1", "8.2.1.1-2 Stationary fuel")</f>
        <v>8.2.1.1-2 Stationary fuel</v>
      </c>
      <c r="D36" s="15" t="str">
        <v>Ammonia</v>
      </c>
      <c r="E36" s="15">
        <f>INDEX(Table_MN_j_f,19,4)</f>
        <v>4117.5</v>
      </c>
      <c r="F36" s="15" t="str" cm="1">
        <f t="array" ref="F36">Common_InputFunctions.Utility_LookupValueInTable(D36, Table_Fertiliser_ChemicalCompounds[Fertiliser type f],Table_Fertiliser_ChemicalCompounds[Basis])</f>
        <v>Ammonium-based fertilisers</v>
      </c>
      <c r="G36" s="15" cm="1">
        <f t="array" ref="G36">Common_InputFunctions.Utility_LookupValueInTableNumber(F36, Table_SourceData_Fertiliser_FracGASF[Fertiliser type f],Table_SourceData_Fertiliser_FracGASF[FracGASF f])</f>
        <v>0.08</v>
      </c>
      <c r="H36" s="15" cm="1">
        <f t="array" ref="H36">Fertiliser_Equations_AtmosphericDeposition.VEERG_5_4_1_1__2_MassOfNitrogenVolatilisedFromInorganicFertiliser(E36,G36)</f>
        <v>329.40000000000003</v>
      </c>
    </row>
    <row r="37" spans="1:12" ht="20.100000000000001" customHeight="1" x14ac:dyDescent="0.2">
      <c r="A37" s="5" t="str">
        <f>HYPERLINK("#'10.1.1-2 Solid waste treatment'!A1", "10.1.1.1-2 Solid waste")</f>
        <v>10.1.1.1-2 Solid waste</v>
      </c>
      <c r="D37" s="15" t="str">
        <v>Calcium nitrate</v>
      </c>
      <c r="E37" s="15">
        <f>INDEX(Table_MN_j_f,20,4)</f>
        <v>775</v>
      </c>
      <c r="F37" s="15" t="str" cm="1">
        <f t="array" ref="F37">Common_InputFunctions.Utility_LookupValueInTable(D37, Table_Fertiliser_ChemicalCompounds[Fertiliser type f],Table_Fertiliser_ChemicalCompounds[Basis])</f>
        <v>Nitrate-based fertilisers</v>
      </c>
      <c r="G37" s="15" cm="1">
        <f t="array" ref="G37">Common_InputFunctions.Utility_LookupValueInTableNumber(F37, Table_SourceData_Fertiliser_FracGASF[Fertiliser type f],Table_SourceData_Fertiliser_FracGASF[FracGASF f])</f>
        <v>0.01</v>
      </c>
      <c r="H37" s="15" cm="1">
        <f t="array" ref="H37">Fertiliser_Equations_AtmosphericDeposition.VEERG_5_4_1_1__2_MassOfNitrogenVolatilisedFromInorganicFertiliser(E37,G37)</f>
        <v>7.75</v>
      </c>
    </row>
    <row r="38" spans="1:12" ht="20.100000000000001" customHeight="1" x14ac:dyDescent="0.2">
      <c r="A38" s="5" t="str">
        <f>HYPERLINK("#'14.1.1-2 Purchased electricity'!A1", "14.1.1-2 Purchased electricity")</f>
        <v>14.1.1-2 Purchased electricity</v>
      </c>
    </row>
    <row r="39" spans="1:12" ht="20.100000000000001" customHeight="1" x14ac:dyDescent="0.2">
      <c r="A39" s="5" t="str">
        <f>HYPERLINK("#'15 Scope 3'!A1", "15 Scope 3")</f>
        <v>15 Scope 3</v>
      </c>
    </row>
    <row r="40" spans="1:12" ht="20.100000000000001" customHeight="1" x14ac:dyDescent="0.2">
      <c r="A40" s="5" t="str">
        <f>HYPERLINK("#'Calcs - Manure sent off-site'!A1", "Calcs - Manure sent off-site")</f>
        <v>Calcs - Manure sent off-site</v>
      </c>
      <c r="C40" s="231"/>
      <c r="D40" s="231"/>
      <c r="E40" s="231"/>
      <c r="F40" s="231"/>
      <c r="G40" s="231"/>
      <c r="H40" s="231"/>
      <c r="I40" s="231"/>
      <c r="J40" s="231"/>
      <c r="K40" s="231"/>
      <c r="L40" s="231"/>
    </row>
    <row r="41" spans="1:12" ht="20.100000000000001" customHeight="1" x14ac:dyDescent="0.2">
      <c r="A41" s="5" t="str">
        <f>HYPERLINK("#'5.1.1.1-2 Inorganic fert N2O'!A1", "5.1.1.1-2 Inorganic fert N2O")</f>
        <v>5.1.1.1-2 Inorganic fert N2O</v>
      </c>
      <c r="D41" s="2" t="str" cm="1">
        <f t="array" ref="D41">Fertiliser_Equations_AtmosphericDeposition.VEERG_5_4_1_1__1_InorganicFertiliserAtmosphericDepositionN2OEmissions_Title()</f>
        <v>Nitrous oxide emissions from atmospheric deposition from all inorganic fertiliser types f and all production systems j</v>
      </c>
    </row>
    <row r="42" spans="1:12" ht="20.100000000000001" customHeight="1" x14ac:dyDescent="0.2">
      <c r="A42" s="5" t="str">
        <f>HYPERLINK("#'5.1.1.3-4 Inorganic fert CO2'!A1", "5.1.1.3-4 Inorganic fert CO2")</f>
        <v>5.1.1.3-4 Inorganic fert CO2</v>
      </c>
      <c r="D42" s="17" t="str" cm="1">
        <f t="array" ref="D42">Fertiliser_Equations_AtmosphericDeposition.VEERG_5_4_1_1__1_InorganicFertiliserAtmosphericDepositionN2OEmissions_Source()</f>
        <v>VEERG 2026: 5.4.1.1, Equation (1)</v>
      </c>
    </row>
    <row r="43" spans="1:12" ht="20.100000000000001" customHeight="1" x14ac:dyDescent="0.2">
      <c r="A43" s="5" t="str">
        <f>HYPERLINK("#'5.2.1.1-2 Organic Fert N2O'!A1", "5.2.1.1-2 Organic Fert N2O")</f>
        <v>5.2.1.1-2 Organic Fert N2O</v>
      </c>
      <c r="D43" s="112" t="s">
        <v>328</v>
      </c>
      <c r="E43" s="112" t="str" cm="1">
        <f t="array" aca="1" ref="E43" ca="1">Common_InputFunctions.Utility_DisplayFunctionName(F59)</f>
        <v>=Fertiliser_Equations_AtmosphericDeposition.VEERG_5_4_1_1__1_InorganicFertiliserAtmosphericDepositionN2OEmissions</v>
      </c>
    </row>
    <row r="44" spans="1:12" ht="20.100000000000001" customHeight="1" x14ac:dyDescent="0.2">
      <c r="A44" s="5" t="str">
        <f>HYPERLINK("#'5.3.1.1-2 Lime CO2'!A1", "5.3.1.1-2 Lime CO2")</f>
        <v>5.3.1.1-2 Lime CO2</v>
      </c>
    </row>
    <row r="45" spans="1:12" ht="20.100000000000001" customHeight="1" x14ac:dyDescent="0.2">
      <c r="A45" s="117" t="str">
        <f>HYPERLINK("#'5.4.1.1-4 Atmos deposition'!A1", "5.4.1.1-4 Atmos deposition")</f>
        <v>5.4.1.1-4 Atmos deposition</v>
      </c>
    </row>
    <row r="46" spans="1:12" ht="20.100000000000001" customHeight="1" x14ac:dyDescent="0.2">
      <c r="A46" s="5" t="str">
        <f>HYPERLINK("#'5.5.1.1-2 Leaching and runoff'!A1", "5.5.1.1-2 Leaching and runoff")</f>
        <v>5.5.1.1-2 Leaching and runoff</v>
      </c>
      <c r="D46" s="75" t="s">
        <v>329</v>
      </c>
      <c r="E46" s="1" t="str" cm="1">
        <f t="array" ref="E46">Fertiliser_Equations_AtmosphericDeposition.VEERG_5_4_1_1__1_InorganicFertiliserAtmosphericDepositionN2OEmissions_Variable()</f>
        <v>E_adinorganic</v>
      </c>
    </row>
    <row r="47" spans="1:12" ht="20.100000000000001" customHeight="1" x14ac:dyDescent="0.2">
      <c r="D47" s="75" t="s">
        <v>118</v>
      </c>
      <c r="E47" s="9" t="str" cm="1">
        <f t="array" ref="E47">Fertiliser_Equations_AtmosphericDeposition.VEERG_5_4_1_1__1_InorganicFertiliserAtmosphericDepositionN2OEmissions_Unit()</f>
        <v>t N2O</v>
      </c>
    </row>
    <row r="49" spans="1:10" ht="20.100000000000001" customHeight="1" x14ac:dyDescent="0.2">
      <c r="A49" s="80" t="s">
        <v>1</v>
      </c>
      <c r="D49" s="113" t="str" cm="1">
        <f t="array" ref="D49:E54">_xlfn.CHOOSECOLS(Fertiliser_Equations_AtmosphericDeposition.VEERG_5_4_1_1__1_InorganicFertiliserAtmosphericDepositionN2OEmissions_Arguments(), 1, 2)</f>
        <v>M_volinorganicjf</v>
      </c>
      <c r="E49" s="122" t="str">
        <v>mass of nitrogen volatilised from inorganic fertiliser applied to production system</v>
      </c>
      <c r="F49" s="136"/>
      <c r="G49" s="123"/>
      <c r="H49" s="113" t="str" cm="1">
        <f t="array" ref="H49:I54">_xlfn.CHOOSECOLS(Fertiliser_Equations_AtmosphericDeposition.VEERG_5_4_1_1__1_InorganicFertiliserAtmosphericDepositionN2OEmissions_Arguments(), 3,4)</f>
        <v>kg N</v>
      </c>
      <c r="I49" s="115" t="str">
        <v>Calculated from 5.4.1.1 (2)</v>
      </c>
      <c r="J49" s="116" t="str" cm="1">
        <f t="array" aca="1" ref="J49" ca="1">HYPERLINK(Common_InputFunctions.Utility_SourceHyperlink($D$16),$D$16)</f>
        <v>Table_M_vol_inorganic_j_f</v>
      </c>
    </row>
    <row r="50" spans="1:10" ht="20.100000000000001" customHeight="1" x14ac:dyDescent="0.2">
      <c r="A50" s="5" t="str">
        <f>HYPERLINK("#'Constants - Poultry'!A1", "Constants - Poultry")</f>
        <v>Constants - Poultry</v>
      </c>
      <c r="D50" s="113" t="str">
        <v>EF_N2Oj</v>
      </c>
      <c r="E50" s="122" t="str">
        <v>emission factor for atmospheric deposition</v>
      </c>
      <c r="F50" s="136"/>
      <c r="G50" s="123"/>
      <c r="H50" s="113" t="str">
        <v>kg N2O-N/kg N</v>
      </c>
      <c r="I50" s="115" t="str">
        <v>Constant</v>
      </c>
      <c r="J50" s="113">
        <f>Common_InputFunctions.Utility_LookupN2OEFFromProdIrrigationRainfall(J52,J53,J54,Table_SourceData_Common_EFN2O[Production system only],Table_SourceData_Common_EFN2O[Irrigation method],Table_SourceData_Common_EFN2O[Rainfall zone],Table_SourceData_Common_EFN2O[EFN2O])</f>
        <v>7.0000000000000001E-3</v>
      </c>
    </row>
    <row r="51" spans="1:10" ht="20.100000000000001" customHeight="1" x14ac:dyDescent="0.2">
      <c r="A51" s="5" t="str">
        <f>HYPERLINK("#'Constants - Common livestock'!A1", "Constants - Common Livestock")</f>
        <v>Constants - Common Livestock</v>
      </c>
      <c r="D51" s="113" t="str">
        <v>C_N2O</v>
      </c>
      <c r="E51" s="122" t="str">
        <v>factor to convert elemental mass of nitrous oxide to molecular mass</v>
      </c>
      <c r="F51" s="136"/>
      <c r="G51" s="123"/>
      <c r="H51" s="113" t="str">
        <v/>
      </c>
      <c r="I51" s="115" t="str">
        <v>Constant</v>
      </c>
      <c r="J51" s="126">
        <f>Common_InputFunctions.Utility_LookupValueInTableNumber("N2O",Table_GasToMolecularConversionFactor[Gas],Table_GasToMolecularConversionFactor[Conversion factor combined])</f>
        <v>1.5714285714285714</v>
      </c>
    </row>
    <row r="52" spans="1:10" ht="20.100000000000001" customHeight="1" x14ac:dyDescent="0.2">
      <c r="A52" s="5" t="str">
        <f>HYPERLINK("#'Constants - Electricity'!A1", "Constants - Electricity")</f>
        <v>Constants - Electricity</v>
      </c>
      <c r="D52" s="113" t="str">
        <v>j</v>
      </c>
      <c r="E52" s="122" t="str">
        <v>Production system</v>
      </c>
      <c r="F52" s="136"/>
      <c r="G52" s="123"/>
      <c r="H52" s="113" t="str">
        <v/>
      </c>
      <c r="I52" s="114" t="str">
        <v>Input</v>
      </c>
      <c r="J52" s="113" t="str">
        <f>X_Cell_Fertiliser_ProductionSystem</f>
        <v>Crop</v>
      </c>
    </row>
    <row r="53" spans="1:10" ht="20.100000000000001" customHeight="1" x14ac:dyDescent="0.2">
      <c r="A53" s="5" t="str">
        <f>HYPERLINK("#'Constants - Fertiliser'!A1", "Constants - Fertiliser")</f>
        <v>Constants - Fertiliser</v>
      </c>
      <c r="D53" s="113" t="str">
        <v>ir</v>
      </c>
      <c r="E53" s="122" t="str">
        <v>irrigation method</v>
      </c>
      <c r="F53" s="136"/>
      <c r="G53" s="123"/>
      <c r="H53" s="113" t="str">
        <v/>
      </c>
      <c r="I53" s="114" t="str">
        <v>Input</v>
      </c>
      <c r="J53" s="113" t="str">
        <f>X_Cell_Fertiliser_IrrigationMethod</f>
        <v>Drip irrigation</v>
      </c>
    </row>
    <row r="54" spans="1:10" ht="20.100000000000001" customHeight="1" x14ac:dyDescent="0.2">
      <c r="A54" s="5" t="str">
        <f>HYPERLINK("#'Constants - Fuel'!A1", "Constants - Fuel")</f>
        <v>Constants - Fuel</v>
      </c>
      <c r="D54" s="113" t="str">
        <v>r</v>
      </c>
      <c r="E54" s="122" t="str">
        <v>rainfall region</v>
      </c>
      <c r="F54" s="136"/>
      <c r="G54" s="123"/>
      <c r="H54" s="113" t="str">
        <v/>
      </c>
      <c r="I54" s="114" t="str">
        <v>Input</v>
      </c>
      <c r="J54" s="113">
        <f>X_Cell_Site_RainfallZone</f>
        <v>0</v>
      </c>
    </row>
    <row r="55" spans="1:10" ht="20.100000000000001" customHeight="1" x14ac:dyDescent="0.2">
      <c r="A55" s="5" t="str">
        <f>HYPERLINK("#'Constants - Scope 3'!A1", "Constants - Scope 3")</f>
        <v>Constants - Scope 3</v>
      </c>
    </row>
    <row r="56" spans="1:10" ht="20.100000000000001" customHeight="1" x14ac:dyDescent="0.2">
      <c r="A56" s="5" t="str">
        <f>HYPERLINK("#'Constants - Solid Waste'!A1", "Constants - Solid Waste")</f>
        <v>Constants - Solid Waste</v>
      </c>
      <c r="D56" s="118" t="s">
        <v>824</v>
      </c>
    </row>
    <row r="57" spans="1:10" ht="20.100000000000001" customHeight="1" x14ac:dyDescent="0.2">
      <c r="A57" s="5" t="str">
        <f>HYPERLINK("#'Constants - Common'!A1", "Constants - Common")</f>
        <v>Constants - Common</v>
      </c>
      <c r="D57" s="119" t="s">
        <v>825</v>
      </c>
    </row>
    <row r="58" spans="1:10" ht="20.100000000000001" customHeight="1" x14ac:dyDescent="0.2">
      <c r="D58" s="120" t="s">
        <v>819</v>
      </c>
      <c r="E58" s="234" t="s">
        <v>823</v>
      </c>
      <c r="F58" s="234" t="s">
        <v>826</v>
      </c>
    </row>
    <row r="59" spans="1:10" ht="20.100000000000001" customHeight="1" x14ac:dyDescent="0.2">
      <c r="D59" s="15" t="str" cm="1">
        <f t="array" ref="D59:D77">Table_Fertiliser_ChemicalCompounds[Fertiliser type f]</f>
        <v>Monoammonium phosphate (MAP)</v>
      </c>
      <c r="E59" s="15">
        <f t="shared" ref="E59:E77" si="0">H19</f>
        <v>0</v>
      </c>
      <c r="F59" s="15" cm="1">
        <f t="array" ref="F59">Fertiliser_Equations_AtmosphericDeposition.VEERG_5_4_1_1__1_InorganicFertiliserAtmosphericDepositionN2OEmissions(E59,$J$50,$J$51)</f>
        <v>0</v>
      </c>
      <c r="G59" s="16" t="str">
        <f>E47</f>
        <v>t N2O</v>
      </c>
    </row>
    <row r="60" spans="1:10" ht="20.100000000000001" customHeight="1" x14ac:dyDescent="0.2">
      <c r="D60" s="15" t="str">
        <v>Diammonium phosphate (DAP)</v>
      </c>
      <c r="E60" s="15">
        <f t="shared" si="0"/>
        <v>0</v>
      </c>
      <c r="F60" s="15" cm="1">
        <f t="array" ref="F60">Fertiliser_Equations_AtmosphericDeposition.VEERG_5_4_1_1__1_InorganicFertiliserAtmosphericDepositionN2OEmissions(E60,$J$50,$J$51)</f>
        <v>0</v>
      </c>
    </row>
    <row r="61" spans="1:10" ht="20.100000000000001" customHeight="1" x14ac:dyDescent="0.2">
      <c r="D61" s="15" t="str">
        <v>Urea</v>
      </c>
      <c r="E61" s="15">
        <f t="shared" si="0"/>
        <v>1739.99991</v>
      </c>
      <c r="F61" s="15" cm="1">
        <f t="array" ref="F61">Fertiliser_Equations_AtmosphericDeposition.VEERG_5_4_1_1__1_InorganicFertiliserAtmosphericDepositionN2OEmissions(E61,$J$50,$J$51)</f>
        <v>1.9139999010000002E-2</v>
      </c>
    </row>
    <row r="62" spans="1:10" ht="20.100000000000001" customHeight="1" x14ac:dyDescent="0.2">
      <c r="D62" s="15" t="str">
        <v>Sulphate of ammonia (SOA)</v>
      </c>
      <c r="E62" s="15">
        <f t="shared" si="0"/>
        <v>0</v>
      </c>
      <c r="F62" s="15" cm="1">
        <f t="array" ref="F62">Fertiliser_Equations_AtmosphericDeposition.VEERG_5_4_1_1__1_InorganicFertiliserAtmosphericDepositionN2OEmissions(E62,$J$50,$J$51)</f>
        <v>0</v>
      </c>
    </row>
    <row r="63" spans="1:10" ht="20.100000000000001" customHeight="1" x14ac:dyDescent="0.2">
      <c r="D63" s="15" t="str">
        <v>Urea-ammonium nitrate (UAN)</v>
      </c>
      <c r="E63" s="15">
        <f t="shared" si="0"/>
        <v>0</v>
      </c>
      <c r="F63" s="15" cm="1">
        <f t="array" ref="F63">Fertiliser_Equations_AtmosphericDeposition.VEERG_5_4_1_1__1_InorganicFertiliserAtmosphericDepositionN2OEmissions(E63,$J$50,$J$51)</f>
        <v>0</v>
      </c>
    </row>
    <row r="64" spans="1:10" ht="20.100000000000001" customHeight="1" x14ac:dyDescent="0.2">
      <c r="D64" s="15" t="str">
        <v>Ammonium nitrate (AN)</v>
      </c>
      <c r="E64" s="15">
        <f t="shared" si="0"/>
        <v>0</v>
      </c>
      <c r="F64" s="15" cm="1">
        <f t="array" ref="F64">Fertiliser_Equations_AtmosphericDeposition.VEERG_5_4_1_1__1_InorganicFertiliserAtmosphericDepositionN2OEmissions(E64,$J$50,$J$51)</f>
        <v>0</v>
      </c>
    </row>
    <row r="65" spans="1:6" ht="20.100000000000001" customHeight="1" x14ac:dyDescent="0.2">
      <c r="D65" s="15" t="str">
        <v>Calcium ammonium nitrate (CAN)</v>
      </c>
      <c r="E65" s="15">
        <f t="shared" si="0"/>
        <v>0</v>
      </c>
      <c r="F65" s="15" cm="1">
        <f t="array" ref="F65">Fertiliser_Equations_AtmosphericDeposition.VEERG_5_4_1_1__1_InorganicFertiliserAtmosphericDepositionN2OEmissions(E65,$J$50,$J$51)</f>
        <v>0</v>
      </c>
    </row>
    <row r="66" spans="1:6" ht="20.100000000000001" customHeight="1" x14ac:dyDescent="0.2">
      <c r="D66" s="15" t="str">
        <v>Nitrogen - Ammoniacal</v>
      </c>
      <c r="E66" s="15">
        <f t="shared" si="0"/>
        <v>99.2</v>
      </c>
      <c r="F66" s="15" cm="1">
        <f t="array" ref="F66">Fertiliser_Equations_AtmosphericDeposition.VEERG_5_4_1_1__1_InorganicFertiliserAtmosphericDepositionN2OEmissions(E66,$J$50,$J$51)</f>
        <v>1.0912000000000001E-3</v>
      </c>
    </row>
    <row r="67" spans="1:6" ht="20.100000000000001" customHeight="1" x14ac:dyDescent="0.2">
      <c r="D67" s="15" t="str">
        <v>Nitrogen - Nitrate</v>
      </c>
      <c r="E67" s="15">
        <f t="shared" si="0"/>
        <v>5.5</v>
      </c>
      <c r="F67" s="15" cm="1">
        <f t="array" ref="F67">Fertiliser_Equations_AtmosphericDeposition.VEERG_5_4_1_1__1_InorganicFertiliserAtmosphericDepositionN2OEmissions(E67,$J$50,$J$51)</f>
        <v>6.05E-5</v>
      </c>
    </row>
    <row r="68" spans="1:6" ht="20.100000000000001" customHeight="1" x14ac:dyDescent="0.2">
      <c r="A68" s="79" t="str">
        <f>HYPERLINK("#A1", "▲ Back to top")</f>
        <v>▲ Back to top</v>
      </c>
      <c r="D68" s="15" t="str">
        <v>Nitrogen - Generic</v>
      </c>
      <c r="E68" s="15">
        <f t="shared" si="0"/>
        <v>0</v>
      </c>
      <c r="F68" s="15" cm="1">
        <f t="array" ref="F68">Fertiliser_Equations_AtmosphericDeposition.VEERG_5_4_1_1__1_InorganicFertiliserAtmosphericDepositionN2OEmissions(E68,$J$50,$J$51)</f>
        <v>0</v>
      </c>
    </row>
    <row r="69" spans="1:6" ht="20.100000000000001" customHeight="1" x14ac:dyDescent="0.2">
      <c r="D69" s="15" t="str">
        <v>Phosphorus - Generic</v>
      </c>
      <c r="E69" s="15">
        <f t="shared" si="0"/>
        <v>0</v>
      </c>
      <c r="F69" s="15" cm="1">
        <f t="array" ref="F69">Fertiliser_Equations_AtmosphericDeposition.VEERG_5_4_1_1__1_InorganicFertiliserAtmosphericDepositionN2OEmissions(E69,$J$50,$J$51)</f>
        <v>0</v>
      </c>
    </row>
    <row r="70" spans="1:6" ht="20.100000000000001" customHeight="1" x14ac:dyDescent="0.2">
      <c r="D70" s="15" t="str">
        <v>Potassium - Generic</v>
      </c>
      <c r="E70" s="15">
        <f t="shared" si="0"/>
        <v>0</v>
      </c>
      <c r="F70" s="15" cm="1">
        <f t="array" ref="F70">Fertiliser_Equations_AtmosphericDeposition.VEERG_5_4_1_1__1_InorganicFertiliserAtmosphericDepositionN2OEmissions(E70,$J$50,$J$51)</f>
        <v>0</v>
      </c>
    </row>
    <row r="71" spans="1:6" ht="20.100000000000001" customHeight="1" x14ac:dyDescent="0.2">
      <c r="D71" s="15" t="str">
        <v>Sulfur - Generic</v>
      </c>
      <c r="E71" s="15">
        <f t="shared" si="0"/>
        <v>0</v>
      </c>
      <c r="F71" s="15" cm="1">
        <f t="array" ref="F71">Fertiliser_Equations_AtmosphericDeposition.VEERG_5_4_1_1__1_InorganicFertiliserAtmosphericDepositionN2OEmissions(E71,$J$50,$J$51)</f>
        <v>0</v>
      </c>
    </row>
    <row r="72" spans="1:6" ht="20.100000000000001" customHeight="1" x14ac:dyDescent="0.2">
      <c r="D72" s="15" t="str">
        <v>Zinc - Generic</v>
      </c>
      <c r="E72" s="15">
        <f t="shared" si="0"/>
        <v>0</v>
      </c>
      <c r="F72" s="15" cm="1">
        <f t="array" ref="F72">Fertiliser_Equations_AtmosphericDeposition.VEERG_5_4_1_1__1_InorganicFertiliserAtmosphericDepositionN2OEmissions(E72,$J$50,$J$51)</f>
        <v>0</v>
      </c>
    </row>
    <row r="73" spans="1:6" ht="20.100000000000001" customHeight="1" x14ac:dyDescent="0.2">
      <c r="D73" s="15" t="str">
        <v>Muriate of potash (MOP)</v>
      </c>
      <c r="E73" s="15">
        <f t="shared" si="0"/>
        <v>0</v>
      </c>
      <c r="F73" s="15" cm="1">
        <f t="array" ref="F73">Fertiliser_Equations_AtmosphericDeposition.VEERG_5_4_1_1__1_InorganicFertiliserAtmosphericDepositionN2OEmissions(E73,$J$50,$J$51)</f>
        <v>0</v>
      </c>
    </row>
    <row r="74" spans="1:6" ht="20.100000000000001" customHeight="1" x14ac:dyDescent="0.2">
      <c r="D74" s="15" t="str">
        <v>Double superphosphate</v>
      </c>
      <c r="E74" s="15">
        <f t="shared" si="0"/>
        <v>0</v>
      </c>
      <c r="F74" s="15" cm="1">
        <f t="array" ref="F74">Fertiliser_Equations_AtmosphericDeposition.VEERG_5_4_1_1__1_InorganicFertiliserAtmosphericDepositionN2OEmissions(E74,$J$50,$J$51)</f>
        <v>0</v>
      </c>
    </row>
    <row r="75" spans="1:6" ht="20.100000000000001" customHeight="1" x14ac:dyDescent="0.2">
      <c r="D75" s="15" t="str">
        <v>Single superphosphate (SSP)</v>
      </c>
      <c r="E75" s="15">
        <f t="shared" si="0"/>
        <v>0</v>
      </c>
      <c r="F75" s="15" cm="1">
        <f t="array" ref="F75">Fertiliser_Equations_AtmosphericDeposition.VEERG_5_4_1_1__1_InorganicFertiliserAtmosphericDepositionN2OEmissions(E75,$J$50,$J$51)</f>
        <v>0</v>
      </c>
    </row>
    <row r="76" spans="1:6" ht="20.100000000000001" customHeight="1" x14ac:dyDescent="0.2">
      <c r="D76" s="15" t="str">
        <v>Ammonia</v>
      </c>
      <c r="E76" s="15">
        <f t="shared" si="0"/>
        <v>329.40000000000003</v>
      </c>
      <c r="F76" s="15" cm="1">
        <f t="array" ref="F76">Fertiliser_Equations_AtmosphericDeposition.VEERG_5_4_1_1__1_InorganicFertiliserAtmosphericDepositionN2OEmissions(E76,$J$50,$J$51)</f>
        <v>3.6234000000000001E-3</v>
      </c>
    </row>
    <row r="77" spans="1:6" ht="20.100000000000001" customHeight="1" x14ac:dyDescent="0.2">
      <c r="D77" s="15" t="str">
        <v>Calcium nitrate</v>
      </c>
      <c r="E77" s="15">
        <f t="shared" si="0"/>
        <v>7.75</v>
      </c>
      <c r="F77" s="15" cm="1">
        <f t="array" ref="F77">Fertiliser_Equations_AtmosphericDeposition.VEERG_5_4_1_1__1_InorganicFertiliserAtmosphericDepositionN2OEmissions(E77,$J$50,$J$51)</f>
        <v>8.5249999999999999E-5</v>
      </c>
    </row>
    <row r="79" spans="1:6" ht="20.100000000000001" customHeight="1" x14ac:dyDescent="0.2">
      <c r="D79" s="85" t="s">
        <v>827</v>
      </c>
      <c r="E79" s="86">
        <f>SUM(F59:F77)</f>
        <v>2.4000349010000002E-2</v>
      </c>
      <c r="F79" s="95" t="str">
        <f>$E$47</f>
        <v>t N2O</v>
      </c>
    </row>
    <row r="81" spans="3:12" ht="20.100000000000001" customHeight="1" x14ac:dyDescent="0.2">
      <c r="D81" s="126" t="str" cm="1">
        <f t="array" ref="D81:E82">Common_Equations.Common_ConvertN2OToCO2e_Arguments()</f>
        <v>EN2O</v>
      </c>
      <c r="E81" s="129" t="str">
        <v>Nitrous oxide emissions (t N2O)</v>
      </c>
      <c r="F81" s="130"/>
      <c r="G81" s="15">
        <f>VEERG_5_4_1_1__1_InorganicFertiliserAtmosphericDepositionN2OEmissions_Result_Method1</f>
        <v>2.4000349010000002E-2</v>
      </c>
    </row>
    <row r="82" spans="3:12" ht="20.100000000000001" customHeight="1" x14ac:dyDescent="0.2">
      <c r="D82" s="126" t="str">
        <v>GWPN2O</v>
      </c>
      <c r="E82" s="129" t="str">
        <v>Global warming potential for nitrous oxide (t CO2-e / t N2O)</v>
      </c>
      <c r="F82" s="130"/>
      <c r="G82" s="15">
        <f>Common_InputFunctions.Utility_LookupValueInTableNumber("N2O",Table_GWPData[Gas],Table_GWPData[CO2-e factor])</f>
        <v>265</v>
      </c>
    </row>
    <row r="84" spans="3:12" ht="20.100000000000001" customHeight="1" x14ac:dyDescent="0.2">
      <c r="D84" s="83" t="s">
        <v>377</v>
      </c>
      <c r="E84" s="83" cm="1">
        <f t="array" ref="E84">Common_Equations.Common_ConvertN2OToCO2e(G81,G82)</f>
        <v>6.3600924876500002</v>
      </c>
      <c r="F84" s="89" t="str" cm="1">
        <f t="array" ref="F84">Common_Equations.Common_ConvertN2OToCO2e_Unit()</f>
        <v>t CO2e</v>
      </c>
    </row>
    <row r="87" spans="3:12" ht="20.100000000000001" customHeight="1" x14ac:dyDescent="0.2">
      <c r="C87" s="231"/>
      <c r="D87" s="231"/>
      <c r="E87" s="231"/>
      <c r="F87" s="231"/>
      <c r="G87" s="231"/>
      <c r="H87" s="231"/>
      <c r="I87" s="231"/>
      <c r="J87" s="231"/>
      <c r="K87" s="231"/>
      <c r="L87" s="231"/>
    </row>
    <row r="88" spans="3:12" ht="20.100000000000001" customHeight="1" x14ac:dyDescent="0.2">
      <c r="D88" s="2" t="str" cm="1">
        <f t="array" ref="D88">Fertiliser_Equations_AtmosphericDeposition.VEERG_5_4_1_3__2_MassOfNitrogenVolatilisedFromOrganicFertiliser_Title()</f>
        <v>Mass of nitrogen volatilised from organic fertiliser applied to production system</v>
      </c>
    </row>
    <row r="89" spans="3:12" ht="20.100000000000001" customHeight="1" x14ac:dyDescent="0.2">
      <c r="D89" s="17" t="str" cm="1">
        <f t="array" ref="D89">Fertiliser_Equations_AtmosphericDeposition.VEERG_5_4_1_3__2_MassOfNitrogenVolatilisedFromOrganicFertiliser_Source()</f>
        <v>VEERG 2026: 5.4.1.3, Equation (2)</v>
      </c>
    </row>
    <row r="90" spans="3:12" ht="20.100000000000001" customHeight="1" x14ac:dyDescent="0.2">
      <c r="D90" s="112" t="s">
        <v>328</v>
      </c>
      <c r="E90" s="112" t="str" cm="1">
        <f t="array" aca="1" ref="E90" ca="1">Common_InputFunctions.Utility_DisplayFunctionName(F102)</f>
        <v>=Fertiliser_Equations_AtmosphericDeposition.VEERG_5_4_1_3__2_MassOfNitrogenVolatilisedFromOrganicFertiliser</v>
      </c>
    </row>
    <row r="93" spans="3:12" ht="20.100000000000001" customHeight="1" x14ac:dyDescent="0.2">
      <c r="D93" s="75" t="s">
        <v>329</v>
      </c>
      <c r="E93" s="1" t="str" cm="1">
        <f t="array" ref="E93">Fertiliser_Equations_AtmosphericDeposition.VEERG_5_4_1_3__2_MassOfNitrogenVolatilisedFromOrganicFertiliser_Variable()</f>
        <v>M_volorganicjf</v>
      </c>
    </row>
    <row r="94" spans="3:12" ht="20.100000000000001" customHeight="1" x14ac:dyDescent="0.2">
      <c r="D94" s="75" t="s">
        <v>118</v>
      </c>
      <c r="E94" s="9" t="str" cm="1">
        <f t="array" ref="E94">Fertiliser_Equations_AtmosphericDeposition.VEERG_5_4_1_3__2_MassOfNitrogenVolatilisedFromOrganicFertiliser_Unit()</f>
        <v>kg N</v>
      </c>
    </row>
    <row r="96" spans="3:12" ht="20.100000000000001" customHeight="1" x14ac:dyDescent="0.2">
      <c r="D96" s="113" t="str" cm="1">
        <f t="array" ref="D96:E97">_xlfn.CHOOSECOLS(Fertiliser_Equations_AtmosphericDeposition.VEERG_5_4_1_3__2_MassOfNitrogenVolatilisedFromOrganicFertiliser_Arguments(), 1, 2)</f>
        <v>MNSoil_jf</v>
      </c>
      <c r="E96" s="113" t="str">
        <v>mass of nitrogen in organic fertiliser type f applied to production system j</v>
      </c>
      <c r="F96" s="113"/>
      <c r="G96" s="113" t="str" cm="1">
        <f t="array" ref="G96:H97">_xlfn.CHOOSECOLS(Fertiliser_Equations_AtmosphericDeposition.VEERG_5_4_1_3__2_MassOfNitrogenVolatilisedFromOrganicFertiliser_Arguments(), 3,4)</f>
        <v>kg N</v>
      </c>
      <c r="H96" s="115" t="str">
        <v>Calculated from 5.2.1.1 (2)</v>
      </c>
      <c r="I96" s="116" t="str" cm="1">
        <f t="array" aca="1" ref="I96" ca="1">HYPERLINK(Common_InputFunctions.Utility_SourceHyperlink($D$99), $D$99)</f>
        <v>Table_M_vol_organic_j_f</v>
      </c>
    </row>
    <row r="97" spans="1:9" ht="20.100000000000001" customHeight="1" x14ac:dyDescent="0.2">
      <c r="D97" s="113" t="str">
        <v>FracGASM_soil</v>
      </c>
      <c r="E97" s="113" t="str">
        <v>fraction of organic fertiliser N that volatilises</v>
      </c>
      <c r="F97" s="113"/>
      <c r="G97" s="113" t="str">
        <v>(kg NH3-N + NOx-N)/kg N</v>
      </c>
      <c r="H97" s="115" t="str">
        <v>Constant</v>
      </c>
      <c r="I97" s="113">
        <f>Fertiliser_FracGASMSoil_Data</f>
        <v>0.21</v>
      </c>
    </row>
    <row r="98" spans="1:9" ht="20.100000000000001" customHeight="1" x14ac:dyDescent="0.2">
      <c r="A98" s="79" t="str">
        <f>HYPERLINK("#A1", "▲ Back to top")</f>
        <v>▲ Back to top</v>
      </c>
    </row>
    <row r="99" spans="1:9" ht="20.100000000000001" customHeight="1" x14ac:dyDescent="0.2">
      <c r="D99" s="118" t="s">
        <v>828</v>
      </c>
    </row>
    <row r="100" spans="1:9" ht="20.100000000000001" customHeight="1" x14ac:dyDescent="0.2">
      <c r="D100" s="119" t="s">
        <v>829</v>
      </c>
    </row>
    <row r="101" spans="1:9" ht="20.100000000000001" customHeight="1" x14ac:dyDescent="0.2">
      <c r="D101" s="78" t="s">
        <v>802</v>
      </c>
      <c r="E101" s="227" t="s">
        <v>806</v>
      </c>
      <c r="F101" s="227" t="s">
        <v>830</v>
      </c>
    </row>
    <row r="102" spans="1:9" ht="20.100000000000001" customHeight="1" x14ac:dyDescent="0.2">
      <c r="D102" s="15" t="str" cm="1">
        <f t="array" ref="D102:D104">Table_Input_OrganicFertiliser[Organic fertiliser type (select)]</f>
        <v>Manure - Other</v>
      </c>
      <c r="E102" s="15">
        <f>INDEX(Table_MNSoil_j_f,2,6)</f>
        <v>300</v>
      </c>
      <c r="F102" s="15" cm="1">
        <f t="array" ref="F102">Fertiliser_Equations_AtmosphericDeposition.VEERG_5_4_1_3__2_MassOfNitrogenVolatilisedFromOrganicFertiliser(E102,$I$97)</f>
        <v>63</v>
      </c>
      <c r="G102" s="16" t="str">
        <f>$E$94</f>
        <v>kg N</v>
      </c>
    </row>
    <row r="103" spans="1:9" ht="20.100000000000001" customHeight="1" x14ac:dyDescent="0.2">
      <c r="D103" s="15" t="str">
        <v>Manure - Poultry</v>
      </c>
      <c r="E103" s="15">
        <f>INDEX(Table_MNSoil_j_f,3,6)</f>
        <v>250</v>
      </c>
      <c r="F103" s="15" cm="1">
        <f t="array" ref="F103">Fertiliser_Equations_AtmosphericDeposition.VEERG_5_4_1_3__2_MassOfNitrogenVolatilisedFromOrganicFertiliser(E103,$I$97)</f>
        <v>52.5</v>
      </c>
    </row>
    <row r="104" spans="1:9" ht="20.100000000000001" customHeight="1" x14ac:dyDescent="0.2">
      <c r="D104" s="15" t="str">
        <v>Other organic fertiliser</v>
      </c>
      <c r="E104" s="15">
        <f>INDEX(Table_MNSoil_j_f,4,6)</f>
        <v>160</v>
      </c>
      <c r="F104" s="15" cm="1">
        <f t="array" ref="F104">Fertiliser_Equations_AtmosphericDeposition.VEERG_5_4_1_3__2_MassOfNitrogenVolatilisedFromOrganicFertiliser(E104,$I$97)</f>
        <v>33.6</v>
      </c>
    </row>
    <row r="105" spans="1:9" ht="20.100000000000001" customHeight="1" x14ac:dyDescent="0.2">
      <c r="D105" s="15"/>
      <c r="E105" s="15">
        <f>'5.2.1.1-2 Organic Fert N2O'!I23</f>
        <v>0</v>
      </c>
      <c r="F105" s="15" cm="1">
        <f t="array" ref="F105">Fertiliser_Equations_AtmosphericDeposition.VEERG_5_4_1_3__2_MassOfNitrogenVolatilisedFromOrganicFertiliser(E105,$I$97)</f>
        <v>0</v>
      </c>
    </row>
    <row r="106" spans="1:9" ht="20.100000000000001" customHeight="1" x14ac:dyDescent="0.2">
      <c r="D106" s="15"/>
      <c r="E106" s="15">
        <f>'5.2.1.1-2 Organic Fert N2O'!I24</f>
        <v>0</v>
      </c>
      <c r="F106" s="15" cm="1">
        <f t="array" ref="F106">Fertiliser_Equations_AtmosphericDeposition.VEERG_5_4_1_3__2_MassOfNitrogenVolatilisedFromOrganicFertiliser(E106,$I$97)</f>
        <v>0</v>
      </c>
    </row>
    <row r="107" spans="1:9" ht="20.100000000000001" customHeight="1" x14ac:dyDescent="0.2">
      <c r="D107" s="15"/>
      <c r="E107" s="15">
        <f>'5.2.1.1-2 Organic Fert N2O'!I25</f>
        <v>0</v>
      </c>
      <c r="F107" s="15" cm="1">
        <f t="array" ref="F107">Fertiliser_Equations_AtmosphericDeposition.VEERG_5_4_1_3__2_MassOfNitrogenVolatilisedFromOrganicFertiliser(E107,$I$97)</f>
        <v>0</v>
      </c>
    </row>
    <row r="108" spans="1:9" ht="20.100000000000001" customHeight="1" x14ac:dyDescent="0.2">
      <c r="D108" s="15"/>
      <c r="E108" s="15">
        <f>'5.2.1.1-2 Organic Fert N2O'!I26</f>
        <v>0</v>
      </c>
      <c r="F108" s="15" cm="1">
        <f t="array" ref="F108">Fertiliser_Equations_AtmosphericDeposition.VEERG_5_4_1_3__2_MassOfNitrogenVolatilisedFromOrganicFertiliser(E108,$I$97)</f>
        <v>0</v>
      </c>
    </row>
    <row r="109" spans="1:9" ht="20.100000000000001" customHeight="1" x14ac:dyDescent="0.2">
      <c r="D109" s="15"/>
      <c r="E109" s="15">
        <f>'5.2.1.1-2 Organic Fert N2O'!I27</f>
        <v>0</v>
      </c>
      <c r="F109" s="15" cm="1">
        <f t="array" ref="F109">Fertiliser_Equations_AtmosphericDeposition.VEERG_5_4_1_3__2_MassOfNitrogenVolatilisedFromOrganicFertiliser(E109,$I$97)</f>
        <v>0</v>
      </c>
    </row>
    <row r="110" spans="1:9" ht="20.100000000000001" customHeight="1" x14ac:dyDescent="0.2">
      <c r="D110" s="15"/>
      <c r="E110" s="15">
        <f>'5.2.1.1-2 Organic Fert N2O'!I28</f>
        <v>0</v>
      </c>
      <c r="F110" s="15" cm="1">
        <f t="array" ref="F110">Fertiliser_Equations_AtmosphericDeposition.VEERG_5_4_1_3__2_MassOfNitrogenVolatilisedFromOrganicFertiliser(E110,$I$97)</f>
        <v>0</v>
      </c>
    </row>
    <row r="111" spans="1:9" ht="20.100000000000001" customHeight="1" x14ac:dyDescent="0.2">
      <c r="D111" s="15"/>
      <c r="E111" s="15">
        <f>'5.2.1.1-2 Organic Fert N2O'!I29</f>
        <v>0</v>
      </c>
      <c r="F111" s="15" cm="1">
        <f t="array" ref="F111">Fertiliser_Equations_AtmosphericDeposition.VEERG_5_4_1_3__2_MassOfNitrogenVolatilisedFromOrganicFertiliser(E111,$I$97)</f>
        <v>0</v>
      </c>
    </row>
    <row r="112" spans="1:9" ht="20.100000000000001" customHeight="1" x14ac:dyDescent="0.2">
      <c r="D112" s="15"/>
      <c r="E112" s="15">
        <f>'5.2.1.1-2 Organic Fert N2O'!I30</f>
        <v>0</v>
      </c>
      <c r="F112" s="15" cm="1">
        <f t="array" ref="F112">Fertiliser_Equations_AtmosphericDeposition.VEERG_5_4_1_3__2_MassOfNitrogenVolatilisedFromOrganicFertiliser(E112,$I$97)</f>
        <v>0</v>
      </c>
    </row>
    <row r="115" spans="1:12" ht="20.100000000000001" customHeight="1" x14ac:dyDescent="0.2">
      <c r="C115" s="231"/>
      <c r="D115" s="231"/>
      <c r="E115" s="231"/>
      <c r="F115" s="231"/>
      <c r="G115" s="231"/>
      <c r="H115" s="231"/>
      <c r="I115" s="231"/>
      <c r="J115" s="231"/>
      <c r="K115" s="231"/>
      <c r="L115" s="231"/>
    </row>
    <row r="116" spans="1:12" ht="20.100000000000001" customHeight="1" x14ac:dyDescent="0.2">
      <c r="D116" s="2" t="str" cm="1">
        <f t="array" ref="D116">Fertiliser_Equations_AtmosphericDeposition.VEERG_5_4_1_3__1_OrganicFertiliserAtmosphericDepositionN2OEmissions_Title()</f>
        <v>Nitrous oxide emissions from atmospheric deposition of all organic fertiliser types f and all production systems j</v>
      </c>
    </row>
    <row r="117" spans="1:12" ht="20.100000000000001" customHeight="1" x14ac:dyDescent="0.2">
      <c r="D117" s="17" t="str" cm="1">
        <f t="array" ref="D117">Fertiliser_Equations_AtmosphericDeposition.VEERG_5_4_1_3__1_OrganicFertiliserAtmosphericDepositionN2OEmissions_Source()</f>
        <v>VEERG 2026: 5.4.1.3, Equation (1)</v>
      </c>
    </row>
    <row r="118" spans="1:12" ht="20.100000000000001" customHeight="1" x14ac:dyDescent="0.2">
      <c r="D118" s="112" t="s">
        <v>328</v>
      </c>
      <c r="E118" s="112" t="str" cm="1">
        <f t="array" aca="1" ref="E118" ca="1">Common_InputFunctions.Utility_DisplayFunctionName(F134)</f>
        <v>=Fertiliser_Equations_AtmosphericDeposition.VEERG_5_4_1_3__1_OrganicFertiliserAtmosphericDepositionN2OEmissions</v>
      </c>
    </row>
    <row r="121" spans="1:12" ht="20.100000000000001" customHeight="1" x14ac:dyDescent="0.2">
      <c r="D121" s="75" t="s">
        <v>329</v>
      </c>
      <c r="E121" s="1" t="str" cm="1">
        <f t="array" ref="E121">Fertiliser_Equations_AtmosphericDeposition.VEERG_5_4_1_3__1_OrganicFertiliserAtmosphericDepositionN2OEmissions_Variable()</f>
        <v>E_adorganic</v>
      </c>
    </row>
    <row r="122" spans="1:12" ht="20.100000000000001" customHeight="1" x14ac:dyDescent="0.2">
      <c r="D122" s="75" t="s">
        <v>118</v>
      </c>
      <c r="E122" s="9" t="str" cm="1">
        <f t="array" ref="E122">Fertiliser_Equations_AtmosphericDeposition.VEERG_5_4_1_3__1_OrganicFertiliserAtmosphericDepositionN2OEmissions_Unit()</f>
        <v>t N2O</v>
      </c>
    </row>
    <row r="124" spans="1:12" ht="20.100000000000001" customHeight="1" x14ac:dyDescent="0.2">
      <c r="D124" s="113" t="str" cm="1">
        <f t="array" ref="D124:E129">_xlfn.CHOOSECOLS(Fertiliser_Equations_AtmosphericDeposition.VEERG_5_4_1_3__1_OrganicFertiliserAtmosphericDepositionN2OEmissions_Arguments(), 1, 2)</f>
        <v>M_volorganicjf</v>
      </c>
      <c r="E124" s="122" t="str">
        <v>mass of nitrogen volatilised from organic fertiliser applied to production system</v>
      </c>
      <c r="F124" s="123"/>
      <c r="G124" s="113" t="str" cm="1">
        <f t="array" ref="G124:H129">_xlfn.CHOOSECOLS(Fertiliser_Equations_AtmosphericDeposition.VEERG_5_4_1_3__1_OrganicFertiliserAtmosphericDepositionN2OEmissions_Arguments(), 3,4)</f>
        <v>kg N</v>
      </c>
      <c r="H124" s="115" t="str">
        <v>Calculated from 5.4.1.3 (2)</v>
      </c>
      <c r="I124" s="116" t="str" cm="1">
        <f t="array" aca="1" ref="I124" ca="1">HYPERLINK(Common_InputFunctions.Utility_SourceHyperlink($D$99), $D$99)</f>
        <v>Table_M_vol_organic_j_f</v>
      </c>
    </row>
    <row r="125" spans="1:12" ht="20.100000000000001" customHeight="1" x14ac:dyDescent="0.2">
      <c r="D125" s="113" t="str">
        <v>EF_N2Oj</v>
      </c>
      <c r="E125" s="122" t="str">
        <v>emission factor for atmospheric deposition in production system j</v>
      </c>
      <c r="F125" s="123"/>
      <c r="G125" s="113" t="str">
        <v>kg N2O-N/kg N</v>
      </c>
      <c r="H125" s="115" t="str">
        <v>Constant</v>
      </c>
      <c r="I125" s="113">
        <f>Common_InputFunctions.Utility_LookupN2OEFFromProdIrrigationRainfall(I127,I128,I129,Table_SourceData_Common_EFN2O[Production system only],Table_SourceData_Common_EFN2O[Irrigation method],Table_SourceData_Common_EFN2O[Rainfall zone],Table_SourceData_Common_EFN2O[EFN2O])</f>
        <v>7.0000000000000001E-3</v>
      </c>
    </row>
    <row r="126" spans="1:12" ht="20.100000000000001" customHeight="1" x14ac:dyDescent="0.2">
      <c r="D126" s="113" t="str">
        <v>C_N2O</v>
      </c>
      <c r="E126" s="122" t="str">
        <v>factor to convert elemental mass of nitrous oxide to molecular mass</v>
      </c>
      <c r="F126" s="123"/>
      <c r="G126" s="113" t="str">
        <v/>
      </c>
      <c r="H126" s="115" t="str">
        <v>Constant</v>
      </c>
      <c r="I126" s="126">
        <f>Common_InputFunctions.Utility_LookupValueInTableNumber("N2O",Table_GasToMolecularConversionFactor[Gas],Table_GasToMolecularConversionFactor[Conversion factor combined])</f>
        <v>1.5714285714285714</v>
      </c>
    </row>
    <row r="127" spans="1:12" ht="20.100000000000001" customHeight="1" x14ac:dyDescent="0.2">
      <c r="D127" s="113" t="str">
        <v>j</v>
      </c>
      <c r="E127" s="122" t="str">
        <v>Production system</v>
      </c>
      <c r="F127" s="123"/>
      <c r="G127" s="113" t="str">
        <v/>
      </c>
      <c r="H127" s="114" t="str">
        <v>Input</v>
      </c>
      <c r="I127" s="113" t="str">
        <f>X_Cell_Fertiliser_ProductionSystem</f>
        <v>Crop</v>
      </c>
    </row>
    <row r="128" spans="1:12" ht="20.100000000000001" customHeight="1" x14ac:dyDescent="0.2">
      <c r="A128" s="79" t="str">
        <f>HYPERLINK("#A1", "▲ Back to top")</f>
        <v>▲ Back to top</v>
      </c>
      <c r="D128" s="113" t="str">
        <v>ir</v>
      </c>
      <c r="E128" s="122" t="str">
        <v>irrigation method</v>
      </c>
      <c r="F128" s="123"/>
      <c r="G128" s="113" t="str">
        <v/>
      </c>
      <c r="H128" s="114" t="str">
        <v>Input</v>
      </c>
      <c r="I128" s="113" t="str">
        <f>X_Cell_Fertiliser_IrrigationMethod</f>
        <v>Drip irrigation</v>
      </c>
    </row>
    <row r="129" spans="4:9" ht="20.100000000000001" customHeight="1" x14ac:dyDescent="0.2">
      <c r="D129" s="113" t="str">
        <v>r</v>
      </c>
      <c r="E129" s="122" t="str">
        <v>rainfall region</v>
      </c>
      <c r="F129" s="123"/>
      <c r="G129" s="113" t="str">
        <v/>
      </c>
      <c r="H129" s="114" t="str">
        <v>Input</v>
      </c>
      <c r="I129" s="113">
        <f>X_Cell_Site_RainfallZone</f>
        <v>0</v>
      </c>
    </row>
    <row r="131" spans="4:9" ht="20.100000000000001" customHeight="1" x14ac:dyDescent="0.2">
      <c r="D131" s="118" t="s">
        <v>831</v>
      </c>
    </row>
    <row r="132" spans="4:9" ht="20.100000000000001" customHeight="1" x14ac:dyDescent="0.2">
      <c r="D132" s="119" t="s">
        <v>832</v>
      </c>
    </row>
    <row r="133" spans="4:9" ht="20.100000000000001" customHeight="1" x14ac:dyDescent="0.2">
      <c r="D133" s="78" t="s">
        <v>802</v>
      </c>
      <c r="E133" s="227" t="s">
        <v>830</v>
      </c>
      <c r="F133" s="227" t="s">
        <v>833</v>
      </c>
    </row>
    <row r="134" spans="4:9" ht="20.100000000000001" customHeight="1" x14ac:dyDescent="0.2">
      <c r="D134" s="15" t="str" cm="1">
        <f t="array" ref="D134:D136">Table_Input_OrganicFertiliser[Organic fertiliser type (select)]</f>
        <v>Manure - Other</v>
      </c>
      <c r="E134" s="15">
        <f>F102</f>
        <v>63</v>
      </c>
      <c r="F134" s="15" cm="1">
        <f t="array" ref="F134">Fertiliser_Equations_AtmosphericDeposition.VEERG_5_4_1_3__1_OrganicFertiliserAtmosphericDepositionN2OEmissions(E134,$I$125,$I$126)</f>
        <v>6.9299999999999993E-4</v>
      </c>
    </row>
    <row r="135" spans="4:9" ht="20.100000000000001" customHeight="1" x14ac:dyDescent="0.2">
      <c r="D135" s="15" t="str">
        <v>Manure - Poultry</v>
      </c>
      <c r="E135" s="15">
        <f t="shared" ref="E135:E144" si="1">F103</f>
        <v>52.5</v>
      </c>
      <c r="F135" s="15" cm="1">
        <f t="array" ref="F135">Fertiliser_Equations_AtmosphericDeposition.VEERG_5_4_1_3__1_OrganicFertiliserAtmosphericDepositionN2OEmissions(E135,$I$125,$I$126)</f>
        <v>5.775E-4</v>
      </c>
    </row>
    <row r="136" spans="4:9" ht="20.100000000000001" customHeight="1" x14ac:dyDescent="0.2">
      <c r="D136" s="15" t="str">
        <v>Other organic fertiliser</v>
      </c>
      <c r="E136" s="15">
        <f t="shared" si="1"/>
        <v>33.6</v>
      </c>
      <c r="F136" s="15" cm="1">
        <f t="array" ref="F136">Fertiliser_Equations_AtmosphericDeposition.VEERG_5_4_1_3__1_OrganicFertiliserAtmosphericDepositionN2OEmissions(E136,$I$125,$I$126)</f>
        <v>3.6960000000000004E-4</v>
      </c>
    </row>
    <row r="137" spans="4:9" ht="20.100000000000001" customHeight="1" x14ac:dyDescent="0.2">
      <c r="D137" s="15"/>
      <c r="E137" s="15">
        <f t="shared" si="1"/>
        <v>0</v>
      </c>
      <c r="F137" s="15" cm="1">
        <f t="array" ref="F137">Fertiliser_Equations_AtmosphericDeposition.VEERG_5_4_1_3__1_OrganicFertiliserAtmosphericDepositionN2OEmissions(E137,$I$125,$I$126)</f>
        <v>0</v>
      </c>
    </row>
    <row r="138" spans="4:9" ht="20.100000000000001" customHeight="1" x14ac:dyDescent="0.2">
      <c r="D138" s="15"/>
      <c r="E138" s="15">
        <f t="shared" si="1"/>
        <v>0</v>
      </c>
      <c r="F138" s="15" cm="1">
        <f t="array" ref="F138">Fertiliser_Equations_AtmosphericDeposition.VEERG_5_4_1_3__1_OrganicFertiliserAtmosphericDepositionN2OEmissions(E138,$I$125,$I$126)</f>
        <v>0</v>
      </c>
    </row>
    <row r="139" spans="4:9" ht="20.100000000000001" customHeight="1" x14ac:dyDescent="0.2">
      <c r="D139" s="15"/>
      <c r="E139" s="15">
        <f t="shared" si="1"/>
        <v>0</v>
      </c>
      <c r="F139" s="15" cm="1">
        <f t="array" ref="F139">Fertiliser_Equations_AtmosphericDeposition.VEERG_5_4_1_3__1_OrganicFertiliserAtmosphericDepositionN2OEmissions(E139,$I$125,$I$126)</f>
        <v>0</v>
      </c>
    </row>
    <row r="140" spans="4:9" ht="20.100000000000001" customHeight="1" x14ac:dyDescent="0.2">
      <c r="D140" s="15"/>
      <c r="E140" s="15">
        <f t="shared" si="1"/>
        <v>0</v>
      </c>
      <c r="F140" s="15" cm="1">
        <f t="array" ref="F140">Fertiliser_Equations_AtmosphericDeposition.VEERG_5_4_1_3__1_OrganicFertiliserAtmosphericDepositionN2OEmissions(E140,$I$125,$I$126)</f>
        <v>0</v>
      </c>
    </row>
    <row r="141" spans="4:9" ht="20.100000000000001" customHeight="1" x14ac:dyDescent="0.2">
      <c r="D141" s="15"/>
      <c r="E141" s="15">
        <f t="shared" si="1"/>
        <v>0</v>
      </c>
      <c r="F141" s="15" cm="1">
        <f t="array" ref="F141">Fertiliser_Equations_AtmosphericDeposition.VEERG_5_4_1_3__1_OrganicFertiliserAtmosphericDepositionN2OEmissions(E141,$I$125,$I$126)</f>
        <v>0</v>
      </c>
    </row>
    <row r="142" spans="4:9" ht="20.100000000000001" customHeight="1" x14ac:dyDescent="0.2">
      <c r="D142" s="15"/>
      <c r="E142" s="15">
        <f t="shared" si="1"/>
        <v>0</v>
      </c>
      <c r="F142" s="15" cm="1">
        <f t="array" ref="F142">Fertiliser_Equations_AtmosphericDeposition.VEERG_5_4_1_3__1_OrganicFertiliserAtmosphericDepositionN2OEmissions(E142,$I$125,$I$126)</f>
        <v>0</v>
      </c>
    </row>
    <row r="143" spans="4:9" ht="20.100000000000001" customHeight="1" x14ac:dyDescent="0.2">
      <c r="D143" s="15"/>
      <c r="E143" s="15">
        <f t="shared" si="1"/>
        <v>0</v>
      </c>
      <c r="F143" s="15" cm="1">
        <f t="array" ref="F143">Fertiliser_Equations_AtmosphericDeposition.VEERG_5_4_1_3__1_OrganicFertiliserAtmosphericDepositionN2OEmissions(E143,$I$125,$I$126)</f>
        <v>0</v>
      </c>
    </row>
    <row r="144" spans="4:9" ht="20.100000000000001" customHeight="1" x14ac:dyDescent="0.2">
      <c r="D144" s="15"/>
      <c r="E144" s="15">
        <f t="shared" si="1"/>
        <v>0</v>
      </c>
      <c r="F144" s="15" cm="1">
        <f t="array" ref="F144">Fertiliser_Equations_AtmosphericDeposition.VEERG_5_4_1_3__1_OrganicFertiliserAtmosphericDepositionN2OEmissions(E144,$I$125,$I$126)</f>
        <v>0</v>
      </c>
    </row>
    <row r="146" spans="4:7" ht="20.100000000000001" customHeight="1" x14ac:dyDescent="0.2">
      <c r="D146" s="85" t="s">
        <v>834</v>
      </c>
      <c r="E146" s="86">
        <f>SUM(F134:F144)</f>
        <v>1.6401E-3</v>
      </c>
      <c r="F146" s="95" t="str">
        <f>$E$122</f>
        <v>t N2O</v>
      </c>
    </row>
    <row r="148" spans="4:7" ht="20.100000000000001" customHeight="1" x14ac:dyDescent="0.2">
      <c r="D148" s="126" t="str" cm="1">
        <f t="array" ref="D148:E149">Common_Equations.Common_ConvertN2OToCO2e_Arguments()</f>
        <v>EN2O</v>
      </c>
      <c r="E148" s="129" t="str">
        <v>Nitrous oxide emissions (t N2O)</v>
      </c>
      <c r="F148" s="130"/>
      <c r="G148" s="15">
        <f>VEERG_5_4_1_3__1_OrganicFertiliserAtmosphericDepositionN2OEmissions_Result_Method1</f>
        <v>1.6401E-3</v>
      </c>
    </row>
    <row r="149" spans="4:7" ht="20.100000000000001" customHeight="1" x14ac:dyDescent="0.2">
      <c r="D149" s="126" t="str">
        <v>GWPN2O</v>
      </c>
      <c r="E149" s="129" t="str">
        <v>Global warming potential for nitrous oxide (t CO2-e / t N2O)</v>
      </c>
      <c r="F149" s="130"/>
      <c r="G149" s="15">
        <f>Common_InputFunctions.Utility_LookupValueInTableNumber("N2O",Table_GWPData[Gas],Table_GWPData[CO2-e factor])</f>
        <v>265</v>
      </c>
    </row>
    <row r="151" spans="4:7" ht="20.100000000000001" customHeight="1" x14ac:dyDescent="0.2">
      <c r="D151" s="83" t="s">
        <v>377</v>
      </c>
      <c r="E151" s="83" cm="1">
        <f t="array" ref="E151">Common_Equations.Common_ConvertN2OToCO2e(G148,G149)</f>
        <v>0.43462650000000003</v>
      </c>
      <c r="F151" s="89" t="str" cm="1">
        <f t="array" ref="F151">Common_Equations.Common_ConvertN2OToCO2e_Unit()</f>
        <v>t CO2e</v>
      </c>
    </row>
  </sheetData>
  <pageMargins left="0.7" right="0.7" top="0.75" bottom="0.75" header="0.3" footer="0.3"/>
  <pageSetup paperSize="9" orientation="portrait" r:id="rId1"/>
  <drawing r:id="rId2"/>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B246A8-39A3-4F07-A5D1-4A675C05A846}">
  <sheetPr>
    <tabColor rgb="FF008000"/>
  </sheetPr>
  <dimension ref="A1:T99"/>
  <sheetViews>
    <sheetView showGridLines="0" tabSelected="1" workbookViewId="0" zoomScale="100" zoomScaleNormal="100">
      <pane xSplit="1" topLeftCell="B1" activePane="topRight" state="frozenSplit"/>
      <selection pane="topRight" activeCell="B1" sqref="B1"/>
    </sheetView>
  </sheetViews>
  <sheetFormatPr defaultRowHeight="20.100000000000001" customHeight="1" x14ac:dyDescent="0.2"/>
  <cols>
    <col min="1" max="1" width="36.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19" width="30.7109375" style="1" customWidth="1"/>
    <col min="20" max="20" width="4.7109375" style="1" customWidth="1"/>
  </cols>
  <sheetData>
    <row r="1" spans="1:20" s="20" customFormat="1" ht="30" customHeight="1" x14ac:dyDescent="0.35">
      <c r="A1" s="10" t="e" vm="1">
        <v>#VALUE!</v>
      </c>
      <c r="C1" s="20" t="s">
        <v>835</v>
      </c>
    </row>
    <row r="2" spans="1:20" s="3" customFormat="1" ht="20.100000000000001" customHeight="1" x14ac:dyDescent="0.2">
      <c r="A2"/>
    </row>
    <row r="3" spans="1:20" ht="20.100000000000001" customHeight="1" x14ac:dyDescent="0.2">
      <c r="A3" s="5" t="str">
        <f>HYPERLINK("#'Home'!A1", "Home")</f>
        <v>Home</v>
      </c>
      <c r="C3" s="22"/>
      <c r="D3" s="22" t="s">
        <v>130</v>
      </c>
      <c r="E3" s="22"/>
      <c r="F3" s="22"/>
      <c r="G3" s="22"/>
      <c r="H3" s="22"/>
      <c r="I3" s="22"/>
      <c r="J3" s="22"/>
      <c r="K3" s="22"/>
      <c r="M3" s="22"/>
      <c r="N3" s="22" t="s">
        <v>131</v>
      </c>
      <c r="O3" s="22"/>
      <c r="P3" s="22"/>
      <c r="Q3" s="22"/>
      <c r="R3" s="22"/>
      <c r="S3" s="22"/>
      <c r="T3" s="22"/>
    </row>
    <row r="4" spans="1:20" ht="20.100000000000001" customHeight="1" x14ac:dyDescent="0.2">
      <c r="A4" s="5" t="str">
        <f>HYPERLINK("#'Results - Activity period'!A1", "Results - Activity period")</f>
        <v>Results - Activity period</v>
      </c>
    </row>
    <row r="5" spans="1:20" ht="20.100000000000001" customHeight="1" x14ac:dyDescent="0.2">
      <c r="A5" s="5" t="str">
        <f>HYPERLINK("#'Results - Product EI'!A1", "Results - Product Emissions Intensity")</f>
        <v>Results - Product Emissions Intensity</v>
      </c>
      <c r="D5" s="2" t="str" cm="1">
        <f t="array" ref="D5">Fertiliser_Equations_LeachingAndRunoff.VEERG_5_5_1_1__2_MassOfNitrogenLeachedFromInorganicFertiliser_Title()</f>
        <v>Mass of nitrogen lost through leaching and runoff from inorganic fertiliser application in production system j</v>
      </c>
    </row>
    <row r="6" spans="1:20" ht="20.100000000000001" customHeight="1" x14ac:dyDescent="0.2">
      <c r="D6" s="17" t="str" cm="1">
        <f t="array" ref="D6">Fertiliser_Equations_LeachingAndRunoff.VEERG_5_5_1_1__2_MassOfNitrogenLeachedFromInorganicFertiliser_Source()</f>
        <v>VEERG 2026: 5.5, Equation (2)</v>
      </c>
    </row>
    <row r="7" spans="1:20" ht="20.100000000000001" customHeight="1" x14ac:dyDescent="0.2">
      <c r="D7" s="112" t="s">
        <v>328</v>
      </c>
      <c r="E7" s="112" t="str" cm="1">
        <f t="array" aca="1" ref="E7" ca="1">Common_InputFunctions.Utility_DisplayFunctionName(F23)</f>
        <v>=Fertiliser_Equations_LeachingAndRunoff.VEERG_5_5_1_1__2_MassOfNitrogenLeachedFromInorganicFertiliser</v>
      </c>
    </row>
    <row r="8" spans="1:20" ht="20.100000000000001" customHeight="1" x14ac:dyDescent="0.2">
      <c r="A8" s="7" t="s">
        <v>0</v>
      </c>
    </row>
    <row r="9" spans="1:20" ht="20.100000000000001" customHeight="1" x14ac:dyDescent="0.2">
      <c r="A9" s="5" t="str">
        <f>HYPERLINK("#'Input - Enterprise'!A1", "Enterprise")</f>
        <v>Enterprise</v>
      </c>
    </row>
    <row r="10" spans="1:20" ht="20.100000000000001" customHeight="1" x14ac:dyDescent="0.2">
      <c r="A10" s="5" t="str">
        <f>HYPERLINK("#'Input - Site'!A1", "Site")</f>
        <v>Site</v>
      </c>
      <c r="D10" s="75" t="s">
        <v>329</v>
      </c>
      <c r="E10" s="1" t="str" cm="1">
        <f t="array" ref="E10">Fertiliser_Equations_LeachingAndRunoff.VEERG_5_5_1_1__2_MassOfNitrogenLeachedFromInorganicFertiliser_Variable()</f>
        <v>M_leachinorganicj</v>
      </c>
    </row>
    <row r="11" spans="1:20" ht="20.100000000000001" customHeight="1" x14ac:dyDescent="0.2">
      <c r="A11" s="5" t="str">
        <f>HYPERLINK("#'Input - Poultry'!A1", "Poultry")</f>
        <v>Poultry</v>
      </c>
      <c r="D11" s="75" t="s">
        <v>118</v>
      </c>
      <c r="E11" s="9" t="str" cm="1">
        <f t="array" ref="E11">Fertiliser_Equations_LeachingAndRunoff.VEERG_5_5_1_1__2_MassOfNitrogenLeachedFromInorganicFertiliser_Unit()</f>
        <v>kg N</v>
      </c>
    </row>
    <row r="12" spans="1:20" ht="20.100000000000001" customHeight="1" x14ac:dyDescent="0.2">
      <c r="A12" s="5" t="str">
        <f>HYPERLINK("#'Input - Livestock sales'!A1", "Livestock sales")</f>
        <v>Livestock sales</v>
      </c>
    </row>
    <row r="13" spans="1:20" ht="20.100000000000001" customHeight="1" x14ac:dyDescent="0.2">
      <c r="A13" s="5" t="str">
        <f>HYPERLINK("#'Input - Poultry purchases'!A1", "Poultry purchases")</f>
        <v>Poultry purchases</v>
      </c>
      <c r="D13" s="113" t="str" cm="1">
        <f t="array" ref="D13:E18">_xlfn.CHOOSECOLS(Fertiliser_Equations_LeachingAndRunoff.VEERG_5_5_1_1__2_MassOfNitrogenLeachedFromInorganicFertiliser_Arguments(), 1, 2)</f>
        <v>MN_jf</v>
      </c>
      <c r="E13" s="122" t="str">
        <v>mass of nitrogen in inorganic fertiliser</v>
      </c>
      <c r="F13" s="123"/>
      <c r="G13" s="113" t="str" cm="1">
        <f t="array" ref="G13:H18">_xlfn.CHOOSECOLS(Fertiliser_Equations_LeachingAndRunoff.VEERG_5_5_1_1__2_MassOfNitrogenLeachedFromInorganicFertiliser_Arguments(), 3,4)</f>
        <v>kg N</v>
      </c>
      <c r="H13" s="115" t="str">
        <v>Calculated from 5.1.1.1 (2)</v>
      </c>
      <c r="I13" s="116" t="str" cm="1">
        <f t="array" aca="1" ref="I13" ca="1">HYPERLINK(Common_InputFunctions.Utility_SourceHyperlink(D20), D20)</f>
        <v>Table_M_leach_inorganic_j</v>
      </c>
    </row>
    <row r="14" spans="1:20" ht="20.100000000000001" customHeight="1" x14ac:dyDescent="0.2">
      <c r="A14" s="5" t="str">
        <f>HYPERLINK("#'Input - Fuel'!A1", "Fuel")</f>
        <v>Fuel</v>
      </c>
      <c r="D14" s="113" t="str">
        <v>FracWETj</v>
      </c>
      <c r="E14" s="122" t="str">
        <v>fraction of N available for leaching and runoff</v>
      </c>
      <c r="F14" s="123"/>
      <c r="G14" s="113" t="str">
        <v>fraction</v>
      </c>
      <c r="H14" s="115" t="str">
        <v>Constant</v>
      </c>
      <c r="I14" s="113">
        <f>Common_InputFunctions.CommonCropping_GetFracWET(I16,I18,Table_SourceData_FracWET[Is in leaching zone],Table_SourceData_FracWET[FracWET],Table_SourceData_FracWETIrrigation[Irrigation type i],Table_SourceData_FracWETIrrigation[FracWET])</f>
        <v>0</v>
      </c>
    </row>
    <row r="15" spans="1:20" ht="20.100000000000001" customHeight="1" x14ac:dyDescent="0.2">
      <c r="A15" s="5" t="str">
        <f>HYPERLINK("#'Input - Electricity'!A1", "Electricity")</f>
        <v>Electricity</v>
      </c>
      <c r="D15" s="113" t="str">
        <v>FracLEACH</v>
      </c>
      <c r="E15" s="122" t="str">
        <v>fraction of N that is lost through leaching and runoff</v>
      </c>
      <c r="F15" s="123"/>
      <c r="G15" s="113" t="str">
        <v>fraction</v>
      </c>
      <c r="H15" s="115" t="str">
        <v>Constant</v>
      </c>
      <c r="I15" s="113">
        <f>Fertiliser_FracLEACH_Data</f>
        <v>0.24</v>
      </c>
    </row>
    <row r="16" spans="1:20" ht="20.100000000000001" customHeight="1" x14ac:dyDescent="0.2">
      <c r="A16" s="5" t="str">
        <f>HYPERLINK("#'Input - Common farm inputs'!A1", "Common farm inputs")</f>
        <v>Common farm inputs</v>
      </c>
      <c r="D16" s="113" t="str">
        <v>z</v>
      </c>
      <c r="E16" s="122" t="str">
        <v>location in leaching zone</v>
      </c>
      <c r="F16" s="123"/>
      <c r="G16" s="113" t="str">
        <v/>
      </c>
      <c r="H16" s="114" t="str">
        <v>Input</v>
      </c>
      <c r="I16" s="113">
        <f>X_Cell_Site_LeachingZone</f>
        <v>0</v>
      </c>
    </row>
    <row r="17" spans="1:9" ht="20.100000000000001" customHeight="1" x14ac:dyDescent="0.2">
      <c r="A17" s="5" t="str">
        <f>HYPERLINK("#'Input - Livestock farm Inputs'!A1", "Livestock farm Inputs")</f>
        <v>Livestock farm Inputs</v>
      </c>
      <c r="D17" s="113" t="str">
        <v>j</v>
      </c>
      <c r="E17" s="122" t="str">
        <v>production system</v>
      </c>
      <c r="F17" s="123"/>
      <c r="G17" s="113" t="str">
        <v/>
      </c>
      <c r="H17" s="114" t="str">
        <v>Input</v>
      </c>
      <c r="I17" s="113" t="str">
        <f>X_Cell_Fertiliser_ProductionSystem</f>
        <v>Crop</v>
      </c>
    </row>
    <row r="18" spans="1:9" ht="20.100000000000001" customHeight="1" x14ac:dyDescent="0.2">
      <c r="A18" s="5" t="str">
        <f>HYPERLINK("#'Input - Freight'!A1", "Freight")</f>
        <v>Freight</v>
      </c>
      <c r="D18" s="113" t="str">
        <v>ir</v>
      </c>
      <c r="E18" s="122" t="str">
        <v>irrigation method</v>
      </c>
      <c r="F18" s="123"/>
      <c r="G18" s="113" t="str">
        <v/>
      </c>
      <c r="H18" s="114" t="str">
        <v>Input</v>
      </c>
      <c r="I18" s="113" t="str">
        <f>X_Cell_Fertiliser_IrrigationMethod</f>
        <v>Drip irrigation</v>
      </c>
    </row>
    <row r="19" spans="1:9" ht="20.100000000000001" customHeight="1" x14ac:dyDescent="0.2">
      <c r="A19" s="5" t="str">
        <f>HYPERLINK("#'Input - Solid waste'!A1", "Solid waste")</f>
        <v>Solid waste</v>
      </c>
    </row>
    <row r="20" spans="1:9" ht="20.100000000000001" customHeight="1" x14ac:dyDescent="0.2">
      <c r="A20" s="5" t="str">
        <f>HYPERLINK("#'Input - Manure sent off-site'!A1", "Manure sent off-site")</f>
        <v>Manure sent off-site</v>
      </c>
      <c r="D20" s="118" t="s">
        <v>836</v>
      </c>
    </row>
    <row r="21" spans="1:9" ht="20.100000000000001" customHeight="1" x14ac:dyDescent="0.2">
      <c r="A21" s="5" t="str">
        <f>HYPERLINK("#'Input - Data quality'!A1", "Data quality")</f>
        <v>Data quality</v>
      </c>
      <c r="D21" s="119" t="s">
        <v>837</v>
      </c>
    </row>
    <row r="22" spans="1:9" ht="20.100000000000001" customHeight="1" x14ac:dyDescent="0.2">
      <c r="A22" s="5" t="str">
        <f>HYPERLINK("#'Input - Fert Prod System'!A1", "Fert Prod System")</f>
        <v>Fert Prod System</v>
      </c>
      <c r="D22" s="120" t="s">
        <v>766</v>
      </c>
      <c r="E22" s="120" t="s">
        <v>820</v>
      </c>
      <c r="F22" s="120" t="s">
        <v>838</v>
      </c>
    </row>
    <row r="23" spans="1:9" ht="20.100000000000001" customHeight="1" x14ac:dyDescent="0.2">
      <c r="A23" s="5" t="str">
        <f>HYPERLINK("#'Input - Fertiliser'!A1", "Fertiliser")</f>
        <v>Fertiliser</v>
      </c>
      <c r="D23" s="15" t="str" cm="1">
        <f t="array" ref="D23:D41">Table_Fertiliser_ChemicalCompounds[Fertiliser type f]</f>
        <v>Monoammonium phosphate (MAP)</v>
      </c>
      <c r="E23" s="15">
        <f>INDEX(Table_MN_j_f,2,4)</f>
        <v>0</v>
      </c>
      <c r="F23" s="15" cm="1">
        <f t="array" ref="F23">Fertiliser_Equations_LeachingAndRunoff.VEERG_5_5_1_1__2_MassOfNitrogenLeachedFromInorganicFertiliser(E23, $I$14, $I$15)</f>
        <v>0</v>
      </c>
    </row>
    <row r="24" spans="1:9" ht="20.100000000000001" customHeight="1" x14ac:dyDescent="0.2">
      <c r="D24" s="15" t="str">
        <v>Diammonium phosphate (DAP)</v>
      </c>
      <c r="E24" s="15">
        <f>INDEX(Table_MN_j_f,3,4)</f>
        <v>0</v>
      </c>
      <c r="F24" s="15" cm="1">
        <f t="array" ref="F24">Fertiliser_Equations_LeachingAndRunoff.VEERG_5_5_1_1__2_MassOfNitrogenLeachedFromInorganicFertiliser(E24, $I$14, $I$15)</f>
        <v>0</v>
      </c>
    </row>
    <row r="25" spans="1:9" ht="20.100000000000001" customHeight="1" x14ac:dyDescent="0.2">
      <c r="D25" s="15" t="str">
        <v>Urea</v>
      </c>
      <c r="E25" s="15">
        <f>INDEX(Table_MN_j_f,4,4)</f>
        <v>11599.999400000001</v>
      </c>
      <c r="F25" s="15" cm="1">
        <f t="array" ref="F25">Fertiliser_Equations_LeachingAndRunoff.VEERG_5_5_1_1__2_MassOfNitrogenLeachedFromInorganicFertiliser(E25, $I$14, $I$15)</f>
        <v>0</v>
      </c>
    </row>
    <row r="26" spans="1:9" ht="20.100000000000001" customHeight="1" x14ac:dyDescent="0.2">
      <c r="A26" s="6" t="s">
        <v>2</v>
      </c>
      <c r="D26" s="15" t="str">
        <v>Sulphate of ammonia (SOA)</v>
      </c>
      <c r="E26" s="15">
        <f>INDEX(Table_MN_j_f,5,4)</f>
        <v>0</v>
      </c>
      <c r="F26" s="15" cm="1">
        <f t="array" ref="F26">Fertiliser_Equations_LeachingAndRunoff.VEERG_5_5_1_1__2_MassOfNitrogenLeachedFromInorganicFertiliser(E26, $I$14, $I$15)</f>
        <v>0</v>
      </c>
    </row>
    <row r="27" spans="1:9" ht="20.100000000000001" customHeight="1" x14ac:dyDescent="0.2">
      <c r="A27" s="5" t="str">
        <f>HYPERLINK("#'4.6.1.1-2 Methane'!A1", "4.6.1.1-2 Manure Methane")</f>
        <v>4.6.1.1-2 Manure Methane</v>
      </c>
      <c r="D27" s="15" t="str">
        <v>Urea-ammonium nitrate (UAN)</v>
      </c>
      <c r="E27" s="15">
        <f>INDEX(Table_MN_j_f,6,4)</f>
        <v>0</v>
      </c>
      <c r="F27" s="15" cm="1">
        <f t="array" ref="F27">Fertiliser_Equations_LeachingAndRunoff.VEERG_5_5_1_1__2_MassOfNitrogenLeachedFromInorganicFertiliser(E27, $I$14, $I$15)</f>
        <v>0</v>
      </c>
    </row>
    <row r="28" spans="1:9" ht="20.100000000000001" customHeight="1" x14ac:dyDescent="0.2">
      <c r="A28" s="5" t="str">
        <f>HYPERLINK("#'4.6.1.3-4 Direct N20'!A1", "4.6.1.3-4 Manure Direct N2O")</f>
        <v>4.6.1.3-4 Manure Direct N2O</v>
      </c>
      <c r="D28" s="15" t="str">
        <v>Ammonium nitrate (AN)</v>
      </c>
      <c r="E28" s="15">
        <f>INDEX(Table_MN_j_f,7,4)</f>
        <v>0</v>
      </c>
      <c r="F28" s="15" cm="1">
        <f t="array" ref="F28">Fertiliser_Equations_LeachingAndRunoff.VEERG_5_5_1_1__2_MassOfNitrogenLeachedFromInorganicFertiliser(E28, $I$14, $I$15)</f>
        <v>0</v>
      </c>
    </row>
    <row r="29" spans="1:9" ht="20.100000000000001" customHeight="1" x14ac:dyDescent="0.2">
      <c r="A29" s="5" t="str">
        <f>HYPERLINK("#'4.6.1.5-6 Atmos Dep'!A1", "4.6.1.5-6 Manure Atmos Dep")</f>
        <v>4.6.1.5-6 Manure Atmos Dep</v>
      </c>
      <c r="D29" s="15" t="str">
        <v>Calcium ammonium nitrate (CAN)</v>
      </c>
      <c r="E29" s="15">
        <f>INDEX(Table_MN_j_f,8,4)</f>
        <v>0</v>
      </c>
      <c r="F29" s="15" cm="1">
        <f t="array" ref="F29">Fertiliser_Equations_LeachingAndRunoff.VEERG_5_5_1_1__2_MassOfNitrogenLeachedFromInorganicFertiliser(E29, $I$14, $I$15)</f>
        <v>0</v>
      </c>
    </row>
    <row r="30" spans="1:9" ht="20.100000000000001" customHeight="1" x14ac:dyDescent="0.2">
      <c r="A30" s="5" t="str">
        <f>HYPERLINK("#'4.6.1.7-8 Leaching and runoff'!A1", "4.6.1.7-8 Manure Leaching and runoff")</f>
        <v>4.6.1.7-8 Manure Leaching and runoff</v>
      </c>
      <c r="D30" s="15" t="str">
        <v>Nitrogen - Ammoniacal</v>
      </c>
      <c r="E30" s="15">
        <f>INDEX(Table_MN_j_f,9,4)</f>
        <v>1240</v>
      </c>
      <c r="F30" s="15" cm="1">
        <f t="array" ref="F30">Fertiliser_Equations_LeachingAndRunoff.VEERG_5_5_1_1__2_MassOfNitrogenLeachedFromInorganicFertiliser(E30, $I$14, $I$15)</f>
        <v>0</v>
      </c>
    </row>
    <row r="31" spans="1:9" ht="20.100000000000001" customHeight="1" x14ac:dyDescent="0.2">
      <c r="A31" s="5" t="str">
        <f>HYPERLINK("#'4.6.1.9 Manure applied to soils'!A1", "4.6.1.9 Manure applied to soils")</f>
        <v>4.6.1.9 Manure applied to soils</v>
      </c>
      <c r="D31" s="15" t="str">
        <v>Nitrogen - Nitrate</v>
      </c>
      <c r="E31" s="15">
        <f>INDEX(Table_MN_j_f,10,4)</f>
        <v>550</v>
      </c>
      <c r="F31" s="15" cm="1">
        <f t="array" ref="F31">Fertiliser_Equations_LeachingAndRunoff.VEERG_5_5_1_1__2_MassOfNitrogenLeachedFromInorganicFertiliser(E31, $I$14, $I$15)</f>
        <v>0</v>
      </c>
    </row>
    <row r="32" spans="1:9" ht="20.100000000000001" customHeight="1" x14ac:dyDescent="0.2">
      <c r="A32" s="5" t="str">
        <f>HYPERLINK("#'4.6.1.10-11 Soil direct N2O'!A1", "4.6.1.10-11 Soil direct N2O")</f>
        <v>4.6.1.10-11 Soil direct N2O</v>
      </c>
      <c r="D32" s="15" t="str">
        <v>Nitrogen - Generic</v>
      </c>
      <c r="E32" s="15">
        <f>INDEX(Table_MN_j_f,11,4)</f>
        <v>0</v>
      </c>
      <c r="F32" s="15" cm="1">
        <f t="array" ref="F32">Fertiliser_Equations_LeachingAndRunoff.VEERG_5_5_1_1__2_MassOfNitrogenLeachedFromInorganicFertiliser(E32, $I$14, $I$15)</f>
        <v>0</v>
      </c>
    </row>
    <row r="33" spans="1:11" ht="20.100000000000001" customHeight="1" x14ac:dyDescent="0.2">
      <c r="A33" s="5" t="str">
        <f>HYPERLINK("#'4.6.1.12-13 Soil atmos dep'!A1", "4.6.1.12-13 Soil atmos dep")</f>
        <v>4.6.1.12-13 Soil atmos dep</v>
      </c>
      <c r="D33" s="15" t="str">
        <v>Phosphorus - Generic</v>
      </c>
      <c r="E33" s="15">
        <f>INDEX(Table_MN_j_f,12,4)</f>
        <v>0</v>
      </c>
      <c r="F33" s="15" cm="1">
        <f t="array" ref="F33">Fertiliser_Equations_LeachingAndRunoff.VEERG_5_5_1_1__2_MassOfNitrogenLeachedFromInorganicFertiliser(E33, $I$14, $I$15)</f>
        <v>0</v>
      </c>
    </row>
    <row r="34" spans="1:11" ht="20.100000000000001" customHeight="1" x14ac:dyDescent="0.2">
      <c r="A34" s="5" t="str">
        <f>HYPERLINK("#'4.6.1.14-15 Soil leach runoff'!A1", "4.6.1.14-15 Soil leach runoff")</f>
        <v>4.6.1.14-15 Soil leach runoff</v>
      </c>
      <c r="D34" s="15" t="str">
        <v>Potassium - Generic</v>
      </c>
      <c r="E34" s="15">
        <f>INDEX(Table_MN_j_f,13,4)</f>
        <v>0</v>
      </c>
      <c r="F34" s="15" cm="1">
        <f t="array" ref="F34">Fertiliser_Equations_LeachingAndRunoff.VEERG_5_5_1_1__2_MassOfNitrogenLeachedFromInorganicFertiliser(E34, $I$14, $I$15)</f>
        <v>0</v>
      </c>
    </row>
    <row r="35" spans="1:11" ht="20.100000000000001" customHeight="1" x14ac:dyDescent="0.2">
      <c r="A35" s="5" t="str">
        <f>HYPERLINK("#'8.1.1.1-2 Transport fuel'!A1", "8.1.1.1-2 Transport fuel")</f>
        <v>8.1.1.1-2 Transport fuel</v>
      </c>
      <c r="D35" s="15" t="str">
        <v>Sulfur - Generic</v>
      </c>
      <c r="E35" s="15">
        <f>INDEX(Table_MN_j_f,14,4)</f>
        <v>0</v>
      </c>
      <c r="F35" s="15" cm="1">
        <f t="array" ref="F35">Fertiliser_Equations_LeachingAndRunoff.VEERG_5_5_1_1__2_MassOfNitrogenLeachedFromInorganicFertiliser(E35, $I$14, $I$15)</f>
        <v>0</v>
      </c>
    </row>
    <row r="36" spans="1:11" ht="20.100000000000001" customHeight="1" x14ac:dyDescent="0.2">
      <c r="A36" s="5" t="str">
        <f>HYPERLINK("#'8.2.1.1-2 Stationary fuel'!A1", "8.2.1.1-2 Stationary fuel")</f>
        <v>8.2.1.1-2 Stationary fuel</v>
      </c>
      <c r="D36" s="15" t="str">
        <v>Zinc - Generic</v>
      </c>
      <c r="E36" s="15">
        <f>INDEX(Table_MN_j_f,15,4)</f>
        <v>0</v>
      </c>
      <c r="F36" s="15" cm="1">
        <f t="array" ref="F36">Fertiliser_Equations_LeachingAndRunoff.VEERG_5_5_1_1__2_MassOfNitrogenLeachedFromInorganicFertiliser(E36, $I$14, $I$15)</f>
        <v>0</v>
      </c>
    </row>
    <row r="37" spans="1:11" ht="20.100000000000001" customHeight="1" x14ac:dyDescent="0.2">
      <c r="A37" s="5" t="str">
        <f>HYPERLINK("#'10.1.1-2 Solid waste treatment'!A1", "10.1.1.1-2 Solid waste")</f>
        <v>10.1.1.1-2 Solid waste</v>
      </c>
      <c r="D37" s="15" t="str">
        <v>Muriate of potash (MOP)</v>
      </c>
      <c r="E37" s="15">
        <f>INDEX(Table_MN_j_f,16,4)</f>
        <v>0</v>
      </c>
      <c r="F37" s="15" cm="1">
        <f t="array" ref="F37">Fertiliser_Equations_LeachingAndRunoff.VEERG_5_5_1_1__2_MassOfNitrogenLeachedFromInorganicFertiliser(E37, $I$14, $I$15)</f>
        <v>0</v>
      </c>
    </row>
    <row r="38" spans="1:11" ht="20.100000000000001" customHeight="1" x14ac:dyDescent="0.2">
      <c r="A38" s="5" t="str">
        <f>HYPERLINK("#'14.1.1-2 Purchased electricity'!A1", "14.1.1-2 Purchased electricity")</f>
        <v>14.1.1-2 Purchased electricity</v>
      </c>
      <c r="D38" s="15" t="str">
        <v>Double superphosphate</v>
      </c>
      <c r="E38" s="15">
        <f>INDEX(Table_MN_j_f,17,4)</f>
        <v>0</v>
      </c>
      <c r="F38" s="15" cm="1">
        <f t="array" ref="F38">Fertiliser_Equations_LeachingAndRunoff.VEERG_5_5_1_1__2_MassOfNitrogenLeachedFromInorganicFertiliser(E38, $I$14, $I$15)</f>
        <v>0</v>
      </c>
    </row>
    <row r="39" spans="1:11" ht="20.100000000000001" customHeight="1" x14ac:dyDescent="0.2">
      <c r="A39" s="5" t="str">
        <f>HYPERLINK("#'15 Scope 3'!A1", "15 Scope 3")</f>
        <v>15 Scope 3</v>
      </c>
      <c r="D39" s="15" t="str">
        <v>Single superphosphate (SSP)</v>
      </c>
      <c r="E39" s="15">
        <f>INDEX(Table_MN_j_f,18,4)</f>
        <v>0</v>
      </c>
      <c r="F39" s="15" cm="1">
        <f t="array" ref="F39">Fertiliser_Equations_LeachingAndRunoff.VEERG_5_5_1_1__2_MassOfNitrogenLeachedFromInorganicFertiliser(E39, $I$14, $I$15)</f>
        <v>0</v>
      </c>
    </row>
    <row r="40" spans="1:11" ht="20.100000000000001" customHeight="1" x14ac:dyDescent="0.2">
      <c r="A40" s="5" t="str">
        <f>HYPERLINK("#'Calcs - Manure sent off-site'!A1", "Calcs - Manure sent off-site")</f>
        <v>Calcs - Manure sent off-site</v>
      </c>
      <c r="D40" s="15" t="str">
        <v>Ammonia</v>
      </c>
      <c r="E40" s="15">
        <f>INDEX(Table_MN_j_f,19,4)</f>
        <v>4117.5</v>
      </c>
      <c r="F40" s="15" cm="1">
        <f t="array" ref="F40">Fertiliser_Equations_LeachingAndRunoff.VEERG_5_5_1_1__2_MassOfNitrogenLeachedFromInorganicFertiliser(E40, $I$14, $I$15)</f>
        <v>0</v>
      </c>
    </row>
    <row r="41" spans="1:11" ht="20.100000000000001" customHeight="1" x14ac:dyDescent="0.2">
      <c r="A41" s="5" t="str">
        <f>HYPERLINK("#'5.1.1.1-2 Inorganic fert N2O'!A1", "5.1.1.1-2 Inorganic fert N2O")</f>
        <v>5.1.1.1-2 Inorganic fert N2O</v>
      </c>
      <c r="D41" s="15" t="str">
        <v>Calcium nitrate</v>
      </c>
      <c r="E41" s="15">
        <f>INDEX(Table_MN_j_f,20,4)</f>
        <v>775</v>
      </c>
      <c r="F41" s="15" cm="1">
        <f t="array" ref="F41">Fertiliser_Equations_LeachingAndRunoff.VEERG_5_5_1_1__2_MassOfNitrogenLeachedFromInorganicFertiliser(E41, $I$14, $I$15)</f>
        <v>0</v>
      </c>
    </row>
    <row r="42" spans="1:11" ht="20.100000000000001" customHeight="1" x14ac:dyDescent="0.2">
      <c r="A42" s="5" t="str">
        <f>HYPERLINK("#'5.1.1.3-4 Inorganic fert CO2'!A1", "5.1.1.3-4 Inorganic fert CO2")</f>
        <v>5.1.1.3-4 Inorganic fert CO2</v>
      </c>
    </row>
    <row r="43" spans="1:11" ht="20.100000000000001" customHeight="1" x14ac:dyDescent="0.2">
      <c r="A43" s="5" t="str">
        <f>HYPERLINK("#'5.2.1.1-2 Organic Fert N2O'!A1", "5.2.1.1-2 Organic Fert N2O")</f>
        <v>5.2.1.1-2 Organic Fert N2O</v>
      </c>
      <c r="D43" s="88" t="s">
        <v>839</v>
      </c>
      <c r="E43" s="83">
        <f>SUM(F23:F41)</f>
        <v>0</v>
      </c>
      <c r="F43" s="89" t="str">
        <f>$E$11</f>
        <v>kg N</v>
      </c>
    </row>
    <row r="44" spans="1:11" ht="20.100000000000001" customHeight="1" x14ac:dyDescent="0.2">
      <c r="A44" s="5" t="str">
        <f>HYPERLINK("#'5.3.1.1-2 Lime CO2'!A1", "5.3.1.1-2 Lime CO2")</f>
        <v>5.3.1.1-2 Lime CO2</v>
      </c>
    </row>
    <row r="45" spans="1:11" ht="20.100000000000001" customHeight="1" x14ac:dyDescent="0.2">
      <c r="A45" s="5" t="str">
        <f>HYPERLINK("#'5.4.1.1-4 Atmos deposition'!A1", "5.4.1.1-4 Atmos deposition")</f>
        <v>5.4.1.1-4 Atmos deposition</v>
      </c>
      <c r="C45" s="121"/>
      <c r="D45" s="121"/>
      <c r="E45" s="121"/>
      <c r="F45" s="121"/>
      <c r="G45" s="121"/>
      <c r="H45" s="121"/>
      <c r="I45" s="121"/>
      <c r="J45" s="121"/>
      <c r="K45" s="121"/>
    </row>
    <row r="46" spans="1:11" ht="20.100000000000001" customHeight="1" x14ac:dyDescent="0.2">
      <c r="A46" s="117" t="str">
        <f>HYPERLINK("#'5.5.1.1-2 Leaching and runoff'!A1", "5.5.1.1-2 Leaching and runoff")</f>
        <v>5.5.1.1-2 Leaching and runoff</v>
      </c>
    </row>
    <row r="47" spans="1:11" ht="20.100000000000001" customHeight="1" x14ac:dyDescent="0.2">
      <c r="D47" s="2" t="str" cm="1">
        <f t="array" ref="D47">Fertiliser_Equations_LeachingAndRunoff.VEERG_5_5_1_1__3_MassOfNitrogenLeachedFromOrganicFertiliser_Title()</f>
        <v>Mass of nitrogen lost through leaching and runoff from organic fertiliser application in production system j</v>
      </c>
    </row>
    <row r="48" spans="1:11" ht="20.100000000000001" customHeight="1" x14ac:dyDescent="0.2">
      <c r="D48" s="17" t="str" cm="1">
        <f t="array" ref="D48">Fertiliser_Equations_LeachingAndRunoff.VEERG_5_5_1_1__3_MassOfNitrogenLeachedFromOrganicFertiliser_Source()</f>
        <v>VEERG 2026: 5.5, Equation (3)</v>
      </c>
    </row>
    <row r="49" spans="1:9" ht="20.100000000000001" customHeight="1" x14ac:dyDescent="0.2">
      <c r="A49" s="80" t="s">
        <v>1</v>
      </c>
      <c r="D49" s="112" t="s">
        <v>328</v>
      </c>
      <c r="E49" s="112" t="str" cm="1">
        <f t="array" aca="1" ref="E49" ca="1">Common_InputFunctions.Utility_DisplayFunctionName(F65)</f>
        <v>=Fertiliser_Equations_LeachingAndRunoff.VEERG_5_5_1_1__3_MassOfNitrogenLeachedFromOrganicFertiliser</v>
      </c>
    </row>
    <row r="50" spans="1:9" ht="20.100000000000001" customHeight="1" x14ac:dyDescent="0.2">
      <c r="A50" s="5" t="str">
        <f>HYPERLINK("#'Constants - Poultry'!A1", "Constants - Poultry")</f>
        <v>Constants - Poultry</v>
      </c>
    </row>
    <row r="51" spans="1:9" ht="20.100000000000001" customHeight="1" x14ac:dyDescent="0.2">
      <c r="A51" s="5" t="str">
        <f>HYPERLINK("#'Constants - Common livestock'!A1", "Constants - Common Livestock")</f>
        <v>Constants - Common Livestock</v>
      </c>
    </row>
    <row r="52" spans="1:9" ht="20.100000000000001" customHeight="1" x14ac:dyDescent="0.2">
      <c r="A52" s="5" t="str">
        <f>HYPERLINK("#'Constants - Electricity'!A1", "Constants - Electricity")</f>
        <v>Constants - Electricity</v>
      </c>
      <c r="D52" s="75" t="s">
        <v>329</v>
      </c>
      <c r="E52" s="1" t="str" cm="1">
        <f t="array" ref="E52">Fertiliser_Equations_LeachingAndRunoff.VEERG_5_5_1_1__3_MassOfNitrogenLeachedFromOrganicFertiliser_Variable()</f>
        <v>M_leachorganicj</v>
      </c>
    </row>
    <row r="53" spans="1:9" ht="20.100000000000001" customHeight="1" x14ac:dyDescent="0.2">
      <c r="A53" s="5" t="str">
        <f>HYPERLINK("#'Constants - Fertiliser'!A1", "Constants - Fertiliser")</f>
        <v>Constants - Fertiliser</v>
      </c>
      <c r="D53" s="75" t="s">
        <v>118</v>
      </c>
      <c r="E53" s="9" t="str" cm="1">
        <f t="array" ref="E53">Fertiliser_Equations_LeachingAndRunoff.VEERG_5_5_1_1__3_MassOfNitrogenLeachedFromOrganicFertiliser_Unit()</f>
        <v>kg N</v>
      </c>
    </row>
    <row r="54" spans="1:9" ht="20.100000000000001" customHeight="1" x14ac:dyDescent="0.2">
      <c r="A54" s="5" t="str">
        <f>HYPERLINK("#'Constants - Fuel'!A1", "Constants - Fuel")</f>
        <v>Constants - Fuel</v>
      </c>
    </row>
    <row r="55" spans="1:9" ht="20.100000000000001" customHeight="1" x14ac:dyDescent="0.2">
      <c r="A55" s="5" t="str">
        <f>HYPERLINK("#'Constants - Scope 3'!A1", "Constants - Scope 3")</f>
        <v>Constants - Scope 3</v>
      </c>
      <c r="D55" s="113" t="str" cm="1">
        <f t="array" ref="D55:E60">_xlfn.CHOOSECOLS(Fertiliser_Equations_LeachingAndRunoff.VEERG_5_5_1_1__3_MassOfNitrogenLeachedFromOrganicFertiliser_Arguments(), 1, 2)</f>
        <v>MNSoil_jf</v>
      </c>
      <c r="E55" s="122" t="str">
        <v>mass of nitrogen in organic fertiliser</v>
      </c>
      <c r="F55" s="123"/>
      <c r="G55" s="113" t="str" cm="1">
        <f t="array" ref="G55:H60">_xlfn.CHOOSECOLS(Fertiliser_Equations_LeachingAndRunoff.VEERG_5_5_1_1__3_MassOfNitrogenLeachedFromOrganicFertiliser_Arguments(), 3,4)</f>
        <v>kg N</v>
      </c>
      <c r="H55" s="115" t="str">
        <v>Calculated from 5.2.1.1 (2)</v>
      </c>
      <c r="I55" s="116" t="str" cm="1">
        <f t="array" aca="1" ref="I55" ca="1">HYPERLINK(Common_InputFunctions.Utility_SourceHyperlink(D62), D62)</f>
        <v>Table_M_leach_organic_j</v>
      </c>
    </row>
    <row r="56" spans="1:9" ht="20.100000000000001" customHeight="1" x14ac:dyDescent="0.2">
      <c r="A56" s="5" t="str">
        <f>HYPERLINK("#'Constants - Solid Waste'!A1", "Constants - Solid Waste")</f>
        <v>Constants - Solid Waste</v>
      </c>
      <c r="D56" s="113" t="str">
        <v>FracWETj</v>
      </c>
      <c r="E56" s="122" t="str">
        <v>fraction of N available for leaching and runoff</v>
      </c>
      <c r="F56" s="123"/>
      <c r="G56" s="113" t="str">
        <v>fraction</v>
      </c>
      <c r="H56" s="115" t="str">
        <v>Constant</v>
      </c>
      <c r="I56" s="113">
        <f>Common_InputFunctions.CommonCropping_GetFracWET(I58,I60,Table_SourceData_FracWET[Is in leaching zone],Table_SourceData_FracWET[FracWET],Table_SourceData_FracWETIrrigation[Irrigation type i],Table_SourceData_FracWETIrrigation[FracWET])</f>
        <v>0</v>
      </c>
    </row>
    <row r="57" spans="1:9" ht="20.100000000000001" customHeight="1" x14ac:dyDescent="0.2">
      <c r="A57" s="5" t="str">
        <f>HYPERLINK("#'Constants - Common'!A1", "Constants - Common")</f>
        <v>Constants - Common</v>
      </c>
      <c r="D57" s="113" t="str">
        <v>FracLEACH</v>
      </c>
      <c r="E57" s="122" t="str">
        <v>fraction of N that is lost through leaching and runoff</v>
      </c>
      <c r="F57" s="123"/>
      <c r="G57" s="113" t="str">
        <v>fraction</v>
      </c>
      <c r="H57" s="115" t="str">
        <v>Constant</v>
      </c>
      <c r="I57" s="113">
        <f>Fertiliser_FracLEACH_Data</f>
        <v>0.24</v>
      </c>
    </row>
    <row r="58" spans="1:9" ht="20.100000000000001" customHeight="1" x14ac:dyDescent="0.2">
      <c r="D58" s="113" t="str">
        <v>z</v>
      </c>
      <c r="E58" s="122" t="str">
        <v>location in leaching zone</v>
      </c>
      <c r="F58" s="123"/>
      <c r="G58" s="113" t="str">
        <v/>
      </c>
      <c r="H58" s="114" t="str">
        <v>Input</v>
      </c>
      <c r="I58" s="113">
        <f>X_Cell_Site_LeachingZone</f>
        <v>0</v>
      </c>
    </row>
    <row r="59" spans="1:9" ht="20.100000000000001" customHeight="1" x14ac:dyDescent="0.2">
      <c r="D59" s="113" t="str">
        <v>j</v>
      </c>
      <c r="E59" s="122" t="str">
        <v>production system</v>
      </c>
      <c r="F59" s="123"/>
      <c r="G59" s="113" t="str">
        <v/>
      </c>
      <c r="H59" s="114" t="str">
        <v>Input</v>
      </c>
      <c r="I59" s="113" t="str">
        <f>X_Cell_Fertiliser_ProductionSystem</f>
        <v>Crop</v>
      </c>
    </row>
    <row r="60" spans="1:9" ht="20.100000000000001" customHeight="1" x14ac:dyDescent="0.2">
      <c r="D60" s="113" t="str">
        <v>ir</v>
      </c>
      <c r="E60" s="122" t="str">
        <v>irrigation method</v>
      </c>
      <c r="F60" s="123"/>
      <c r="G60" s="113" t="str">
        <v/>
      </c>
      <c r="H60" s="114" t="str">
        <v>Input</v>
      </c>
      <c r="I60" s="113" t="str">
        <f>X_Cell_Fertiliser_IrrigationMethod</f>
        <v>Drip irrigation</v>
      </c>
    </row>
    <row r="62" spans="1:9" ht="20.100000000000001" customHeight="1" x14ac:dyDescent="0.2">
      <c r="D62" s="118" t="s">
        <v>840</v>
      </c>
    </row>
    <row r="63" spans="1:9" ht="20.100000000000001" customHeight="1" x14ac:dyDescent="0.2">
      <c r="D63" s="119" t="s">
        <v>841</v>
      </c>
    </row>
    <row r="64" spans="1:9" ht="20.100000000000001" customHeight="1" x14ac:dyDescent="0.2">
      <c r="D64" s="78" t="s">
        <v>802</v>
      </c>
      <c r="E64" s="235" t="s">
        <v>806</v>
      </c>
      <c r="F64" s="120" t="s">
        <v>842</v>
      </c>
    </row>
    <row r="65" spans="1:11" ht="20.100000000000001" customHeight="1" x14ac:dyDescent="0.2">
      <c r="D65" s="15" t="str">
        <f>INDEX(Table_MNSoil_j_f,2,1)</f>
        <v>Manure - Other</v>
      </c>
      <c r="E65" s="15">
        <f>INDEX(Table_MNSoil_j_f,2,6)</f>
        <v>300</v>
      </c>
      <c r="F65" s="15" cm="1">
        <f t="array" ref="F65">Fertiliser_Equations_LeachingAndRunoff.VEERG_5_5_1_1__3_MassOfNitrogenLeachedFromOrganicFertiliser(E65,$I$56, $I$57)</f>
        <v>0</v>
      </c>
    </row>
    <row r="66" spans="1:11" ht="20.100000000000001" customHeight="1" x14ac:dyDescent="0.2">
      <c r="D66" s="15" t="str">
        <f>INDEX(Table_MNSoil_j_f,3,1)</f>
        <v>Manure - Poultry</v>
      </c>
      <c r="E66" s="15">
        <f>INDEX(Table_MNSoil_j_f,3,6)</f>
        <v>250</v>
      </c>
      <c r="F66" s="15" cm="1">
        <f t="array" ref="F66">Fertiliser_Equations_LeachingAndRunoff.VEERG_5_5_1_1__3_MassOfNitrogenLeachedFromOrganicFertiliser(E66,$I$56, $I$57)</f>
        <v>0</v>
      </c>
    </row>
    <row r="67" spans="1:11" ht="20.100000000000001" customHeight="1" x14ac:dyDescent="0.2">
      <c r="D67" s="15" t="str">
        <f>INDEX(Table_MNSoil_j_f,4,1)</f>
        <v>Other organic fertiliser</v>
      </c>
      <c r="E67" s="15">
        <f>INDEX(Table_MNSoil_j_f,4,6)</f>
        <v>160</v>
      </c>
      <c r="F67" s="15" cm="1">
        <f t="array" ref="F67">Fertiliser_Equations_LeachingAndRunoff.VEERG_5_5_1_1__3_MassOfNitrogenLeachedFromOrganicFertiliser(E67,$I$56, $I$57)</f>
        <v>0</v>
      </c>
    </row>
    <row r="68" spans="1:11" ht="20.100000000000001" customHeight="1" x14ac:dyDescent="0.2">
      <c r="A68" s="79" t="str">
        <f>HYPERLINK("#A1", "▲ Back to top")</f>
        <v>▲ Back to top</v>
      </c>
      <c r="D68" s="15">
        <f>'5.2.1.1-2 Organic Fert N2O'!D23</f>
        <v>0</v>
      </c>
      <c r="E68" s="15">
        <f>'5.2.1.1-2 Organic Fert N2O'!I23</f>
        <v>0</v>
      </c>
      <c r="F68" s="15" cm="1">
        <f t="array" ref="F68">Fertiliser_Equations_LeachingAndRunoff.VEERG_5_5_1_1__3_MassOfNitrogenLeachedFromOrganicFertiliser(E68,$I$56, $I$57)</f>
        <v>0</v>
      </c>
    </row>
    <row r="69" spans="1:11" ht="20.100000000000001" customHeight="1" x14ac:dyDescent="0.2">
      <c r="D69" s="15">
        <f>'5.2.1.1-2 Organic Fert N2O'!D24</f>
        <v>0</v>
      </c>
      <c r="E69" s="15">
        <f>'5.2.1.1-2 Organic Fert N2O'!I24</f>
        <v>0</v>
      </c>
      <c r="F69" s="15" cm="1">
        <f t="array" ref="F69">Fertiliser_Equations_LeachingAndRunoff.VEERG_5_5_1_1__3_MassOfNitrogenLeachedFromOrganicFertiliser(E69,$I$56, $I$57)</f>
        <v>0</v>
      </c>
    </row>
    <row r="70" spans="1:11" ht="20.100000000000001" customHeight="1" x14ac:dyDescent="0.2">
      <c r="D70" s="15">
        <f>'5.2.1.1-2 Organic Fert N2O'!D25</f>
        <v>0</v>
      </c>
      <c r="E70" s="15">
        <f>'5.2.1.1-2 Organic Fert N2O'!I25</f>
        <v>0</v>
      </c>
      <c r="F70" s="15" cm="1">
        <f t="array" ref="F70">Fertiliser_Equations_LeachingAndRunoff.VEERG_5_5_1_1__3_MassOfNitrogenLeachedFromOrganicFertiliser(E70,$I$56, $I$57)</f>
        <v>0</v>
      </c>
    </row>
    <row r="71" spans="1:11" ht="20.100000000000001" customHeight="1" x14ac:dyDescent="0.2">
      <c r="D71" s="15">
        <f>'5.2.1.1-2 Organic Fert N2O'!D26</f>
        <v>0</v>
      </c>
      <c r="E71" s="15">
        <f>'5.2.1.1-2 Organic Fert N2O'!I26</f>
        <v>0</v>
      </c>
      <c r="F71" s="15" cm="1">
        <f t="array" ref="F71">Fertiliser_Equations_LeachingAndRunoff.VEERG_5_5_1_1__3_MassOfNitrogenLeachedFromOrganicFertiliser(E71,$I$56, $I$57)</f>
        <v>0</v>
      </c>
    </row>
    <row r="72" spans="1:11" ht="20.100000000000001" customHeight="1" x14ac:dyDescent="0.2">
      <c r="D72" s="15">
        <f>'5.2.1.1-2 Organic Fert N2O'!D27</f>
        <v>0</v>
      </c>
      <c r="E72" s="15">
        <f>'5.2.1.1-2 Organic Fert N2O'!I27</f>
        <v>0</v>
      </c>
      <c r="F72" s="15" cm="1">
        <f t="array" ref="F72">Fertiliser_Equations_LeachingAndRunoff.VEERG_5_5_1_1__3_MassOfNitrogenLeachedFromOrganicFertiliser(E72,$I$56, $I$57)</f>
        <v>0</v>
      </c>
    </row>
    <row r="73" spans="1:11" ht="20.100000000000001" customHeight="1" x14ac:dyDescent="0.2">
      <c r="D73" s="15">
        <f>'5.2.1.1-2 Organic Fert N2O'!D28</f>
        <v>0</v>
      </c>
      <c r="E73" s="15">
        <f>'5.2.1.1-2 Organic Fert N2O'!I28</f>
        <v>0</v>
      </c>
      <c r="F73" s="15" cm="1">
        <f t="array" ref="F73">Fertiliser_Equations_LeachingAndRunoff.VEERG_5_5_1_1__3_MassOfNitrogenLeachedFromOrganicFertiliser(E73,$I$56, $I$57)</f>
        <v>0</v>
      </c>
    </row>
    <row r="74" spans="1:11" ht="20.100000000000001" customHeight="1" x14ac:dyDescent="0.2">
      <c r="D74" s="15">
        <f>'5.2.1.1-2 Organic Fert N2O'!D29</f>
        <v>0</v>
      </c>
      <c r="E74" s="15">
        <f>'5.2.1.1-2 Organic Fert N2O'!I29</f>
        <v>0</v>
      </c>
      <c r="F74" s="15" cm="1">
        <f t="array" ref="F74">Fertiliser_Equations_LeachingAndRunoff.VEERG_5_5_1_1__3_MassOfNitrogenLeachedFromOrganicFertiliser(E74,$I$56, $I$57)</f>
        <v>0</v>
      </c>
    </row>
    <row r="75" spans="1:11" ht="20.100000000000001" customHeight="1" x14ac:dyDescent="0.2">
      <c r="D75" s="15">
        <f>'5.2.1.1-2 Organic Fert N2O'!D30</f>
        <v>0</v>
      </c>
      <c r="E75" s="15">
        <f>'5.2.1.1-2 Organic Fert N2O'!I30</f>
        <v>0</v>
      </c>
      <c r="F75" s="15" cm="1">
        <f t="array" ref="F75">Fertiliser_Equations_LeachingAndRunoff.VEERG_5_5_1_1__3_MassOfNitrogenLeachedFromOrganicFertiliser(E75,$I$56, $I$57)</f>
        <v>0</v>
      </c>
    </row>
    <row r="77" spans="1:11" ht="20.100000000000001" customHeight="1" x14ac:dyDescent="0.2">
      <c r="D77" s="88" t="s">
        <v>843</v>
      </c>
      <c r="E77" s="83">
        <f>SUM(F65:F75)</f>
        <v>0</v>
      </c>
      <c r="F77" s="89" t="str">
        <f>$E$53</f>
        <v>kg N</v>
      </c>
    </row>
    <row r="79" spans="1:11" ht="20.100000000000001" customHeight="1" x14ac:dyDescent="0.2">
      <c r="C79" s="121"/>
      <c r="D79" s="121"/>
      <c r="E79" s="121"/>
      <c r="F79" s="121"/>
      <c r="G79" s="121"/>
      <c r="H79" s="121"/>
      <c r="I79" s="121"/>
      <c r="J79" s="121"/>
      <c r="K79" s="121"/>
    </row>
    <row r="81" spans="4:10" ht="20.100000000000001" customHeight="1" x14ac:dyDescent="0.2">
      <c r="D81" s="2" t="str" cm="1">
        <f t="array" ref="D81">Fertiliser_Equations_LeachingAndRunoff.VEERG_5_5_1_1__1_FertiliserLeachingAndRunoffN2OEmissions_Title()</f>
        <v>Nitrous oxide emissions from nitrogen leaching and runoff from the application of all fertilisers across all production systems j</v>
      </c>
    </row>
    <row r="82" spans="4:10" ht="20.100000000000001" customHeight="1" x14ac:dyDescent="0.2">
      <c r="D82" s="17" t="str" cm="1">
        <f t="array" ref="D82">Fertiliser_Equations_LeachingAndRunoff.VEERG_5_5_1_1__1_FertiliserLeachingAndRunoffN2OEmissions_Source()</f>
        <v>VEERG 2026: 5.5, Equation (1)</v>
      </c>
    </row>
    <row r="83" spans="4:10" ht="20.100000000000001" customHeight="1" x14ac:dyDescent="0.2">
      <c r="D83" s="112" t="s">
        <v>328</v>
      </c>
      <c r="E83" s="112" t="str">
        <f ca="1">Common_InputFunctions.Utility_DisplayFunctionName(VEERG_5_5_1_1__1_FertiliserLeachingAndRunoffN2OEmissions_Result_Method1)</f>
        <v>=Fertiliser_Equations_LeachingAndRunoff.VEERG_5_5_1_1__1_FertiliserLeachingAndRunoffN2OEmissions</v>
      </c>
    </row>
    <row r="86" spans="4:10" ht="20.100000000000001" customHeight="1" x14ac:dyDescent="0.2">
      <c r="D86" s="75" t="s">
        <v>329</v>
      </c>
      <c r="E86" s="1" t="str" cm="1">
        <f t="array" ref="E86">Fertiliser_Equations_LeachingAndRunoff.VEERG_5_5_1_1__1_FertiliserLeachingAndRunoffN2OEmissions_Variable()</f>
        <v>E_fertleach</v>
      </c>
    </row>
    <row r="87" spans="4:10" ht="20.100000000000001" customHeight="1" x14ac:dyDescent="0.2">
      <c r="D87" s="75" t="s">
        <v>118</v>
      </c>
      <c r="E87" s="9" t="str" cm="1">
        <f t="array" ref="E87">Fertiliser_Equations_LeachingAndRunoff.VEERG_5_5_1_1__1_FertiliserLeachingAndRunoffN2OEmissions_Unit()</f>
        <v>t N2O</v>
      </c>
    </row>
    <row r="89" spans="4:10" ht="20.100000000000001" customHeight="1" x14ac:dyDescent="0.2">
      <c r="D89" s="113" t="str" cm="1">
        <f t="array" ref="D89:E92">_xlfn.CHOOSECOLS(Fertiliser_Equations_LeachingAndRunoff.VEERG_5_5_1_1__1_FertiliserLeachingAndRunoffN2OEmissions_Arguments(), 1, 2)</f>
        <v>M_leachinorganicj</v>
      </c>
      <c r="E89" s="122" t="str">
        <v>mass of nitrogen lost through leaching and runoff from inorganic fertiliser application in production system j</v>
      </c>
      <c r="F89" s="136"/>
      <c r="G89" s="123"/>
      <c r="H89" s="113" t="str" cm="1">
        <f t="array" ref="H89:I92">_xlfn.CHOOSECOLS(Fertiliser_Equations_LeachingAndRunoff.VEERG_5_5_1_1__1_FertiliserLeachingAndRunoffN2OEmissions_Arguments(), 3,4)</f>
        <v>kg N</v>
      </c>
      <c r="I89" s="115" t="str">
        <v>Calculated from 5.5.1.1 (2)</v>
      </c>
      <c r="J89" s="113">
        <f>$E$43</f>
        <v>0</v>
      </c>
    </row>
    <row r="90" spans="4:10" ht="20.100000000000001" customHeight="1" x14ac:dyDescent="0.2">
      <c r="D90" s="113" t="str">
        <v>M_leachorganicj</v>
      </c>
      <c r="E90" s="122" t="str">
        <v>mass of nitrogen lost through leaching and runoff from organic fertiliser application</v>
      </c>
      <c r="F90" s="136"/>
      <c r="G90" s="123"/>
      <c r="H90" s="113" t="str">
        <v>kg N</v>
      </c>
      <c r="I90" s="115" t="str">
        <v>Calculated from 5.5.1.1 (3)</v>
      </c>
      <c r="J90" s="113">
        <f>$E$77</f>
        <v>0</v>
      </c>
    </row>
    <row r="91" spans="4:10" ht="20.100000000000001" customHeight="1" x14ac:dyDescent="0.2">
      <c r="D91" s="113" t="str">
        <v>EF_leach</v>
      </c>
      <c r="E91" s="122" t="str">
        <v>emission factor for nitrogen leaching and runoff</v>
      </c>
      <c r="F91" s="136"/>
      <c r="G91" s="123"/>
      <c r="H91" s="113" t="str">
        <v>kg N2O-N/kg N</v>
      </c>
      <c r="I91" s="115" t="str">
        <v>Constant</v>
      </c>
      <c r="J91" s="113">
        <f>Fertiliser_EFLeach_Data</f>
        <v>1.0999999999999999E-2</v>
      </c>
    </row>
    <row r="92" spans="4:10" ht="20.100000000000001" customHeight="1" x14ac:dyDescent="0.2">
      <c r="D92" s="113" t="str">
        <v>C_N2O</v>
      </c>
      <c r="E92" s="122" t="str">
        <v>factor to convert elemental mass of nitrous oxide to molecular mass</v>
      </c>
      <c r="F92" s="136"/>
      <c r="G92" s="123"/>
      <c r="H92" s="113" t="str">
        <v/>
      </c>
      <c r="I92" s="115" t="str">
        <v>Constant</v>
      </c>
      <c r="J92" s="126">
        <f>Common_InputFunctions.Utility_LookupValueInTableNumber("N2O",Table_GasToMolecularConversionFactor[Gas],Table_GasToMolecularConversionFactor[Conversion factor combined])</f>
        <v>1.5714285714285714</v>
      </c>
    </row>
    <row r="94" spans="4:10" ht="20.100000000000001" customHeight="1" x14ac:dyDescent="0.2">
      <c r="D94" s="85" t="s">
        <v>844</v>
      </c>
      <c r="E94" s="86" cm="1">
        <f t="array" ref="E94">Fertiliser_Equations_LeachingAndRunoff.VEERG_5_5_1_1__1_FertiliserLeachingAndRunoffN2OEmissions(J89,J90,J91,J92)</f>
        <v>0</v>
      </c>
      <c r="F94" s="95" t="str">
        <f>$E$87</f>
        <v>t N2O</v>
      </c>
    </row>
    <row r="96" spans="4:10" ht="20.100000000000001" customHeight="1" x14ac:dyDescent="0.2">
      <c r="D96" s="126" t="str" cm="1">
        <f t="array" ref="D96:E97">Common_Equations.Common_ConvertN2OToCO2e_Arguments()</f>
        <v>EN2O</v>
      </c>
      <c r="E96" s="129" t="str">
        <v>Nitrous oxide emissions (t N2O)</v>
      </c>
      <c r="F96" s="130"/>
      <c r="G96" s="15">
        <f>VEERG_5_5_1_1__1_FertiliserLeachingAndRunoffN2OEmissions_Result_Method1</f>
        <v>0</v>
      </c>
    </row>
    <row r="97" spans="1:7" ht="20.100000000000001" customHeight="1" x14ac:dyDescent="0.2">
      <c r="D97" s="126" t="str">
        <v>GWPN2O</v>
      </c>
      <c r="E97" s="129" t="str">
        <v>Global warming potential for nitrous oxide (t CO2-e / t N2O)</v>
      </c>
      <c r="F97" s="130"/>
      <c r="G97" s="15">
        <f>Common_InputFunctions.Utility_LookupValueInTableNumber("N2O",Table_GWPData[Gas],Table_GWPData[CO2-e factor])</f>
        <v>265</v>
      </c>
    </row>
    <row r="98" spans="1:7" ht="20.100000000000001" customHeight="1" x14ac:dyDescent="0.2">
      <c r="A98" s="79" t="str">
        <f>HYPERLINK("#A1", "▲ Back to top")</f>
        <v>▲ Back to top</v>
      </c>
    </row>
    <row r="99" spans="1:7" ht="20.100000000000001" customHeight="1" x14ac:dyDescent="0.2">
      <c r="D99" s="83" t="s">
        <v>377</v>
      </c>
      <c r="E99" s="83" cm="1">
        <f t="array" ref="E99">Common_Equations.Common_ConvertN2OToCO2e(G96,G97)</f>
        <v>0</v>
      </c>
      <c r="F99" s="89" t="str" cm="1">
        <f t="array" ref="F99">Common_Equations.Common_ConvertN2OToCO2e_Unit()</f>
        <v>t CO2e</v>
      </c>
    </row>
  </sheetData>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wAHIAbwBqAGUAYwB0AE4AYQBtAGUAcwAiADoAWw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DAG8AbQBtAG8AbgBfAEkAbgBwAHUAdABGAHUAbgBjAHQAaQBvAG4AcwAuAFUAdABpAGwAaQB0AHkAXwBTAG8AdQByAGMAZQBIAHkAcABlAHIAbABpAG4AawBEAGkAZgBmAGUAcgBlAG4AdABTAGgAZQBlAHQAIgAsACIAQwBvAG0AbQBvAG4AXwBJAG4AcAB1AHQARgB1AG4AYwB0AGkAbwBuAHMALgBVAHQAaQBsAGkAdAB5AF8AUgBlAHMAdQBsAHQAcwBJAHQAZQBtAEYAcgBvAG0ARQBxAHUAYQB0AGkAbwBuAFQAaQB0AGwAZQBBAG4AZABTAG8AdQByAGMAZQAiACw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dQBzACIAfQAsACIAZgBpAGwAZQBzACIAOgBbAHsAIgBwAGEAdABoACIAOgAiAC8AcAByAG8AagBlAGMAdABzAC8AVwBvAHIAawBiAG8AbwBrACIALAAiAHQAZQB4AHQAIgA6ACIALwAvACAALQAtAC0AIABXAG8AcgBrAGIAbwBvAGsAIABtAG8AZAB1AGwAZQAgAC0ALQAtAFwAbgAvAC8AIABBACAAZgBpAGwAZQAgAG8AZgAgAG4AYQBtAGUAIABkAGUAZgBpAG4AaQB0AGkAbwBuAHMAIABvAGYAIAB0AGgAZQAgAGYAbwByAG0AOgBcAG4ALwAvACAAIAAgACAAbgBhAG0AZQAgAD0AIABkAGUAZgBpAG4AaQB0AGkAbwBuADsAXABuACIAfQAsAHsAIgBwAGEAdABoACIAOgAiAC8AcAByAG8AagBlAGMAdABzAC8AQwBvAG0AbQBvAG4AXwBFAHEAdQBhAHQAaQBvAG4AcwAiACwAIgB0AGUAeAB0ACIAOgAiAFwAbgAvACoAIABcAG4ALQAtAC0ALQAtAC0ALQAtAC0ALQAtAC0ALQAtAC0ALQAtAC0ALQAtAC0ALQAtAC0ALQAtAC0ALQAtAC0ALQAtAC0ALQAtAC0ALQAtAFwAbgBDAG8AbQBtAG8AbgBfAEMAbwBuAHYAZQByAHQATgAyAE8AVABvAEMATwAyAGUAXABuAEMAbwBuAHYAZQByAHQAIABuAGkAdAByAG8AdQBzACAAbwB4AGkAZABlACAAZQBtAGkAcwBzAGkAbwBuAHMAIAB0AG8AIABjAGEAcgBiAG8AbgAgAGQAaQBvAHgAaQBkAGUAIABlAHEAdQBpAHYAYQBsAGUAbgB0ACAAZQBtAGkAcwBzAGkAbwBuAHMAXABuAEUATgAyAE8AIABDAE8AMgBlAFwAbgB0ACAAQwBPADIAZQBcAG4ARQBOADIATwA6ACAAbgBpAHQAcgBvAHUAcwAgAG8AeABpAGQAZQAgAGUAbQBpAHMAcwBpAG8AbgBzACAAKAB0ACAATgAyAE8AKQBcAG4ARwBXAFAATgAyAE8AOgAgAGcAbABvAGIAYQBsACAAdwBhAHIAbQBpAG4AZwAgAHAAbwB0AGUAbgB0AGkAYQBsACAAZgBvAHIAIABuAGkAdAByAG8AdQBzACAAbwB4AGkAZABlACAAKAB0ACAAQwBPADIALQBlACAALwAgAHQAIABOADIATwApAFwAbgAtAC0ALQAtAC0ALQAtAC0ALQAtAC0ALQAtAC0ALQAtAC0ALQAtAC0ALQAtAC0ALQAtAC0ALQAtAC0ALQAtAC0ALQAtAC0ALQAtAC0AXABuACoALwBcAG4AXABuAFwAbgBDAG8AbQBtAG8AbgBfAEMAbwBuAHYAZQByAHQATgAyAE8AVABvAEMATwAyAGUAXABuACAAIAA9AEwAQQBNAEIARABBACgAXABuACAAIAAgACAARQBfAE4AMgBPACwAIABHAFcAUABfAE4AMgBPACwAXABuACAAIAAgACAARQBfAE4AMgBPACAAKgAgAEcAVwBQAF8ATgAyAE8AXABuACAAIAApAFwAbgA7AFwAbgBcAG4AQwBvAG0AbQBvAG4AXwBDAG8AbgB2AGUAcgB0AE4AMgBPAFQAbwBDAE8AMgBlAF8AVABpAHQAbABlAFwAbgAgACAAPQBMAEEATQBCAEQAQQAoAFwAIgBDAG8AbgB2AGUAcgB0ACAAbgBpAHQAcgBvAHUAcwAgAG8AeABpAGQAZQAgAGUAbQBpAHMAcwBpAG8AbgBzACAAdABvACAAYwBhAHIAYgBvAG4AIABkAGkAbwB4AGkAZABlACAAZQBxAHUAaQB2AGEAbABlAG4AdAAgAGUAbQBpAHMAcwBpAG8AbgBzAFwAIgApADsAXABuAFwAbgBDAG8AbQBtAG8AbgBfAEMAbwBuAHYAZQByAHQATgAyAE8AVABvAEMATwAyAGUAXwBWAGEAcgBpAGEAYgBsAGUAXABuACAAIAA9AEwAQQBNAEIARABBACgAXAAiAEUATgAyAE8AIABDAE8AMgBlAFwAIgApADsAXABuAFwAbgBDAG8AbQBtAG8AbgBfAEMAbwBuAHYAZQByAHQATgAyAE8AVABvAEMATwAyAGUAXwBVAG4AaQB0AFwAbgAgACAAPQBMAEEATQBCAEQAQQAoAFwAIgB0ACAAQwBPADIAZQBcACIAKQA7AFwAbgBcAG4AQwBvAG0AbQBvAG4AXwBDAG8AbgB2AGUAcgB0AE4AMgBPAFQAbwBDAE8AMgBlAF8ATgBJAFIAUgBlAGYAZQByAGUAbgBjAGUAXABuACAAIAA9AEwAQQBNAEIARABBACgAXAAiAFwAIgApADsAXABuAFwAbgBDAG8AbQBtAG8AbgBfAEMAbwBuAHYAZQByAHQATgAyAE8AVABvAEMATwAyAGUAXwBMAGEAdABlAHgARQBxAHUAYQB0AGkAbwBuAFwAbgAgACAAPQBMAEEATQBCAEQAQQAoAFwAIgBDAE8AMgBfAGUAIAA9ACAARQBfAHsATgAyAE8AfQAgAFwAXAB0AGkAbQBlAHMAIABHAFcAUABfAHsATgAyAE8AfQBcACIAKQA7AFwAbgBcAG4AQwBvAG0AbQBvAG4AXwBDAG8AbgB2AGUAcgB0AE4AMgBPAFQAbwBDAE8AMgBlAF8AQQByAGcAdQBtAGUAbgB0AHMAXABuACAAIAA9AEwAQQBNAEIARABBACgAXABuACAAIAAgACAATQBBAEsARQBBAFIAUgBBAFkAKAAyACwAIAAyACwAIABcAG4AIAAgACAAIAAgACAATABBAE0AQgBEAEEAKAByACwAYwAsACAAXABuACAAIAAgACAAIAAgACAAIABJAE4ARABFAFgAKAB7AFwAbgAgACAAIAAgACAAIAAgACAAIAAgAFwAIgBFAE4AMgBPAFwAIgAsAFwAIgBOAGkAdAByAG8AdQBzACAAbwB4AGkAZABlACAAZQBtAGkAcwBzAGkAbwBuAHMAIAAoAHQAIABOADIATwApAFwAIgA7AFwAbgAgACAAIAAgACAAIAAgACAAIAAgAFwAIgBHAFcAUABOADIATwBcACIALABcACIARwBsAG8AYgBhAGwAIAB3AGEAcgBtAGkAbgBnACAAcABvAHQAZQBuAHQAaQBhAGwAIABmAG8AcgAgAG4AaQB0AHIAbwB1AHMAIABvAHgAaQBkAGUAIAAoAHQAIABDAE8AMgAtAGUAIAAvACAAdAAgAE4AMgBPACkAXAAiAFwAbgAgACAAIAAgACAAIAAgACAAfQAsACAAcgAsACAAYwApAFwAbgAgACAAIAAgACAAIAApAFwAbgAgACAAIAAgACkAXABuACAAIAApADsAXABuAFwAbgAvACoAIABcAG4ALQAtAC0ALQAtAC0ALQAtAC0ALQAtAC0ALQAtAC0ALQAtAC0ALQAtAC0ALQAtAC0ALQAtAC0ALQAtAC0ALQAtAC0ALQAtAC0ALQAtAFwAbgBDAG8AbQBtAG8AbgBfAEMAbwBuAHYAZQByAHQAQwBIADQAVABvAEMATwAyAGUAXABuAEMAbwBuAHYAZQByAHQAIABtAGUAdABoAGEAbgBlACAAZQBtAGkAcwBzAGkAbwBuAHMAIAB0AG8AIABjAGEAcgBiAG8AbgAgAGQAaQBvAHgAaQBkAGUAIABlAHEAdQBpAHYAYQBsAGUAbgB0ACAAZQBtAGkAcwBzAGkAbwBuAHMAXABuAEUAQwBIADQAIABDAE8AMgBlAFwAbgB0ACAAQwBPADIAZQBcAG4ARQBDAEgANAA6ACAAbQBlAHQAaABhAG4AZQAgAGUAbQBpAHMAcwBpAG8AbgBzACAAKAB0ACAAQwBIADQAKQBcAG4ARwBXAFAAQwBIADQAOgAgAGcAbABvAGIAYQBsACAAdwBhAHIAbQBpAG4AZwAgAHAAbwB0AGUAbgB0AGkAYQBsACAAZgBvAHIAIABtAGUAdABoAGEAbgBlACAAKAB0ACAAQwBPADIALQBlACAALwAgAHQAIABDAEgANAApAFwAbgAtAC0ALQAtAC0ALQAtAC0ALQAtAC0ALQAtAC0ALQAtAC0ALQAtAC0ALQAtAC0ALQAtAC0ALQAtAC0ALQAtAC0ALQAtAC0ALQAtAC0AXABuACoALwBcAG4AXABuAFwAbgBDAG8AbQBtAG8AbgBfAEMAbwBuAHYAZQByAHQAQwBIADQAVABvAEMATwAyAGUAXABuACAAIAA9AEwAQQBNAEIARABBACgAXABuACAAIAAgACAARQBfAEMASAA0ACwAIABHAFcAUABfAEMASAA0ACwAXABuACAAIAAgACAARQBfAEMASAA0ACAAKgAgAEcAVwBQAF8AQwBIADQAXABuACAAIAApAFwAbgA7AFwAbgBcAG4AQwBvAG0AbQBvAG4AXwBDAG8AbgB2AGUAcgB0AEMASAA0AFQAbwBDAE8AMgBlAF8AVABpAHQAbABlAFwAbgAgACAAPQBMAEEATQBCAEQAQQAoAFwAIgBDAG8AbgB2AGUAcgB0ACAAbQBlAHQAaABhAG4AZQAgAGUAbQBpAHMAcwBpAG8AbgBzACAAdABvACAAYwBhAHIAYgBvAG4AIABkAGkAbwB4AGkAZABlACAAZQBxAHUAaQB2AGEAbABlAG4AdAAgAGUAbQBpAHMAcwBpAG8AbgBzAFwAIgApADsAXABuAFwAbgBDAG8AbQBtAG8AbgBfAEMAbwBuAHYAZQByAHQAQwBIADQAVABvAEMATwAyAGUAXwBWAGEAcgBpAGEAYgBsAGUAXABuACAAIAA9AEwAQQBNAEIARABBACgAXAAiAEUAQwBIADQAIABDAE8AMgBlAFwAIgApADsAXABuAFwAbgBDAG8AbQBtAG8AbgBfAEMAbwBuAHYAZQByAHQAQwBIADQAVABvAEMATwAyAGUAXwBVAG4AaQB0AFwAbgAgACAAPQBMAEEATQBCAEQAQQAoAFwAIgB0ACAAQwBPADIAZQBcACIAKQA7AFwAbgBcAG4AQwBvAG0AbQBvAG4AXwBDAG8AbgB2AGUAcgB0AEMASAA0AFQAbwBDAE8AMgBlAF8ATgBJAFIAUgBlAGYAZQByAGUAbgBjAGUAXABuACAAIAA9AEwAQQBNAEIARABBACgAXAAiAFwAIgApADsAXABuAFwAbgBDAG8AbQBtAG8AbgBfAEMAbwBuAHYAZQByAHQAQwBIADQAVABvAEMATwAyAGUAXwBMAGEAdABlAHgARQBxAHUAYQB0AGkAbwBuAFwAbgAgACAAPQBMAEEATQBCAEQAQQAoAFwAIgBDAE8AMgBfAGUAIAA9ACAARQBfAHsAQwBIADQAfQAgAFwAXAB0AGkAbQBlAHMAIABHAFcAUABfAHsAQwBIADQAfQBcACIAKQA7AFwAbgBcAG4AQwBvAG0AbQBvAG4AXwBDAG8AbgB2AGUAcgB0AEMASAA0AFQAbwBDAE8AMgBlAF8AQQByAGcAdQBtAGUAbgB0AHMAXABuACAAIAA9AEwAQQBNAEIARABBACgAXABuACAAIAAgACAATQBBAEsARQBBAFIAUgBBAFkAKAAyACwAIAAyACwAIABcAG4AIAAgACAAIAAgACAATABBAE0AQgBEAEEAKAByACwAYwAsACAAXABuACAAIAAgACAAIAAgACAAIABJAE4ARABFAFgAKAB7AFwAbgAgACAAIAAgACAAIAAgACAAIAAgAFwAIgBFAEMASAA0AFwAIgAsAFwAIgBNAGUAdABoAGEAbgBlACAAZQBtAGkAcwBzAGkAbwBuAHMAIAAoAHQAIABDAEgANAApAFwAIgA7AFwAbgAgACAAIAAgACAAIAAgACAAIAAgAFwAIgBHAFcAUABDAEgANABcACIALABcACIARwBsAG8AYgBhAGwAIAB3AGEAcgBtAGkAbgBnACAAcABvAHQAZQBuAHQAaQBhAGwAIABmAG8AcgAgAG0AZQB0AGgAYQBuAGUAIAAoAHQAIABDAE8AMgAtAGUAIAAvACAAdAAgAEMASAA0ACkAXAAiAFwAbgAgACAAIAAgACAAIAAgACAAfQAsACAAcgAsACAAYwApAFwAbgAgACAAIAAgACAAIAApAFwAbgAgACAAIAAgACkAXABuACAAIAApADs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EMAbwBtAG0AbwBuAF8AUwBvAHUAcgBjAGUARABhAHQAYQAiACwAIgB0AGUAeAB0ACIAOgAiAC8AK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UwBvAHUAcgBjAGUAIABkAGEAdABhACAAdABoAGEAdAAgAGkAcwAgAGMAbwBtAG0AbwBuACAAYQBjAHIAbwBzAHMAIABhAGwAbAAgAGUAbgB0AGUAcgBwAHIAaQBzAGUAIAB0AHkAcABlAHMAXABuAEUAeABjAGUAbAAgAG0AbwBkAHUAbABlACAAbgBhAG0AZQA6ACAAQwBvAG0AbQBvAG4AXwBTAG8AdQByAGMAZQBEAGEAdABh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AqAC8AXABuAFwAbgAvACoAXABuAD0APQA9AD0APQA9AD0APQA9AD0APQA9AD0APQA9AD0APQA9AD0APQA9AD0APQA9AD0APQA9AD0APQA9AD0APQA9AD0APQA9AD0APQBcAG4APQA9AD0APQA9AD0APQA9AD0APQA9AD0APQA9AD0APQA9AD0APQA9AD0APQA9AD0APQA9AD0APQA9AD0APQA9AD0APQA9AD0APQA9AFwAbgBTAG8AdQByAGMAZQA6ACAATgBhAHQAaQBvAG4AYQBsACAASQBuAHYAZQBuAHQAbwByAHkAIABSAGUAcABvAHIAdAAgADIAMAAyADMAIABWAG8AbAB1AG0AZQAgADEAXABuAE4ASQBSAF8AMgAwADIAMwBfAFYAbwBsADEAXABuAD0APQA9AD0APQA9AD0APQA9AD0APQA9AD0APQA9AD0APQA9AD0APQA9AD0APQA9AD0APQA9AD0APQA9AD0APQA9AD0APQA9AD0APQBcAG4APQA9AD0APQA9AD0APQA9AD0APQA9AD0APQA9AD0APQA9AD0APQA9AD0APQA9AD0APQA9AD0APQA9AD0APQA9AD0APQA9AD0APQA9AFwAbgAqAC8AXABuAFwAbgAvACoAIABcAG4ALQAtAC0ALQAtAC0ALQAtAC0ALQAtAC0ALQAtAC0ALQAtAC0ALQAtAC0ALQAtAC0ALQAtAC0ALQAtAC0ALQAtAC0ALQAtAC0ALQAtAFwAbgBDAG8AbQBtAG8AbgBfAFMAbwB1AHIAYwBlAEQAYQB0AGEAXwBEAGUAbgBzAGkAdAB5AE8AZgBNAGUAdABoAGEAbgBlAFwAbgBwACAAPQAgAGQAZQBuAHMAaQB0AHkAIABvAGYAIABtAGUAdABoAGEAbgBlACAAKAAwAC4ANgA3ADgANAAgAGsAZwAvAG0AMwApAFwAbgBUAGEAawBlAG4AIABmAHIAbwBtACAAdABoAGUAIABOAGEAdABpAG8AbgBhAGwAIABHAHIAZQBlAG4AaABvAHUAcwBlACAAYQBuAGQAIABFAG4AZQByAGcAeQAgAFIAZQBwAG8AcgB0AGkAbgBnACAAXABuACgATQBlAGEAcwB1AHIAZQBtAGUAbgB0ACkAIABEAGUAdABlAHIAbQBpAG4AYQB0AGkAbwBuACAAMgAwADAAOABcAG4ALQAtAC0ALQAtAC0ALQAtAC0ALQAtAC0ALQAtAC0ALQAtAC0ALQAtAC0ALQAtAC0ALQAtAC0ALQAtAC0ALQAtAC0ALQAtAC0ALQAtAFwAbgAqAC8AXABuAFwAbgBDAG8AbQBtAG8AbgBfAFMAbwB1AHIAYwBlAEQAYQB0AGEAXwBEAGUAbgBzAGkAdAB5AE8AZgBNAGUAdABoAGEAbgBlAF8AVABpAHQAbABlAFwAbgAgACAAPQBMAEEATQBCAEQAQQAoAFwAIgBwACAAPQAgAGQAZQBuAHMAaQB0AHkAIABvAGYAIABtAGUAdABoAGEAbgBlAFwAIgApADsAXABuAFwAbgBDAG8AbQBtAG8AbgBfAFMAbwB1AHIAYwBlAEQAYQB0AGEAXwBEAGUAbgBzAGkAdAB5AE8AZgBNAGUAdABoAGEAbgBlAF8AVQBuAGkAdABcAG4AIAAgAD0ATABBAE0AQgBEAEEAKABcACIAawBnAC8AbQAzAFwAIgApADsAXABuAFwAbgBDAG8AbQBtAG8AbgBfAFMAbwB1AHIAYwBlAEQAYQB0AGEAXwBEAGUAbgBzAGkAdAB5AE8AZgBNAGUAdABoAGEAbgBlAF8AUwBvAHUAcgBjAGUAXABuACAAIAA9AEwAQQBNAEIARABBACgAXAAiAE4AYQB0AGkAbwBuAGEAbAAgAEkAbgB2AGUAbgB0AG8AcgB5ACAAUgBlAHAAbwByAHQAIAAyADAAMgAzACAAVgBvAGwAdQBtAGUAIAAxADoAIABFAHEAdQBhAHQAaQBvAG4AcwAgADMALgBCAC4AMQBhAF8AMgAsACAAMwAuAEIALgAxAGMAXwAyACwAIAAzAC4AQgAuADMAXwAxACwAIAAzAC4AQgAuADQAZwBfADIAXAAiACkAOwBcAG4AXABuAEMAbwBtAG0AbwBuAF8AUwBvAHUAcgBjAGUARABhAHQAYQBfAEQAZQBuAHMAaQB0AHkATwBmAE0AZQB0AGgAYQBuAGUAXwBEAGEAdABhAFwAbgAgACAAPQBMAEEATQBCAEQAQQAoADAALgA2ADcAOAA0ACkAOwBcAG4AXABuAC8AKgAgAFwAbgAtAC0ALQAtAC0ALQAtAC0ALQAtAC0ALQAtAC0ALQAtAC0ALQAtAC0ALQAtAC0ALQAtAC0ALQAtAC0ALQAtAC0ALQAtAC0ALQAtAC0AXABuAEMAbwBtAG0AbwBuAF8AUwBvAHUAcgBjAGUARABhAHQAYQBfAEMAbwBuAHYAZQByAHQATgAyAG8ARQBsAGUAbQBlAG4AdABhAGwAVABvAE0AbwBsAGUAYwB1AGwAYQByAEMAZwBcAG4AQwBnACAAPQAgADQANAAvADIAOAAgAGYAYQBjAHQAbwByACAAdABvACAAYwBvAG4AdgBlAHIAdAAgAGUAbABlAG0AZQBuAHQAYQBsACAAbQBhAHMAcwAgAG8AZgAgAE4AMgBPACAAdABvACAAbQBvAGwAZQBjAHUAbABhAHIAIABtAGEAcwBzAFwAbgAtAC0ALQAtAC0ALQAtAC0ALQAtAC0ALQAtAC0ALQAtAC0ALQAtAC0ALQAtAC0ALQAtAC0ALQAtAC0ALQAtAC0ALQAtAC0ALQAtAC0AXABuACoALwBcAG4AXABuAEMAbwBtAG0AbwBuAF8AUwBvAHUAcgBjAGUARABhAHQAYQBfAEMAbwBuAHYAZQByAHQATgAyAG8ARQBsAGUAbQBlAG4AdABhAGwAVABvAE0AbwBsAGUAYwB1AGwAYQByAEMAZwBfAFQAaQB0AGwAZQBcAG4AIAAgAD0ATABBAE0AQgBEAEEAKABcACIARgBhAGMAdABvAHIAIAB0AG8AIABjAG8AbgB2AGUAcgB0ACAAZQBsAGUAbQBlAG4AdABhAGwAIABtAGEAcwBzACAAbwBmACAATgAyAE8AIAB0AG8AIABtAG8AbABlAGMAdQBsAGEAcgAgAG0AYQBzAHMAXAAiACkAOwBcAG4AXABuAEMAbwBtAG0AbwBuAF8AUwBvAHUAcgBjAGUARABhAHQAYQBfAEMAbwBuAHYAZQByAHQATgAyAG8ARQBsAGUAbQBlAG4AdABhAGwAVABvAE0AbwBsAGUAYwB1AGwAYQByAEMAZwBfAFYAYQByAGkAYQBiAGwAZQBcAG4AIAAgAD0ATABBAE0AQgBEAEEAKABcACIAQwBnAE4AMgBPAFwAIgApADsAXABuAFwAbgBDAG8AbQBtAG8AbgBfAFMAbwB1AHIAYwBlAEQAYQB0AGEAXwBDAG8AbgB2AGUAcgB0AE4AMgBvAEUAbABlAG0AZQBuAHQAYQBsAFQAbwBNAG8AbABlAGMAdQBsAGEAcgBDAGcAXwBVAG4AaQB0AFwAbgAgACAAPQBMAEEATQBCAEQAQQAoAFwAIgBmAGEAYwB0AG8AcgBcACIAKQA7AFwAbgBcAG4AQwBvAG0AbQBvAG4AXwBTAG8AdQByAGMAZQBEAGEAdABhAF8AQwBvAG4AdgBlAHIAdABOADIAbwBFAGwAZQBtAGUAbgB0AGEAbABUAG8ATQBvAGwAZQBjAHUAbABhAHIAQwBnAF8AUwBvAHUAcgBjAGUAXABuACAAIAA9AEwAQQBNAEIARABBACgAXAAiAE4AYQB0AGkAbwBuAGEAbAAgAEkAbgB2AGUAbgB0AG8AcgB5ACAAUgBlAHAAbwByAHQAIAAyADAAMgAzACAAVgBvAGwAdQBtAGUAIAAxAFwAIgApADsAXABuAFwAbgBDAG8AbQBtAG8AbgBfAFMAbwB1AHIAYwBlAEQAYQB0AGEAXwBDAG8AbgB2AGUAcgB0AE4AMgBvAEUAbABlAG0AZQBuAHQAYQBsAFQAbwBNAG8AbABlAGMAdQBsAGEAcgBDAGcAXwBEAGEAdABhAFwAbgAgACAAPQBMAEEATQBCAEQAQQAoADQANAAvADIAOAApADsAXABuAFwAbgAvACoAIABcAG4ALQAtAC0ALQAtAC0ALQAtAC0ALQAtAC0ALQAtAC0ALQAtAC0ALQAtAC0ALQAtAC0ALQAtAC0ALQAtAC0ALQAtAC0ALQAtAC0ALQAtAFwAbgBDAG8AbQBtAG8AbgBfAFMAbwB1AHIAYwBlAEQAYQB0AGEAXwBDAG8AbgB2AGUAcgB0AEcAYQBzAEUAbABlAG0AZQBuAHQAYQBsAFQAbwBNAG8AbABlAGMAdQBsAGEAcgBcAG4ARgBhAGMAdABvAHIAIAB0AG8AIABjAG8AbgB2AGUAcgB0ACAAZQBsAGUAbQBlAG4AdABhAGwAIABtAGEAcwBzACAAbwBmACAAZwBhAHMAIAB0AG8AIABtAG8AbABlAGMAdQBsAGEAcgAgAG0AYQBzAHMAXABuAC0ALQAtAC0ALQAtAC0ALQAtAC0ALQAtAC0ALQAtAC0ALQAtAC0ALQAtAC0ALQAtAC0ALQAtAC0ALQAtAC0ALQAtAC0ALQAtAC0ALQBcAG4AKgAvAFwAbgBcAG4AQwBvAG0AbQBvAG4AXwBTAG8AdQByAGMAZQBEAGEAdABhAF8AQwBvAG4AdgBlAHIAdABHAGEAcwBFAGwAZQBtAGUAbgB0AGEAbABUAG8ATQBvAGwAZQBjAHUAbABhAHIAXwBUAGkAdABsAGUAXABuACAAIAA9AEwAQQBNAEIARABBACgAXAAiAEYAYQBjAHQAbwByACAAdABvACAAYwBvAG4AdgBlAHIAdAAgAGUAbABlAG0AZQBuAHQAYQBsACAAbQBhAHMAcwAgAG8AZgAgAGcAYQBzACAAdABvACAAbQBvAGwAZQBjAHUAbABhAHIAIABtAGEAcwBzAFwAIgApADsAXABuAFwAbgBDAG8AbQBtAG8AbgBfAFMAbwB1AHIAYwBlAEQAYQB0AGEAXwBDAG8AbgB2AGUAcgB0AEcAYQBzAEUAbABlAG0AZQBuAHQAYQBsAFQAbwBNAG8AbABlAGMAdQBsAGEAcgBfAFYAYQByAGkAYQBiAGwAZQBcAG4AIAAgAD0ATABBAE0AQgBEAEEAKABcACIAQwBnAFwAIgApADsAXABuAFwAbgBDAG8AbQBtAG8AbgBfAFMAbwB1AHIAYwBlAEQAYQB0AGEAXwBDAG8AbgB2AGUAcgB0AEcAYQBzAEUAbABlAG0AZQBuAHQAYQBsAFQAbwBNAG8AbABlAGMAdQBsAGEAcgBfAFUAbgBpAHQAXABuACAAIAA9AEwAQQBNAEIARABBACgAXAAiAGYAYQBjAHQAbwByAFwAIgApADsAXABuAFwAbgBDAG8AbQBtAG8AbgBfAFMAbwB1AHIAYwBlAEQAYQB0AGEAXwBDAG8AbgB2AGUAcgB0AEcAYQBzAEUAbABlAG0AZQBuAHQAYQBsAFQAbwBNAG8AbABlAGMAdQBsAGEAcgBfAFMAbwB1AHIAYwBlAFwAbgAgACAAPQBMAEEATQBCAEQAQQAoAFwAIgBYAFgAWABYAFgAWABYAFwAIgApADsAXABuAFwAbgBDAG8AbQBtAG8AbgBfAFMAbwB1AHIAYwBlAEQAYQB0AGEAXwBDAG8AbgB2AGUAcgB0AEcAYQBzAEUAbABlAG0AZQBuAHQAYQBsAFQAbwBNAG8AbABlAGMAdQBsAGEAcgBfAEQAYQB0AGEAXABuACAAIAA9AEwAQQBNAEIARABBACgAXABuACAAIAAgACAATQBBAEsARQBBAFIAUgBBAFkAKAA4ACwAIAA0ACwAIABcAG4AIAAgACAAIAAgACAATABBAE0AQgBEAEEAKAByACwAYwAsACAAXABuACAAIAAgACAAIAAgACAAIABJAE4ARABFAFgAKAB7AFwAbgAgACAAIAAgACAAIAAgACAAIAAgAFwAIgBHAGEAcwBcACIALAAgAFwAIgBDAG8AbgB2AGUAcgBzAGkAbwBuACAAZgBhAGMAdABvAHIAXAAiACwAIABcACIAQwBvAG4AdgBlAHIAcwBpAG8AbgAgAGYAYQBjAHQAbwByACAAMQBcACIALAAgAFwAIgBDAG8AbgB2AGUAcgBzAGkAbwBuACAAZgBhAGMAdABvAHIAIAAyAFwAIgA7AFwAbgAgACAAIAAgACAAIAAgACAAIAAgAFwAIgBDAE8AMgBcACIALAAgAFwAIgA0ADQALwAxADIAXAAiACwAIAA0ADQALAAgADEAMgA7AFwAbgAgACAAIAAgACAAIAAgACAAIAAgAFwAIgBDAEgANABcACIALAAgAFwAIgAxADYALwAxADIAXAAiACwAIAAxADYALAAgADEAMgA7AFwAbgAgACAAIAAgACAAIAAgACAAIAAgAFwAIgBOADIATwBcACIALAAgAFwAIgA0ADQALwAyADgAXAAiACwAIAA0ADQALAAgADIAOAA7AFwAbgAgACAAIAAgACAAIAAgACAAIAAgAFwAIgBOAG8AeABcACIALAAgAFwAIgA0ADYALwAxADQAXAAiACwAIAA0ADYALAAgADEANAA7AFwAbgAgACAAIAAgACAAIAAgACAAIAAgAFwAIgBDAE8AXAAiACwAIABcACIAMgA4AC8AMQAyAFwAIgAsACAAMgA4ACwAIAAxADIAOwBcAG4AIAAgACAAIAAgACAAIAAgACAAIABcACIAQwBPADIAIABMAGkAbQBlAFwAIgAsACAAXAAiADQANAAvADEAMgBcACIALAAgADQANAAsACAAMQAyADsAXABuACAAIAAgACAAIAAgACAAIAAgACAAXAAiAE4ATQBWAE8AQwBcACIALAAgAFwAIgAxADQALwAxADIAXAAiACwAIAAxADQALAAgADEAM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wBXAFAATgAyAE8AXABuAEcAbABvAGIAYQBsACAAdwBhAHIAbQBpAG4AZwAgAHAAbwB0AGUAbgB0AGkAYQBsACAAZgBvAHIAIABnAHIAZQBlAG4AaABvAHUAcwBlACAAZwBhAHMAZQBzAFwAbgAtAC0ALQAtAC0ALQAtAC0ALQAtAC0ALQAtAC0ALQAtAC0ALQAtAC0ALQAtAC0ALQAtAC0ALQAtAC0ALQAtAC0ALQAtAC0ALQAtAC0AXABuACoALwBcAG4AXABuAEMAbwBtAG0AbwBuAF8AUwBvAHUAcgBjAGUARABhAHQAYQBfAEcAVwBQAF8AVABpAHQAbABlAFwAbgAgACAAPQBMAEEATQBCAEQAQQAoAFwAIgBHAGwAbwBiAGEAbAAgAHcAYQByAG0AaQBuAGcAIABwAG8AdABlAG4AdABpAGEAbAAgAGYAbwByACAAZwByAGUAZQBuAGgAbwB1AHMAZQAgAGcAYQBzAGUAcwBcACIAKQA7AFwAbgBcAG4AQwBvAG0AbQBvAG4AXwBTAG8AdQByAGMAZQBEAGEAdABhAF8ARwBXAFAAXwBWAGEAcgBpAGEAYgBsAGUAXABuACAAIAA9AEwAQQBNAEIARABBACgAXAAiAEcAVwBQAE4AMgBPAFwAIgApADsAXABuAFwAbgBDAG8AbQBtAG8AbgBfAFMAbwB1AHIAYwBlAEQAYQB0AGEAXwBHAFcAUABfAFUAbgBpAHQAXABuACAAIAA9AEwAQQBNAEIARABBACgAXAAiAGYAYQBjAHQAbwByAFwAIgApADsAXABuAFwAbgBDAG8AbQBtAG8AbgBfAFMAbwB1AHIAYwBlAEQAYQB0AGEAXwBHAFcAUABfAFMAbwB1AHIAYwBlAFwAbgAgACAAPQBMAEEATQBCAEQAQQAoAFwAIgBYAFgAWABYAFgAWABYAFwAIgApADsAXABuAFwAbgBDAG8AbQBtAG8AbgBfAFMAbwB1AHIAYwBlAEQAYQB0AGEAXwBHAFcAUABfAEQAYQB0AGEAXABuACAAIAA9AEwAQQBNAEIARABBACgAXABuACAAIAAgACAATQBBAEsARQBBAFIAUgBBAFkAKAA4ACwAIAAyACwAIABcAG4AIAAgACAAIAAgACAATABBAE0AQgBEAEEAKAByACwAYwAsACAAXABuACAAIAAgACAAIAAgACAAIABJAE4ARABFAFgAKAB7AFwAbgAgACAAIAAgACAAIAAgACAAIAAgAFwAIgBHAGEAcwBcACIALAAgAFwAIgBDAE8AMgAtAGUAIABmAGEAYwB0AG8AcgBcACIAOwBcAG4AIAAgACAAIAAgACAAIAAgACAAIABcACIAQwBPADIAXAAiACwAIAAxADsAXABuACAAIAAgACAAIAAgACAAIAAgACAAXAAiAEMASAA0AFwAIgAsACAAMgA4ADsAXABuACAAIAAgACAAIAAgACAAIAAgACAAXAAiAE4AMgBPAFwAIgAsACAAMgA2ADUAOwBcAG4AIAAgACAAIAAgACAAIAAgACAAIABcACIAQwBGADQAXAAiACwAIAA2ADYAMwAwADsAXABuACAAIAAgACAAIAAgACAAIAAgACAAXAAiAEMAMgBGADYAXAAiACwAIAAxADIAMgAwADAAOwBcAG4AIAAgACAAIAAgACAAIAAgACAAIABcACIAUwBGADYAXAAiACwAIAAyADIAOAAwADAAOwBcAG4AIAAgACAAIAAgACAAIAAgACAAIABcACIATgBGADMAXAAiACwAIAAxADcAMgAwADA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BAHUAcwB0AHIAYQBsAGkAYQBuAFMAdABhAHQAZQBzAFQAZQByAHIAaQB0AG8AcgBpAGUAcwBcAG4ALQAtAC0ALQAtAC0ALQAtAC0ALQAtAC0ALQAtAC0ALQAtAC0ALQAtAC0ALQAtAC0ALQAtAC0ALQAtAC0ALQAtAC0ALQAtAC0ALQAtAFwAbgAqAC8AXABuAFwAbgBDAG8AbQBtAG8AbgBfAFMAbwB1AHIAYwBlAEQAYQB0AGEAXwBBAHUAcwB0AHIAYQBsAGkAYQBuAFMAdABhAHQAZQBzAFQAZQByAHIAaQB0AG8AcgBpAGUAcwBfAFQAaQB0AGwAZQBcAG4AIAAgAD0ATABBAE0AQgBEAEEAKABcACIAQQB1AHMAdAByAGEAbABpAGEAbgAgAHMAdABhAHQAZQBzACAAYQBuAGQAIAB0AGUAcgByAGkAdABvAHIAaQBlAHMAXAAiACkAOwBcAG4AXABuAEMAbwBtAG0AbwBuAF8AUwBvAHUAcgBjAGUARABhAHQAYQBfAEEAdQBzAHQAcgBhAGwAaQBhAG4AUwB0AGEAdABlAHMAVABlAHIAcgBpAHQAbwByAGkAZQBzAF8AVgBhAHIAaQBhAGIAbABlAFwAbgAgACAAPQBMAEEATQBCAEQAQQAoAFwAIgBcACIAKQA7AFwAbgBcAG4AQwBvAG0AbQBvAG4AXwBTAG8AdQByAGMAZQBEAGEAdABhAF8AQQB1AHMAdAByAGEAbABpAGEAbgBTAHQAYQB0AGUAcwBUAGUAcgByAGkAdABvAHIAaQBlAHMAXwBVAG4AaQB0AFwAbgAgACAAPQBMAEEATQBCAEQAQQAoAFwAIgBcACIAKQA7AFwAbgBcAG4AQwBvAG0AbQBvAG4AXwBTAG8AdQByAGMAZQBEAGEAdABhAF8AQQB1AHMAdAByAGEAbABpAGEAbgBTAHQAYQB0AGUAcwBUAGUAcgByAGkAdABvAHIAaQBlAHMAXwBTAG8AdQByAGMAZQBcAG4AIAAgAD0ATABBAE0AQgBEAEEAKABcACIAXAAiACkAOwBcAG4AXABuAEMAbwBtAG0AbwBuAF8AUwBvAHUAcgBjAGUARABhAHQAYQBfAEEAdQBzAHQAcgBhAGwAaQBhAG4AUwB0AGEAdABlAHMAVABlAHIAcgBpAHQAbwByAGkAZQBzAF8ARABhAHQAYQBcAG4AIAAgACAAPQBMAEEATQBCAEQAQQAoAFwAbgAgACAAIAAgAE0AQQBLAEUAQQBSAFIAQQBZACgAOQAsACAAMwAsACAAXABuACAAIAAgACAAIAAgAEwAQQBNAEIARABBACgAcgAsAGMALAAgAFwAbgAgACAAIAAgACAAIAAgACAASQBOAEQARQBYACgAewBcAG4AIAAgACAAIAAgACAAIAAgACAAIABcACIAUwB0AGEAdABlAC8AVABlAHIAcgBpAHQAbwByAHkAXAAiACwAIABcACIAQwBvAG0AbQBvAG4AIABOAGEAbQBlAFwAIgAsACAAXAAiAEEAYgBiAHIAZQB2AGkAYQB0AGkAbwBuAFwAIgA7AFwAbgAgACAAIAAgACAAIAAgACAAIAAgAFwAIgBOAGUAdwAgAFMAbwB1AHQAaAAgAFcAYQBsAGUAcwBcACIALAAgAFwAIgBOAGUAdwAgAFMAbwB1AHQAaAAgAFcAYQBsAGUAcwBcACIALAAgAFwAIgBOAFMAVwBcACIAOwBcAG4AIAAgACAAIAAgACAAIAAgACAAIABcACIAQQB1AHMAdAByAGEAbABpAGEAbgAgAEMAYQBwAGkAdABhAGwAIABUAGUAcgByAGkAdABvAHIAeQBcACIALAAgAFwAIgBBAEMAVABcACIALAAgAFwAIgBBAEMAVABcACIAOwBcAG4AIAAgACAAIAAgACAAIAAgACAAIABcACIAVgBpAGMAdABvAHIAaQBhAFwAIgAsACAAXAAiAFYAaQBjAHQAbwByAGkAYQBcACIALAAgAFwAIgBWAEkAQwBcACIAOwBcAG4AIAAgACAAIAAgACAAIAAgACAAIABcACIAUQB1AGUAZQBuAHMAbABhAG4AZABcACIALAAgAFwAIgBRAHUAZQBlAG4AcwBsAGEAbgBkAFwAIgAsACAAXAAiAFEATABEAFwAIgA7AFwAbgAgACAAIAAgACAAIAAgACAAIAAgAFwAIgBTAG8AdQB0AGgAIABBAHUAcwB0AHIAYQBsAGkAYQBcACIALAAgAFwAIgBTAG8AdQB0AGgAIABBAHUAcwB0AHIAYQBsAGkAYQBcACIALAAgAFwAIgBTAEEAXAAiADsAXABuACAAIAAgACAAIAAgACAAIAAgACAAXAAiAFcAZQBzAHQAZQByAG4AIABBAHUAcwB0AHIAYQBsAGkAYQBcACIALAAgAFwAIgBXAGUAcwB0AGUAcgBuACAAQQB1AHMAdAByAGEAbABpAGEAXAAiACwAIABcACIAVwBBAFwAIgA7AFwAbgAgACAAIAAgACAAIAAgACAAIAAgAFwAIgBUAGEAcwBtAGEAbgBpAGEAXAAiACwAIABcACIAVABhAHMAbQBhAG4AaQBhAFwAIgAsACAAXAAiAFQAQQBTAFwAIgA7AFwAbgAgACAAIAAgACAAIAAgACAAIAAgAFwAIgBOAG8AcgB0AGgAZQByAG4AIABUAGUAcgByAGkAdABvAHIAeQBcACIALAAgAFwAIgBOAG8AcgB0AGgAZQByAG4AIABUAGUAcgByAGkAdABvAHIAeQBcACIALAAgAFwAIgBOAFQ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EEAUwBBADQAQQByAGUAYQBzAFwAbgAtAC0ALQAtAC0ALQAtAC0ALQAtAC0ALQAtAC0ALQAtAC0ALQAtAC0ALQAtAC0ALQAtAC0ALQAtAC0ALQAtAC0ALQAtAC0ALQAtAC0AXABuACoALwBcAG4AXABuAEMAbwBtAG0AbwBuAF8AUwBvAHUAcgBjAGUARABhAHQAYQBfAFcAQQBTAEEANABBAHIAZQBhAHMAXwBUAGkAdABsAGUAXABuACAAIAA9AEwAQQBNAEIARABBACgAXAAiAEEAQgBTACAAUwB0AGEAdABpAHMAdABjAGEAbAAgAEEAcgBlAGEAcwAgAEwAZQB2AGUAbAAgADQAIAAtACAAVwBlAHMAdABlAHIAbgAgAEEAdQBzAHQAcgBhAGwAaQBhAFwAIgApADsAXABuAFwAbgBDAG8AbQBtAG8AbgBfAFMAbwB1AHIAYwBlAEQAYQB0AGEAXwBXAEEAUwBBADQAQQByAGUAYQBzAF8AVgBhAHIAaQBhAGIAbABlAFwAbgAgACAAPQBMAEEATQBCAEQAQQAoAFwAIgBcACIAKQA7AFwAbgBcAG4AQwBvAG0AbQBvAG4AXwBTAG8AdQByAGMAZQBEAGEAdABhAF8AVwBBAFMAQQA0AEEAcgBlAGEAcwBfAFUAbgBpAHQAXABuACAAIAA9AEwAQQBNAEIARABBACgAXAAiAFwAIgApADsAXABuAFwAbgBDAG8AbQBtAG8AbgBfAFMAbwB1AHIAYwBlAEQAYQB0AGEAXwBXAEEAUwBBADQAQQByAGUAYQBzAF8AUwBvAHUAcgBjAGUAXABuACAAIAA9AEwAQQBNAEIARABBACgAXAAiAEEAdQBzAHQAcgBhAGwAaQBhAG4AIABCAHUAcgBlAGEAdQAgAG8AZgAgAFMAdABhAHQAaQBzAHQAaQBjAHMAIAAoAEEAQgBTACkAIAAtACAAUwB0AGEAdABpAHMAdABpAGMAYQBsACAAQQByAGUAYQBzACAATABlAHYAZQBsACAAMgAgAC0AIAAyADAAMgAxACAALQAgAFMAaABhAHAAZQBmAGkAbABlAFwAIgApADsAXABuAFwAbgBDAG8AbQBtAG8AbgBfAFMAbwB1AHIAYwBlAEQAYQB0AGEAXwBXAEEAUwBBADQAQQByAGUAYQBzAF8ARABhAHQAYQBcAG4AIAAgACAAPQBMAEEATQBCAEQAQQAoAFwAbgAgACAAIAAgAE0AQQBLAEUAQQBSAFIAQQBZACgAMQAxACwAIAAxACwAIABcAG4AIAAgACAAIAAgACAATABBAE0AQgBEAEEAKAByACwAYwAsACAAXABuACAAIAAgACAAIAAgACAAIABJAE4ARABFAFgAKAB7AFwAbgAgACAAIAAgACAAIAAgACAAIAAgAFwAIgBTAEEAIAA0ACAATgBhAG0AZQBcACIAOwBcAG4AIAAgACAAIAAgACAAIAAgACAAIABcACIAQgB1AG4AYgB1AHIAeQBcACIAOwBcAG4AIAAgACAAIAAgACAAIAAgACAAIABcACIATQBhAG4AZAB1AHIAYQBoAFwAIgA7AFwAbgAgACAAIAAgACAAIAAgACAAIAAgAFwAIgBQAGUAcgB0AGgAIAAtACAASQBuAG4AZQByAFwAIgA7AFwAbgAgACAAIAAgACAAIAAgACAAIAAgAFwAIgBQAGUAcgB0AGgAIAAtACAATgBvAHIAdABoACAARQBhAHMAdABcACIAOwBcAG4AIAAgACAAIAAgACAAIAAgACAAIABcACIAUABlAHIAdABoACAALQAgAE4AbwByAHQAaAAgAFcAZQBzAHQAXAAiADsAXABuACAAIAAgACAAIAAgACAAIAAgACAAXAAiAFAAZQByAHQAaAAgAC0AIABTAG8AdQB0AGgAIABFAGEAcwB0AFwAIgA7AFwAbgAgACAAIAAgACAAIAAgACAAIAAgAFwAIgBQAGUAcgB0AGgAIAAtACAAUwBvAHUAdABoACAAVwBlAHMAdABcACIAOwBcAG4AIAAgACAAIAAgACAAIAAgACAAIABcACIAVwBlAHMAdABlAHIAbgAgAEEAdQBzAHQAcgBhAGwAaQBhACAALQAgAFcAaABlAGEAdAAgAEIAZQBsAHQAXAAiADsAXABuACAAIAAgACAAIAAgACAAIAAgACAAXAAiAFcAZQBzAHQAZQByAG4AIABBAHUAcwB0AHIAYQBsAGkAYQAgAC0AIABPAHUAdABiAGEAYwBrACAAKABOAG8AcgB0AGgAKQBcACIAOwBcAG4AIAAgACAAIAAgACAAIAAgACAAIABcACIAVwBlAHMAdABlAHIAbgAgAEEAdQBzAHQAcgBhAGwAaQBhACAALQAgAE8AdQB0AGIAYQBjAGsAIAAoAFMAbwB1AHQAaAAp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lAHQAQQBuAGQARAByAHkAWgBvAG4AZQBzAFwAbgAtAC0ALQAtAC0ALQAtAC0ALQAtAC0ALQAtAC0ALQAtAC0ALQAtAC0ALQAtAC0ALQAtAC0ALQAtAC0ALQAtAC0ALQAtAC0ALQAtAC0AXABuACoALwBcAG4AXABuAEMAbwBtAG0AbwBuAF8AUwBvAHUAcgBjAGUARABhAHQAYQBfAFcAZQB0AEEAbgBkAEQAcgB5AFoAbwBuAGUAcwBfAFQAaQB0AGwAZQBcAG4AIAAgAD0ATABBAE0AQgBEAEEAKABcACIAVgBFAEUAUgBHACAAQQB1AHMAdAByAGEAbABpAGEAbgAgAHcAZQB0ACAAYQBuAGQAIABkAHIAeQAgAHoAbwBuAGUAcwBcACIAKQA7AFwAbgBcAG4AQwBvAG0AbQBvAG4AXwBTAG8AdQByAGMAZQBEAGEAdABhAF8AVwBlAHQAQQBuAGQARAByAHkAWgBvAG4AZQBzAF8AVgBhAHIAaQBhAGIAbABlAFwAbgAgACAAPQBMAEEATQBCAEQAQQAoAFwAIgBcACIAKQA7AFwAbgBcAG4AQwBvAG0AbQBvAG4AXwBTAG8AdQByAGMAZQBEAGEAdABhAF8AVwBlAHQAQQBuAGQARAByAHkAWgBvAG4AZQBzAF8AVQBuAGkAdABcAG4AIAAgAD0ATABBAE0AQgBEAEEAKABcACIAXAAiACkAOwBcAG4AXABuAEMAbwBtAG0AbwBuAF8AUwBvAHUAcgBjAGUARABhAHQAYQBfAFcAZQB0AEEAbgBkAEQAcgB5AFoAbwBuAGUAcwBfAFMAbwB1AHIAYwBlAFwAbgAgACAAPQBMAEEATQBCAEQAQQAoAFwAIgBWAEUARQBSAEcAIAAyADAAMgA2ADoAIABUAGEAYgBsAGUAIAAxAC4AMgA6ACAAVAByAGEAbgBzAGwAYQB0AGkAbgBnACAAYwBsAGkAbQBhAHQAZQAgAHoAbwBuAGUAcwAgAHQAbwAgAHcAZQB0ACAAYQBuAGQAIABkAHIAeQAgAHoAbwBuAGUAcwBcACIAKQA7AFwAbgBcAG4AQwBvAG0AbQBvAG4AXwBTAG8AdQByAGMAZQBEAGEAdABhAF8AVwBlAHQAQQBuAGQARAByAHkAWgBvAG4AZQBzAF8AVgBhAHIAaQBhAHQAaQBvAG4AXABuACAAIAAgAD0ATABBAE0AQgBEAEEAKABcAG4AIAAgACAAIABNAEEASwBFAEEAUgBSAEEAWQAoADM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C0AIABDAGgAYQBuAGcAZQBkACAAXAB1ADAAMAAyADcARgByAHkAXAB1ADAAMAAyADcAIAB0AG8AIABcAHUAMAAwADIANwBEAHIAeQBcAHUAMAAwADIANwAuAFwAIgBcAG4AIAAgACAAIAAgACAAIAAgAH0ALAAgAHIALAAgAGMAKQBcAG4AIAAgACAAIAAgACAAKQBcAG4AIAAgACAAIAApAFwAbgAgACAAKQA7AFwAbgBcAG4AQwBvAG0AbQBvAG4AXwBTAG8AdQByAGMAZQBEAGEAdABhAF8AVwBlAHQAQQBuAGQARAByAHkAWgBvAG4AZQBzAF8ARABhAHQAYQBcAG4AIAAgACAAPQBMAEEATQBCAEQAQQAoAFwAbgAgACAAIAAgAE0AQQBLAEUAQQBSAFIAQQBZACgAMQA1ACwAIAAyACwAIABcAG4AIAAgACAAIAAgACAATABBAE0AQgBEAEEAKAByACwAYwAsACAAXABuACAAIAAgACAAIAAgACAAIABJAE4ARABFAFgAKAB7AFwAbgAgACAAIAAgACAAIAAgACAAIAAgAFwAIgBDAGwAaQBtAGEAdABlACAAWgBvAG4AZQBcACIALAAgAFwAIgBXAGUAdAAgAG8AcgAgAEQAcgB5ACAAWgBvAG4AZQBcACIAOwBcAG4AIAAgACAAIAAgACAAIAAgACAAIABcACIAVAByAG8AcABpAGMAYQBsACAAbQBvAG4AdABhAG4AZQBcACIALAAgAFwAIgBXAGUAdAAgAGMAbABpAG0AYQB0AGUAIAB6AG8AbgBlAFwAIgA7AFwAbgAgACAAIAAgACAAIAAgACAAIAAgAFwAIgBUAHIAbwBwAGkAYwBhAGwAIAB3AGUAdABcACIALAAgAFwAIgBXAGUAdAAgAGMAbABpAG0AYQB0AGUAIAB6AG8AbgBlAFwAIgA7AFwAbgAgACAAIAAgACAAIAAgACAAIAAgAFwAIgBUAHIAbwBwAGkAYwBhAGwAIABtAG8AaQBzAHQAXAAiACwAIABcACIAVwBlAHQAIABjAGwAaQBtAGEAdABlACAAegBvAG4AZQBcACIAOwBcAG4AIAAgACAAIAAgACAAIAAgACAAIABcACIAVAByAG8AcABpAGMAYQBsACAAZAByAHkAXAAiACwAIABcACIARAByAHkAIABjAGwAaQBtAGEAdABlACAAegBvAG4AZQBcACIAOwBcAG4AIAAgACAAIAAgACAAIAAgACAAIABcACIAVwBhAHIAbQAgAHQAZQBtAHAAZQByAGEAdABlACAAbQBvAGkAcwB0AFwAIgAsACAAXAAiAFcAZQB0ACAAYwBsAGkAbQBhAHQAZQAgAHoAbwBuAGUAXAAiADsAXABuACAAIAAgACAAIAAgACAAIAAgACAAXAAiAFcAYQByAG0AIAB0AGUAbQBwAGUAcgBhAHQAZQAgAGQAcgB5AFwAIgAsACAAXAAiAEQAcgB5ACAAYwBsAGkAbQBhAHQAZQAgAHoAbwBuAGUAXAAiADsAXABuACAAIAAgACAAIAAgACAAIAAgACAAXAAiAEMAbwBvAGwAIAB0AGUAbQBwAGUAcgBhAHQAZQAgAG0AbwBpAHMAdABcACIALAAgAFwAIgBXAGUAdAAgAGMAbABpAG0AYQB0AGUAIAB6AG8AbgBlAFwAIgA7AFwAbgAgACAAIAAgACAAIAAgACAAIAAgAFwAIgBDAG8AbwBsACAAdABlAG0AcABlAHIAYQB0AGUAIABkAHIAeQBcACIALAAgAFwAIgBEAHIAeQAgAGMAbABpAG0AYQB0AGUAIAB6AG8AbgBlAFwAIgA7AFwAbgAgACAAIAAgACAAIAAgACAAIAAgAFwAIgBXAGEAcgBtACAAdABlAG0AcABlAHIAYQB0AGUAIABtAG8AaQBzAHQAIAAtACAAbABvAHcAIABmAHIAbwBzAHQAXAAiACwAIABcACIAVwBlAHQAIABjAGwAaQBtAGEAdABlACAAegBvAG4AZQBcACIAOwBcAG4AIAAgACAAIAAgACAAIAAgACAAIABcACIAVwBhAHIAbQAgAHQAZQBtAHAAZQByAGEAdABlACAAZAByAHkAIAAtACAAbABvAHcAIABmAHIAbwBzAHQAXAAiACwAIABcACIARAByAHkAIABjAGwAaQBtAGEAdABlACAAegBvAG4AZQBcACIAOwBcAG4AIAAgACAAIAAgACAAIAAgACAAIABcACIAVwBhAHIAbQAgAHQAZQBtAHAAZQByAGEAdABlACAAbQBvAGkAcwB0ACAALQAgAGgAaQBnAGgAIAB0AGUAbQBwAFwAIgAsACAAXAAiAFcAZQB0ACAAYwBsAGkAbQBhAHQAZQAgAHoAbwBuAGUAXAAiADsAXABuACAAIAAgACAAIAAgACAAIAAgACAAXAAiAFcAYQByAG0AIAB0AGUAbQBwAGUAcgBhAHQAZQAgAGQAcgB5ACAALQAgAGgAaQBnAGgAIAB0AGUAbQBwAFwAIgAsACAAXAAiAEQAcgB5ACAAYwBsAGkAbQBhAHQAZQAgAHoAbwBuAGUAXAAiADsAXABuACAAIAAgACAAIAAgACAAIAAgACAAXAAiAEMAbwBvAGwAIAB0AGUAbQBwAGUAcgBhAHQAZQAgAG0AbwBpAHMAdAAgAC0AIABsAG8AdwAgAGYAcgBvAHMAdABcACIALAAgAFwAIgBXAGUAdAAgAGMAbABpAG0AYQB0AGUAIAB6AG8AbgBlAFwAIgA7AFwAbgAgACAAIAAgACAAIAAgACAAIAAgAFwAIgBDAG8AbwBsACAAdABlAG0AcABlAHIAYQB0AGUAIABkAHIAeQAgAC0AIABsAG8AdwAgAGYAcgBvAHMAdABcACIALAAgAFwAIgBEAHIAeQAgAGMAbABpAG0AYQB0AGUAIAB6AG8AbgBl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QwBsAGkAbQBhAHQAZQBaAG8AbgBlAHMAXABuAC0ALQAtAC0ALQAtAC0ALQAtAC0ALQAtAC0ALQAtAC0ALQAtAC0ALQAtAC0ALQAtAC0ALQAtAC0ALQAtAC0ALQAtAC0ALQAtAC0ALQBcAG4AKgAvAFwAbgBcAG4AQwBvAG0AbQBvAG4AXwBTAG8AdQByAGMAZQBEAGEAdABhAF8AQwBsAGkAbQBhAHQAZQBaAG8AbgBlAHMAXwBUAGkAdABsAGUAXABuACAAIAA9AEwAQQBNAEIARABBACgAXAAiAFYARQBFAFIARwAgAEEAdQBzAHQAcgBhAGwAaQBhAG4AIABjAGwAaQBtAGEAdABlACAAegBvAG4AZQBzAFwAIgApADsAXABuAFwAbgBDAG8AbQBtAG8AbgBfAFMAbwB1AHIAYwBlAEQAYQB0AGEAXwBDAGwAaQBtAGEAdABlAFoAbwBuAGUAcwBfAFYAYQByAGkAYQBiAGwAZQBcAG4AIAAgAD0ATABBAE0AQgBEAEEAKABcACIAXAAiACkAOwBcAG4AXABuAEMAbwBtAG0AbwBuAF8AUwBvAHUAcgBjAGUARABhAHQAYQBfAEMAbABpAG0AYQB0AGUAWgBvAG4AZQBzAF8AVQBuAGkAdABcAG4AIAAgAD0ATABBAE0AQgBEAEEAKABcACIAXAAiACkAOwBcAG4AXABuAEMAbwBtAG0AbwBuAF8AUwBvAHUAcgBjAGUARABhAHQAYQBfAEMAbABpAG0AYQB0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QwBsAGkAbQBhAHQAZQBaAG8AbgBlAHMAXwBWAGEAcgBpAGEAdABpAG8AbgBcAG4AIA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aQBuACAATQBBAFQAIAB2AGEAbAB1AGUAIABmAG8AcgAgAHcAYQByAG0AIAB0AGUAbQBwAGUAcgBhAHQAZQAgAGQAcgB5ACAALQAgAGMAaABhAG4AZwBlAGQAIAAxADAAIAB0AG8AIAAxADEALgBcACIAOwBcAG4AIAAgACAAIAAgACAAIAAgACAAIABcACIAQQBkAGQAZQBkACAAbQBpAG4AIABhAG4AZAAgAG0AYQB4ACAAYwBvAGwAdQBtAG4AcwAgAGYAbwByACAATQBBAFQALAAgAE0AQQBQACwAIABmAHIAbwBzAHQAIABkAGEAeQBzACAAcABlAHIAIAB5AGUAYQByACwAIABlAGwAZQB2AGEAdABpAG8AbgAsACAATQBBAFAAOgBQAEUAVAAgAHQAbwAgAGMAYQBsAGMAdQBsAGEAdABlACAAegBvAG4AZQBzACAAZgByAG8AbQAgAHIAZQBhAGwAIABjAGwAaQBtAGEAdABlACAAZABhAHQAYQAuAFwAIgA7AFwAbgAgACAAIAAgACAAIAAgACAAIAAgAFwAIgBHAEEARgAgAGEAYwBjAGUAcAB0AHMAIAByAGEAaQBuAGYAYQBsAGwAIABhAHMAIABhACAAcAByAG8AeAB5ACAAZgBvAHIAIABwAHIAZQBjAGkAcABpAHQAYQB0AGkAbwBuAC4AXAAiAFwAbgAgACAAIAAgACAAIAAgACAAfQAsACAAcgAsACAAYwApAFwAbgAgACAAIAAgACAAIAApAFwAbgAgACAAIAAgACkAXABuACAAIAApADsAXABuAFwAbgBDAG8AbQBtAG8AbgBfAFMAbwB1AHIAYwBlAEQAYQB0AGEAXwBDAGwAaQBtAGEAdABlAFoAbwBuAGUAcwBfAEQAYQB0AGEAXABuACAAIAAgAD0ATABBAE0AQgBEAEEAKABcAG4AIAAgACAAIABNAEEASwBFAEEAUgBSAEEAWQAoADkALAAgADEANgAsACAAXABuACAAIAAgACAAIAAgAEwAQQBNAEIARABBACgAcgAsAGMALAAgAFwAbgAgACAAIAAgACAAIAAgACAASQBOAEQARQBYACgAewBcAG4AIAAgACAAIAAgACAAIAAgACAAIABcACIAQwBsAGkAbQBhAHQAZQAgAFoAbwBuAGUAXAAiACwAIABcACIATQBBAFQAXAAiACwAIABcACIATQBBAFAAXAAiACwAIABcACIARgByAG8AcwB0ACAAZABhAHkAcwAgAHAAZQByACAAeQBlAGEAcgBcACIALAAgAFwAIgBFAGwAZQB2AGEAdABpAG8AbgBcACIALAAgAFwAIgBNAEEAUAA6AFAARQBUAFwAIgAsACAAXAAiAE0AaQBuACAAdABlAG0AcABcACIALAAgAFwAIgBNAGEAeAAgAHQAZQBtAHAAXAAiACwAIABcACIATQBpAG4AIAByAGEAaQBuAGYAYQBsAGwAXAAiACwAIABcACIATQBhAHgAIAByAGEAaQBuAGYAYQBsAGwAXAAiACwAIABcACIATQBpAG4AIABmAHIAbwBzAHQAIABkAGEAeQBzAFwAIgAsACAAXAAiAE0AYQB4ACAAZgByAG8AcwB0ACAAZABhAHkAcwBcACIALAAgAFwAIgBNAGkAbgAgAGUAbABlAHYAYQB0AGkAbwBuAFwAIgAsACAAXAAiAE0AYQB4ACAAZQBsAGUAdgBhAHQAaQBvAG4AXAAiACwAIABcACIATQBpAG4AIABNAEEAUAA6AFAARQBUAFwAIgAsACAAXAAiAE0AaQBuACAATQBBAFAAOgBQAEUAVABcACIAOwBcAG4AIAAgACAAIAAgACAAIAAgACAAIABcACIAVAByAG8AcABpAGMAYQBsACAAbQBvAG4AdABhAG4AZQBcACIALAAgAFwAIgBcAHUAMAAwADMAZQAgADEAOAAgAEMAXAAiACwAIABcACIAQQBuAHkAXAAiACwAIABcACIAZCIgADcAXAAiACwAIABcACIAXAB1ADAAMAAzAGUAIAAxADAAMAAwACAAbQBcACIALAAgAFwAIgBBAG4AeQBcACIALAAgADEAOAAuADAAMAAxACwAIAA5ADkAOQA5ADkAOQAsACAALQA5ADkAOQA5ADkAOQAsACAAOQA5ADkAOQA5ADkALAAgAC0AOQA5ADkAOQA5ADkALAAgADcALAAgADEAMAAwADAALAAgADkAOQA5ADkAOQA5ACwAIAAtADkAOQA5ADkAOQA5ACwAIAA5ADkAOQA5ADkAOQA7AFwAbgAgACAAIAAgACAAIAAgACAAIAAgAFwAIgBUAHIAbwBwAGkAYwBhAGwAIAB3AGUAdABcACIALAAgAFwAIgBcAHUAMAAwADMAZQAgADEAOAAgAEMAXAAiACwAIABcACIAXAB1ADAAMAAzAGUAIAAyADAAMAAwACAAbQBtAFwAIgAsACAAXAAiAGQiIAA3AFwAIgAsACAAXAAiAGQiIAAxADAAMAAwACAAbQBcACIALAAgAFwAIgBBAG4AeQBcACIALAAgADEAOAAuADAAMAAxACwAIAA5ADkAOQA5ADkAOQAsACAAMgAwADAAMAAuADAAMAAxACwAIAA5ADkAOQA5ADkAOQAsACAALQA5ADkAOQA5ADkAOQAsACAANwAsACAALQA5ADkAOQA5ADkAOQAsACAAOQA5ADkALgA5ADkAOQAsACAAIAAtADkAOQA5ADkAOQA5ACwAIAA5ADkAOQA5ADkAOQA7AFwAbgAgACAAIAAgACAAIAAgACAAIAAgAFwAIgBUAHIAbwBwAGkAYwBhAGwAIABtAG8AaQBzAHQAXAAiACwAIABcACIAXAB1ADAAMAAzAGUAIAAxADgAIABDAFwAIgAsACAAXAAiAFwAdQAwADAAMwBlACAAMQAwADAAMAAgAG0AbQAgAC0AIABkIiAAMgAwADAAMAAgAG0AbQBcACIALAAgAFwAIgBkIiAANwBcACIALAAgAFwAIgBkIiAAMQAwADAAMAAgAG0AXAAiACwAIABcACIAQQBuAHkAXAAiACwAIAAxADgALgAwADAAMQAsACAAOQA5ADkAOQA5ADkALAAgADEAMAAwADAALgAwADAAMQAsACAAMgAwADAAMAAsACAALQA5ADkAOQA5ADkAOQAsACAANwAsACAALQA5ADkAOQA5ADkAOQAsACAAOQA5ADkALgA5ADkAOQAsACAAIAAtADkAOQA5ADkAOQA5ACwAIAA5ADkAOQA5ADkAOQA7AFwAbgAgACAAIAAgACAAIAAgACAAIAAgAFwAIgBUAHIAbwBwAGkAYwBhAGwAIABkAHIAeQBcACIALAAgAFwAIgBcAHUAMAAwADMAZQAgADEAOAAgAEMAXAAiACwAIABcACIAZCIgADEAMAAwADAAIABtAG0AXAAiACwAIABcACIAZCIgADcAXAAiACwAIABcACIAZCIgADEAMAAwADAAIABtAFwAIgAsACAAXAAiAEEAbgB5AFwAIgAsACAAMQA4AC4AMAAwADEALAAgADkAOQA5ADkAOQA5ACwAIAAtADkAOQA5ADkAOQA5ACwAIAAxADAAMAAwACwAIAAtADkAOQA5ADkAOQA5ACwAIAA3ACwAIAAtADkAOQA5ADkAOQA5ACwAIAA5ADkAOQAuADkAOQA5ACwAIAAgAC0AOQA5ADkAOQA5ADkALAAgADkAOQA5ADkAOQA5ADsAXABuACAAIAAgACAAIAAgACAAIAAgACAAXAAiAFcAYQByAG0AIAB0AGUAbQBwAGUAcgBhAHQAZQAgAG0AbwBpAHMAdABcACIALAAgAFwAIgBcAHUAMAAwADMAZQAgADEAMAAgAEMAXAAiACwAIABcACIAQQBuAHkAXAAiACwAIABcACIAQQBuAHkAXAAiACwAIABcACIAQQBuAHkAXAAiACwAIABcACIAXAB1ADAAMAAzAGUAIAAxAFwAIgAsACAAMQAwAC4AMAAwADEALAAgADkAOQA5ADkAOQA5ACwAIAAtADkAOQA5ADkAOQA5ACwAIAA5ADkAOQA5ADkAOQAsACAALQA5ADkAOQA5ADkAOQAsACAAOQA5ADkAOQA5ADkALAAgAC0AOQA5ADkAOQA5ADkALAAgADkAOQA5ADkAOQA5ACwAIAAxAC4AMAAwADEALAAgADkAOQA5ADkAOQA5ADsAXABuACAAIAAgACAAIAAgACAAIAAgACAAXAAiAFcAYQByAG0AIAB0AGUAbQBwAGUAcgBhAHQAZQAgAGQAcgB5AFwAIgAsACAAXAAiAFwAdQAwADAAMwBlACAAMQAwACAAQwBcACIALAAgAFwAIgBBAG4AeQBcACIALAAgAFwAIgBBAG4AeQBcACIALAAgAFwAIgBBAG4AeQBcACIALAAgAFwAIgBkIiAAMQBcACIALAAgADEAMAAuADAAMAAxACwAIAA5ADkAOQA5ADkAOQAsACAALQA5ADkAOQA5ADkAOQAsACAAOQA5ADkAOQA5ADkALAAgAC0AOQA5ADkAOQA5ADkALAAgADkAOQA5ADkAOQA5ACwAIAAtADkAOQA5ADkAOQA5ACwAIAA5ADkAOQA5ADkAOQAsACAAIAAtADkAOQA5ADkAOQA5ACwAIAAxADsAXABuACAAIAAgACAAIAAgACAAIAAgACAAXAAiAEMAbwBvAGwAIAB0AGUAbQBwAGUAcgBhAHQAZQAgAG0AbwBpAHMAdABcACIALAAgAFwAIgBcAHUAMAAwADMAZQAgADAAIABDACAALQAgAGQiIAAxADAAIABDAFwAIgAsACAAXAAiAEEAbgB5AFwAIgAsACAAXAAiAEEAbgB5AFwAIgAsACAAXAAiAEEAbgB5AFwAIgAsACAAXAAiAFwAdQAwADAAMwBlACAAMQBcACIALAAgAC0AOQA5ADkAOQA5ADkALAAgADEAMAAsACAALQA5ADkAOQA5ADkAOQAsACAAOQA5ADkAOQA5ADkALAAgAC0AOQA5ADkAOQA5ADkALAAgADkAOQA5ADkAOQA5ACwAIAAtADkAOQA5ADkAOQA5ACwAIAA5ADkAOQA5ADkAOQAsACAAMQAuADAAMAAxACwAIAA5ADkAOQA5ADkAOQA7AFwAbgAgACAAIAAgACAAIAAgACAAIAAgAFwAIgBDAG8AbwBsACAAdABlAG0AcABlAHIAYQB0AGUAIABkAHIAeQBcACIALAAgAFwAIgBcAHUAMAAwADMAZQAgADAAIABDACAALQAgAGQiIAAxADAAIABDAFwAIgAsACAAXAAiAEEAbgB5AFwAIgAsACAAXAAiAEEAbgB5AFwAIgAsACAAXAAiAEEAbgB5AFwAIgAsACAAXAAiAGQiIAAxAFwAIgAsACAALQA5ADkAOQA5ADkAOQAsACAAMQAwACwAIAAtADkAOQA5ADkAOQA5ACwAIAA5ADkAOQA5ADkAOQAsACAALQA5ADkAOQA5ADkAOQAsACAAOQA5ADkAOQA5ADkALAAgAC0AOQA5ADkAOQA5ADkALAAgADkAOQA5ADkAOQA5ACwAIAAgAC0AOQA5ADkAOQA5ADkALAAgADEAXABuACAAIAAgACAAIAAgACAAIAB9ACwAIAByACwAIABjACkAXABuACAAIAAgACAAIAAgACkAXABuACAAIAAgACAAKQBcAG4AIAAgACkAOwBcAG4AXABuAEMAbwBtAG0AbwBuAF8AUwBvAHUAcgBjAGUARABhAHQAYQBfAEMAbABpAG0AYQB0AGUAWgBvAG4AZQBzAF8AQQBwAHAAZQBuAGQAaQBjAGUAcwBcAG4AIAAgACAAPQBMAEEATQBCAEQAQQAoAFwAbgAgACAAIAAgAE0AQQBLAEUAQQBSAFIAQQBZACgANAAsACAAMQAsACAAXABuACAAIAAgACAAIAAgAEwAQQBNAEIARABBACgAcgAsAGMALAAgAFwAbgAgACAAIAAgACAAIAAgACAASQBOAEQARQBYACgAewBcAG4AIAAgACAAIAAgACAAIAAgACAAIABcACIATgBvAHQAZQA6AFwAIgA7AFwAbgAgACAAIAAgACAAIAAgACAAIAAgAFwAIgBNAEEAVAAgAD0AIABtAGUAYQBuACAAYQBuAG4AdQBhAGwAIAB0AGUAbQBwAGUAcgBhAHQAdQByAGUAXAAiADsAXABuACAAIAAgACAAIAAgACAAIAAgACAAXAAiAE0AQQBQACAAPQAgAG0AZQBhAG4AIABhAG4AbgB1AGEAbAAgAHAAcgBlAGMAaQBwAGkAdABhAHQAaQBvAG4AXAAiADsAXABuACAAIAAgACAAIAAgACAAIAAgACAAXAAiAFAARQBUACAAPQAgAHAAbwB0AGUAbgB0AGkAYQBsACAAZQB2AGEAcABvAHQAcgBhAG4AcwBwAGkAcgBhAHQAaQBvAG4AXAAi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VABlAG0AcABlAHIAYQB0AHUAcgBlAFoAbwBuAGUAcwBcAG4ALQAtAC0ALQAtAC0ALQAtAC0ALQAtAC0ALQAtAC0ALQAtAC0ALQAtAC0ALQAtAC0ALQAtAC0ALQAtAC0ALQAtAC0ALQAtAC0ALQAtAFwAbgAqAC8AXABuAFwAbgBDAG8AbQBtAG8AbgBfAFMAbwB1AHIAYwBlAEQAYQB0AGEAXwBUAGUAbQBwAGUAcgBhAHQAdQByAGUAWgBvAG4AZQBzAF8AVABpAHQAbABlAFwAbgAgACAAPQBMAEEATQBCAEQAQQAoAFwAIgBWAEUARQBSAEcAIABBAHUAcwB0AHIAYQBsAGkAYQBuACAAdABlAG0AcABlAHIAYQB0AHUAcgBlACAAegBvAG4AZQBzAFwAIgApADsAXABuAFwAbgBDAG8AbQBtAG8AbgBfAFMAbwB1AHIAYwBlAEQAYQB0AGEAXwBUAGUAbQBwAGUAcgBhAHQAdQByAGUAWgBvAG4AZQBzAF8AVgBhAHIAaQBhAGIAbABlAFwAbgAgACAAPQBMAEEATQBCAEQAQQAoAFwAIgBcACIAKQA7AFwAbgBcAG4AQwBvAG0AbQBvAG4AXwBTAG8AdQByAGMAZQBEAGEAdABhAF8AVABlAG0AcABlAHIAYQB0AHUAcgBlAFoAbwBuAGUAcwBfAFUAbgBpAHQAXABuACAAIAA9AEwAQQBNAEIARABBACgAXAAiAFwAIgApADsAXABuAFwAbgBDAG8AbQBtAG8AbgBfAFMAbwB1AHIAYwBlAEQAYQB0AGEAXwBUAGUAbQBwAGUAcgBhAHQAdQByAGU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VABlAG0AcABlAHIAYQB0AHUAcgBlAFoAbwBuAGUAcwBfAFYAYQByAGkAYQB0AGkAbwBuAFwAbgAgACAAPQBMAEEATQBCAEQAQQAoAFwAIgBWAEEAUgBJAEEAVABJAE8ATgAgAE8ARgAgAFMATwBVAFIAQwBFACAARABBAFQAQQA6ACAAQQBkAGQAZQBkACAAZQB4AHQAcgBhACAATQBBAFQAIABtAGkAbgAgAGEAbgBkACAATQBBAFQAIABtAGEAeAAgAGMAbwBsAHUAbQBuAHMAIAB0AG8AIABjAGEAbABjAHUAbABhAHQAZQAgAHoAbwBuAGUAIABmAHIAbwBtACAAcgBlAGEAbAAgAHQAZQBtAHAAZQByAGEAdAB1AHIAZQAgAGQAYQB0AGEALgBcACIAKQA7AFwAbgBcAG4AQwBvAG0AbQBvAG4AXwBTAG8AdQByAGMAZQBEAGEAdABhAF8AVABlAG0AcABlAHIAYQB0AHUAcgBlAFoAbwBuAGUAcwBfAEQAYQB0AGEAXABuACAAIAAgAD0ATABBAE0AQgBEAEEAKABcAG4AIAAgACAAIABNAEEASwBFAEEAUgBSAEEAWQAoADQALAAgADQALAAgAFwAbgAgACAAIAAgACAAIABMAEEATQBCAEQAQQAoAHIALABjACwAIABcAG4AIAAgACAAIAAgACAAIAAgAEkATgBEAEUAWAAoAHsAXABuACAAIAAgACAAIAAgACAAIAAgACAAXAAiAFQAZQBtAHAAZQByAGEAdAB1AHIAZQAgAFoAbwBuAGUAXAAiACwAIABcACIATQBlAGQAaQBhAG4AIABBAG4AbgB1AGEAbAAgAFQAZQBtAHAAZQByAGEAdAB1AHIAZQAgACgATQBBAFQAKQBcACIALAAgAFwAIgBNAGkAbgAgAE0AQQBUAFwAIgAsACAAXAAiAE0AYQB4ACAATQBBAFQAXAAiADsAXABuACAAIAAgACAAIAAgACAAIAAgACAAXAAiAFcAYQByAG0AXAAiACwAIABcACIAZSIgADIANgAgAEMAXAAiACwAIAAyADYALAAgADkAOQA5ADkAOQA5ADsAXABuACAAIAAgACAAIAAgACAAIAAgACAAXAAiAFQAZQBtAHAAZQByAGEAdABlAFwAIgAsACAAXAAiADEANQAgAC0AIAAyADUAIABDAFwAIgAsACAAMQA1ACwAIAAyADUALgA5ADkAOQA7AFwAbgAgACAAIAAgACAAIAAgACAAIAAgAFwAIgBDAG8AbwBsAFwAIgAsACAAXAAiAGQiIAAxADQAIABDAFwAIgAsACAALQA5ADkAOQA5ADkAOQAsACAAMQA0AC4AOQA5ADk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IAYQBpAG4AZgBhAGwAbABaAG8AbgBlAHMAXABuAC0ALQAtAC0ALQAtAC0ALQAtAC0ALQAtAC0ALQAtAC0ALQAtAC0ALQAtAC0ALQAtAC0ALQAtAC0ALQAtAC0ALQAtAC0ALQAtAC0ALQBcAG4AKgAvAFwAbgBcAG4AQwBvAG0AbQBvAG4AXwBTAG8AdQByAGMAZQBEAGEAdABhAF8AUgBhAGkAbgBmAGEAbABsAFoAbwBuAGUAcwBfAFQAaQB0AGwAZQBcAG4AIAAgAD0ATABBAE0AQgBEAEEAKABcACIAVgBFAEUAUgBHACAAQQB1AHMAdAByAGEAbABpAGEAbgAgAHIAYQBpAG4AZgBhAGwAbAAgAHoAbwBuAGUAcwBcACIAKQA7AFwAbgBcAG4AQwBvAG0AbQBvAG4AXwBTAG8AdQByAGMAZQBEAGEAdABhAF8AUgBhAGkAbgBmAGEAbABsAFoAbwBuAGUAcwBfAFYAYQByAGkAYQBiAGwAZQBcAG4AIAAgAD0ATABBAE0AQgBEAEEAKABcACIAXAAiACkAOwBcAG4AXABuAEMAbwBtAG0AbwBuAF8AUwBvAHUAcgBjAGUARABhAHQAYQBfAFIAYQBpAG4AZgBhAGwAbABaAG8AbgBlAHMAXwBVAG4AaQB0AFwAbgAgACAAPQBMAEEATQBCAEQAQQAoAFwAIgBcACIAKQA7AFwAbgBcAG4AQwBvAG0AbQBvAG4AXwBTAG8AdQByAGMAZQBEAGEAdABhAF8AUgBhAGkAbgBmAGEAbABs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IAYQBpAG4AZgBhAGwAbABaAG8AbgBlAHMAXwBWAGEAcgBpAGEAdABpAG8AbgBcAG4AIAAgAD0ATABBAE0AQgBEAEEAKABcACIAVgBBAFIASQBBAFQASQBPAE4AIABPAEYAIABTAE8AVQBSAEMARQAgAEQAQQBUAEEAOgAgAEEAZABkAGUAZAAgAGUAeAB0AHIAYQAgAFIAYQBpAG4AZgBhAGwAbAAgAG0AaQBuACAAYQBuAGQAIABSAGEAaQBuAGYAYQBsAGwAIABtAGEAeAAgAGMAbwBsAHUAbQBuAHMAIAB0AG8AIABjAGEAbABjAHUAbABhAHQAZQAgAHoAbwBuAGUAIABmAHIAbwBtACAAcgBlAGEAbAAgAHIAYQBpAG4AZgBhAGwAbAAgAGQAYQB0AGEALgBcACIAKQA7AFwAbgBcAG4AQwBvAG0AbQBvAG4AXwBTAG8AdQByAGMAZQBEAGEAdABhAF8AUgBhAGkAbgBmAGEAbABsAFoAbwBuAGUAcwBfAEQAYQB0AGEAXABuACAAIAAgAD0ATABBAE0AQgBEAEEAKABcAG4AIAAgACAAIABNAEEASwBFAEEAUgBSAEEAWQAoADMALAAgADQALAAgAFwAbgAgACAAIAAgACAAIABMAEEATQBCAEQAQQAoAHIALABjACwAIABcAG4AIAAgACAAIAAgACAAIAAgAEkATgBEAEUAWAAoAHsAXABuACAAIAAgACAAIAAgACAAIAAgACAAXAAiAFIAYQBpAG4AZgBhAGwAbAAgAFoAbwBuAGUAXAAiACwAIABcACIAQQBuAG4AdQBhAGwAIAByAGEAaQBuAGYAYQBsAGwAXAAiACwAIABcACIAUgBhAGkAbgBmAGEAbABsACAAbQBpAG4AXAAiACwAIABcACIAUgBhAGkAbgBmAGEAbABsACAAbQBhAHgAXAAiADsAXABuACAAIAAgACAAIAAgACAAIAAgACAAXAAiAEgAaQBnAGgAIAByAGEAaQBuAGYAYQBsAGwAXAAiACwAIABcACIAQQBuAG4AdQBhAGwAIAByAGEAaQBuAGYAYQBsAGwAIABcAHUAMAAwADMAZQAgADYAMAAwAG0AbQBcACIALAAgADYAMAAwAC4AMAAwADEALAAgADkAOQA5ADkAOQA5ADsAXABuACAAIAAgACAAIAAgACAAIAAgACAAXAAiAEwAbwB3ACAAcgBhAGkAbgBmAGEAbABsAFwAIgAsACAAXAAiAEEAbgBuAHUAYQBsACAAcgBhAGkAbgBmAGEAbABsACAAZCIgADYAMAAwAG0AbQBcACIALAAgAC0AOQA5ADkAOQA5ADkALAAgADYAMAAw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MAGUAYQBjAGgAaQBuAGcAWgBvAG4AZQBzAFwAbgAtAC0ALQAtAC0ALQAtAC0ALQAtAC0ALQAtAC0ALQAtAC0ALQAtAC0ALQAtAC0ALQAtAC0ALQAtAC0ALQAtAC0ALQAtAC0ALQAtAC0AXABuACoALwBcAG4AXABuAEMAbwBtAG0AbwBuAF8AUwBvAHUAcgBjAGUARABhAHQAYQBfAEwAZQBhAGMAaABpAG4AZwBaAG8AbgBlAHMAXwBUAGkAdABsAGUAXABuACAAIAA9AEwAQQBNAEIARABBACgAXAAiAFYARQBFAFIARwAgAEEAdQBzAHQAcgBhAGwAaQBhAG4AIABsAGUAYQBjAGgAaQBuAGcAIAB6AG8AbgBlAHMAXAAiACkAOwBcAG4AXABuAEMAbwBtAG0AbwBuAF8AUwBvAHUAcgBjAGUARABhAHQAYQBfAEwAZQBhAGMAaABpAG4AZwBaAG8AbgBlAHMAXwBWAGEAcgBpAGEAYgBsAGUAXABuACAAIAA9AEwAQQBNAEIARABBACgAXAAiAFwAIgApADsAXABuAFwAbgBDAG8AbQBtAG8AbgBfAFMAbwB1AHIAYwBlAEQAYQB0AGEAXwBMAGUAYQBjAGgAaQBuAGcAWgBvAG4AZQBzAF8AVQBuAGkAdABcAG4AIAAgAD0ATABBAE0AQgBEAEEAKABcACIAXAAiACkAOwBcAG4AXABuAEMAbwBtAG0AbwBuAF8AUwBvAHUAcgBjAGUARABhAHQAYQBfAEwAZQBhAGMAaABpAG4AZw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MAGUAYQBjAGgAaQBuAGcAWgBvAG4AZQBzAF8AVgBhAHIAaQBhAHQAaQBvAG4AXABuACAAIAA9AEwAQQBNAEIARABBACgAXAAiAFwAIgApADsAXABuAFwAbgBDAG8AbQBtAG8AbgBfAFMAbwB1AHIAYwBlAEQAYQB0AGEAXwBMAGUAYQBjAGgAaQBuAGcAWgBvAG4AZQBzAF8ARABhAHQAYQBcAG4AIAAgACAAPQBMAEEATQBCAEQAQQAoAFwAbgAgACAAIAAgAE0AQQBLAEUAQQBSAFIAQQBZACgAMwAsACAAMgAsACAAXABuACAAIAAgACAAIAAgAEwAQQBNAEIARABBACgAcgAsAGMALAAgAFwAbgAgACAAIAAgACAAIAAgACAASQBOAEQARQBYACgAewBcAG4AIAAgACAAIAAgACAAIAAgACAAIABcACIATABlAGEAYwBoAGkAbgBnACAAWgBvAG4AZQBcACIALAAgAFwAIgBMAGUAYQBjAGgAaQBuAGcAIABjAHIAaQB0AGUAcgBpAGEAXAAiADsAXABuACAAIAAgACAAIAAgACAAIAAgACAAXAAiAEwAZQBhAGMAaABpAG4AZwAgAG8AYwBjAHUAcgBzAFwAIgAsACAAXAAiAKMDKAA12F/cNdhO3DXYVtw12FvcKQBcAHUAMAAwADMAZQCjAygANdg43DXYR9wwACkAKwA12GDcNdhc3DXYVtw12FncIAA12GTcNdhO3DXYYdw12FLcNdhf3CAADiE12FzcNdhZ3DXYUdw12FbcNdhb3DXYVNwgADXYUNw12E7cNdhd3DXYTtw12FDcNdhW3DXYYdw12GbcXAAiADsAXABuACAAIAAgACAAIAAgACAAIAAgACAAXAAiAEwAZQBhAGMAaABpAG4AZwAgAGQAbwBlAHMAIABuAG8AdAAgAG8AYwBjAHUAcgBcACIALAAgAFwAIgCjAygANdhf3DXYTtw12FbcNdhb3CkAZCKjAygANdg43DXYR9wwACkAKwA12GDcNdhc3DXYVtw12FncIAA12GTcNdhO3DXYYdw12FLcNdhf3CAADiE12FzcNdhZ3DXYUdw12FbcNdhb3DXYVNwgADXYUNw12E7cNdhd3DXYTtw12FDcNdhW3DXYYdw12Gbc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FcARQBU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FcARQBUAF8AVQBuAGkAdABcAG4AIAAgAD0ATABBAE0AQgBEAEEAKABcACIAKABEAGkAbQBlAG4AcwBpAG8AbgBsAGUAcwBzAFwAIgApADsAXABuAFwAbgBDAG8AbQBtAG8AbgBfAFMAbwB1AHIAYwBlAEQAYQB0AGEAXwBGAHIAYQBjAFcARQBUAF8AUwBvAHUAcgBjAGUAXABuACAAIAA9AEwAQQBNAEIARABBACgAXAAiAFYARQBFAFIARwAgADIAMAAyADYAOgA1AC4ANQAuADIALgAzACAAQwBvAG4AcwB0AGEAbgB0ACAAUABhAHIAYQBtAGUAdABlAHIAcwBcACIAKQA7AFwAbgBcAG4AQwBvAG0AbQBvAG4AXwBTAG8AdQByAGMAZQBEAGEAdABhAF8ARgByAGEAYwBXAEUAVABfAE4ASQBSAFIAZQBmAGUAcgBlAG4AYwBlAFwAbgAgACAAPQBMAEEATQBCAEQAQQAoAFwAIgBcACIAKQA7AFwAbgBcAG4AQwBvAG0AbQBvAG4AXwBTAG8AdQByAGMAZQBEAGEAdABhAF8ARgByAGEAYwBXAEUAVABfAEQAYQB0AGEAXABuACAAIAA9AEwAQQBNAEIARABBACgAXABuACAAIAAgACAATQBBAEsARQBBAFIAUgBBAFkAKAAzACwAIAAyACwAIABcAG4AIAAgACAAIAAgACAATABBAE0AQgBEAEEAKAByACwAYwAsACAAXABuACAAIAAgACAAIAAgACAAIABJAE4ARABFAFgAKAB7AFwAbgAgACAAIAAgACAAIAAgACAAIAAgAFwAIgBJAHMAIABpAG4AIABsAGUAYQBjAGgAaQBuAGcAIAB6AG8AbgBlAFwAIgAsAFwAIgBGAHIAYQBjAFcARQBUAFwAIgA7AFwAbgAgACAAIAAgACAAIAAgACAAIAAgAFwAIgBZAGUAcwAgAC0AIABpAG4AIABsAGUAYQBjAGgAaQBuAGcAIAB6AG8AbgBlAFwAIgAsACAAMQA7AFwAbgAgACAAIAAgACAAIAAgACAAIAAgAFwAIgBOAG8AIAAtACAAbgBvAHQAIABpAG4AIABsAGUAYQBjAGgAaQBuAGcAIAB6AG8AbgBlAFwAIgAsACAAMABcAG4AIAAgACAAIAAgACAAIAAgAH0ALAAgAHIALAAgAGMAKQBcAG4AIAAgACAAIAAgACAAKQBcAG4AIAAgACAAIAApAFwAbgAgACAAKQA7AFwAbgBcAG4AIAAgAEMAbwBtAG0AbwBuAF8AUwBvAHUAcgBjAGUARABhAHQAYQBfAEYAcgBhAGMAVwBFAFQAXwBWAGEAcgBpAGEAdABpAG8AbgBcAG4AIAAgAD0ATABBAE0AQgBEAEEAKAAoAFwAIgBcACIAKQApADsAXABuAFwAbgBcAG4AXABuAC8AKgAgAFwAbgAtAC0ALQAtAC0ALQAtAC0ALQAtAC0ALQAtAC0ALQAtAC0ALQAtAC0ALQAtAC0ALQAtAC0ALQAtAC0ALQAtAC0ALQAtAC0ALQAtAC0AXABuAEMAbwBtAG0AbwBuAF8AUwBvAHUAcgBjAGUARABhAHQAYQBfAEQAYQB0AGEAUwBjAG8AcgBlAHMAXwBTAGMAbwBwAGUAMwBcAG4ALQAtAC0ALQAtAC0ALQAtAC0ALQAtAC0ALQAtAC0ALQAtAC0ALQAtAC0ALQAtAC0ALQAtAC0ALQAtAC0ALQAtAC0ALQAtAC0ALQAtAFwAbgAqAC8AXABuAFwAbgBDAG8AbQBtAG8AbgBfAFMAbwB1AHIAYwBlAEQAYQB0AGEAXwBEAGEAdABhAFMAYwBvAHIAZQBzAF8AUwBjAG8AcABlADMAXwBUAGkAdABsAGUAXABuACAAIAA9AEwAQQBNAEIARABBACgAXAAiAEEAdQBzAHQAcgBhAGwAaQBhAG4AIABkAGEAdABhACAAcwBjAG8AcgBlAHMAIABmAG8AcgAgAHMAYwBvAHAAZQAgADMAXAAiACkAOwBcAG4AXABuAEMAbwBtAG0AbwBuAF8AUwBvAHUAcgBjAGUARABhAHQAYQBfAEQAYQB0AGEAUwBjAG8AcgBlAHMAXwBTAGMAbwBwAGUAMwBfAFYAYQByAGkAYQBiAGwAZQBcAG4AIAAgAD0ATABBAE0AQgBEAEEAKABcACIAXAAiACkAOwBcAG4AXABuAEMAbwBtAG0AbwBuAF8AUwBvAHUAcgBjAGUARABhAHQAYQBfAEQAYQB0AGEAUwBjAG8AcgBlAHMAXwBTAGMAbwBwAGUAMwBfAFUAbgBpAHQAXABuACAAIAA9AEwAQQBNAEIARABBACgAXAAiAFwAIgApADsAXABuAFwAbgBDAG8AbQBtAG8AbgBfAFMAbwB1AHIAYwBlAEQAYQB0AGEAXwBEAGEAdABhAFMAYwBvAHIAZQBzAF8AUwBjAG8AcABlADMAXwBTAG8AdQByAGMAZQBcAG4AIAAgAD0ATABBAE0AQgBEAEEAKABcACIAVgBFAEUAUgBHACAAMgAwADIANgA6ACAAWABYAFgAWABYAFgAWABYAFwAIgApADsAXABuAFwAbgBDAG8AbQBtAG8AbgBfAFMAbwB1AHIAYwBlAEQAYQB0AGEAXwBEAGEAdABhAFMAYwBvAHIAZQBzAF8AUwBjAG8AcABlADMAXwBWAGEAcgBpAGEAdABpAG8AbgBcAG4AIAAgAD0ATABBAE0AQgBEAEEAKABcACIAXAAiACkAOwBcAG4AXABuAEMAbwBtAG0AbwBuAF8AUwBvAHUAcgBjAGUARABhAHQAYQBfAEQAYQB0AGEAUwBjAG8AcgBlAHMAXwBTAGMAbwBwAGUAMwBfAEQAYQB0AGEAXABuACAAIAAgAD0ATABBAE0AQgBEAEEAKABcAG4AIAAgACAAIABNAEEASwBFAEEAUgBSAEEAWQAoADYALAAgADIALAAgAFwAbgAgACAAIAAgACAAIABMAEEATQBCAEQAQQAoAHIALABjACwAIABcAG4AIAAgACAAIAAgACAAIAAgAEkATgBEAEUAWAAoAHsAXABuACAAIAAgACAAIAAgACAAIAAgACAAXAAiAEQAYQB0AGEAIABzAG8AdQByAGMAZQBcACIALAAgAFwAIgBEAGEAdABhACAAcwBjAG8AcgBlAFwAIgA7AFwAbgAgACAAIAAgACAAIAAgACAAIAAgAFwAIgBJAG4AdABlAHIAbgBhAHQAaQBvAG4AYQBsACAAcwBjAG8AcABlACAAMwAgAGQAYQB0AGEAYgBhAHMAZQBcACIALAAgADEAOwBcAG4AIAAgACAAIAAgACAAIAAgACAAIABcACIAQQB1AHMAdAByAGEAbABpAGEAbgAgAHMAYwBvAHAAZQAgADMAIABkAGEAdABhAGIAYQBzAGUAXAAiACwAIAAyADsAXABuACAAIAAgACAAIAAgACAAIAAgACAAXAAiAFMAdABhAHQAZQAgAG8AcgAgAHIAZQBnAGkAbwBuAGEAbAAgAHMAYwBvAHAAZQAgADMAIABkAGEAdABhAGIAYQBzAGUAXAAiACwAIAAzADsAXABuACAAIAAgACAAIAAgACAAIAAgACAAXAAiAEUAbQBpAHMAcwBpAG8AbgBzACAAaQBuAHQAZQBuAHMAaQB0AHkAIABjAGEAbABjAHUAbABhAHQAZQBkACAAZgByAG8AbQAgAGEAcABwAHIAbwB2AGUAZAAgAG0AZQB0AGgAbwBkAFwAIgAsACAANAA7AFwAbgAgACAAIAAgACAAIAAgACAAIAAgAFwAIgBWAGUAcgBpAGYAaQBlAGQAIABjAHIAZQBkAGUAbgB0AGkAYQBsACAAbQBhAHQAYwBoAGkAbgBnACAASQBTAE8AMQA0ADAANgA3AFwAIgAsACAANQ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YAcgBhAGMATABFAEEAQwBIAFwAbgA1AC4ANQAuADIALgAzACAAQwBvAG4AcwB0AGEAbgB0ACAAUABhAHIAYQBtAGUAdABlAHIAcwBcAG4ARgByAGEAYwB0AGkAbwBuACAAbwBmACAATgAgAHQAaABhAHQAIABpAHMAIABhAHYAYQBpAGwAYQBiAGwAZQAgAGYAbwByACAAbABlAGEAYwBoAGkAbgBnACAAYQBuAGQAIAByAHUAbgBvAGYAZgBcAG4ALQAtAC0ALQAtAC0ALQAtAC0ALQAtAC0ALQAtAC0ALQAtAC0ALQAtAC0ALQAtAC0ALQAtAC0ALQAtAC0ALQAtAC0ALQAtAC0ALQAtAFwAbgAqAC8AXABuAFwAbgBDAG8AbQBtAG8AbgBfAFMAbwB1AHIAYwBlAEQAYQB0AGEAXwBGAHIAYQBjAEwARQBBAEMAS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MAEUAQQBDAEgAXwBVAG4AaQB0AFwAbgAgACAAPQBMAEEATQBCAEQAQQAoAFwAIgAoAEQAaQBtAGUAbgBzAGkAbwBuAGwAZQBzAHMAXAAiACkAOwBcAG4AXABuAEMAbwBtAG0AbwBuAF8AUwBvAHUAcgBjAGUARABhAHQAYQBfAEYAcgBhAGMATABFAEEAQwBIAF8AUwBvAHUAcgBjAGUAXABuACAAIAA9AEwAQQBNAEIARABBACgAXAAiAFYARQBFAFIARwAgADIAMAAyADYAOgA1AC4ANQAuADIALgAzACAAQwBvAG4AcwB0AGEAbgB0ACAAUABhAHIAYQBtAGUAdABlAHIAcwBcACIAKQA7AFwAbgBcAG4AQwBvAG0AbQBvAG4AXwBTAG8AdQByAGMAZQBEAGEAdABhAF8ARgByAGEAYwBMAEUAQQBDAEgAXwBOAEkAUgBSAGUAZgBlAHIAZQBuAGMAZQBcAG4AIAAgAD0ATABBAE0AQgBEAEEAKABcACIATgBhAHQAaQBvAG4AYQBsACAASQBuAHYAZQBuAHQAbwByAHkAIABSAGUAcABvAHIAdAAgAFYAbwBsAHUAbQBlACAAMQA6ACAATABlAGEAYwBoAGkAbgBnACAAYQBuAGQAIAByAHUAbgBvAGYAZgAgACgAMwAuAEQALgBiAC4AMgApAFwAIgApADsAXABuAFwAbgBDAG8AbQBtAG8AbgBfAFMAbwB1AHIAYwBlAEQAYQB0AGEAXwBGAHIAYQBjAEwARQBBAEMASABfAEQAYQB0AGEAXABuACAAIAA9AEwAQQBNAEIARABBACgAXABuACAAIAAgACAATQBBAEsARQBBAFIAUgBBAFkAKAAxACwAIAAyACwAIABcAG4AIAAgACAAIAAgACAATABBAE0AQgBEAEEAKAByACwAYwAsACAAXABuACAAIAAgACAAIAAgACAAIABJAE4ARABFAFgAKAB7AFwAbgAgACAAIAAgACAAIAAgACAAIAAgAFwAIgBGAHIAYQBjAEwARQBBAEMASABcACIALAAwAC4AMgA0AFwAbgAgACAAIAAgACAAIAAgACAAfQAsACAAcgAsACAAYwApAFwAbgAgACAAIAAgACAAIAApAFwAbgAgACAAIAAgACkAXABuACAAIAApADsAXABuAFwAbgAgACAAQwBvAG0AbQBvAG4AXwBTAG8AdQByAGMAZQBEAGEAdABhAF8ARgByAGEAYwBMAEUAQQBDAEgAXwBWAGEAcgBpAGEAdABpAG8AbgBcAG4AIAAgAD0ATABBAE0AQgBEAEEAKAAoAFwAIgBcACIAKQApADsAXABuAFwAbgBcAG4AXABuAC8AKgAgAFwAbgAtAC0ALQAtAC0ALQAtAC0ALQAtAC0ALQAtAC0ALQAtAC0ALQAtAC0ALQAtAC0ALQAtAC0ALQAtAC0ALQAtAC0ALQAtAC0ALQAtAC0AXABuAEMAbwBtAG0AbwBuAF8AUwBvAHUAcgBjAGUARABhAHQAYQBfAEUARgBsAGUAYQBjAGgAXABuADUALgA1AC4AMgAuADMAIABDAG8AbgBzAHQAYQBuAHQAIABQAGEAcgBhAG0AZQB0AGUAcgBzAFwAbgBFAG0AaQBzAHMAaQBvAG4AIABmAGEAYwB0AG8AcgAgAGYAbwByACAAbgBpAHQAcgBvAGcAZQBuACAAbABlAGEAYwBoAGkAbgBnACAAYQBuAGQAIAByAHUAbgBvAGYAZgBcAG4ALQAtAC0ALQAtAC0ALQAtAC0ALQAtAC0ALQAtAC0ALQAtAC0ALQAtAC0ALQAtAC0ALQAtAC0ALQAtAC0ALQAtAC0ALQAtAC0ALQAtAFwAbgAqAC8AXABuAFwAbgBDAG8AbQBtAG8AbgBfAFMAbwB1AHIAYwBlAEQAYQB0AGEAXwBFAEYAbABlAGEAYwBoAF8AVABpAHQAbABlAFwAbgAgACAAPQBMAEEATQBCAEQAQQAoAFwAIgBFAG0AaQBzAHMAaQBvAG4AIABmAGEAYwB0AG8AcgAgAGYAbwByACAAbgBpAHQAcgBvAGcAZQBuACAAbABlAGEAYwBoAGkAbgBnACAAYQBuAGQAIAByAHUAbgBvAGYAZgBcACIAKQA7AFwAbgBcAG4AQwBvAG0AbQBvAG4AXwBTAG8AdQByAGMAZQBEAGEAdABhAF8ARQBGAGwAZQBhAGMAaABfAFUAbgBpAHQAXABuACAAIAA9AEwAQQBNAEIARABBACgAXAAiACgAawBnACAATgAyAE8ALQBOACAALwAgAGsAZwAgAE4AXAAiACkAOwBcAG4AXABuAEMAbwBtAG0AbwBuAF8AUwBvAHUAcgBjAGUARABhAHQAYQBfAEUARgBsAGUAYQBjAGgAXwBTAG8AdQByAGMAZQBcAG4AIAAgAD0ATABBAE0AQgBEAEEAKABcACIAVgBFAEUAUgBHACAAMgAwADIANgA6ADUALgA1AC4AMgAuADMAIABDAG8AbgBzAHQAYQBuAHQAIABQAGEAcgBhAG0AZQB0AGUAcgBzAFwAIgApADsAXABuAFwAbgBDAG8AbQBtAG8AbgBfAFMAbwB1AHIAYwBlAEQAYQB0AGEAXwBFAEYAbABlAGEAYwBoAF8ATgBJAFIAUgBlAGYAZQByAGUAbgBjAGUAXABuACAAIAA9AEwAQQBNAEIARABBACgAXAAiAE4AYQB0AGkAbwBuAGEAbAAgAEkAbgB2AGUAbgB0AG8AcgB5ACAAUgBlAHAAbwByAHQAIABWAG8AbAB1AG0AZQAgADEAOgAgAEUAcQB1AGEAdABpAG8AbgAgADMALgBEAC4AQgBfADEAMABcACIAKQA7AFwAbgBcAG4AQwBvAG0AbQBvAG4AXwBTAG8AdQByAGMAZQBEAGEAdABhAF8ARQBGAGwAZQBhAGMAaABfAEQAYQB0AGEAXABuACAAIAA9AEwAQQBNAEIARABBACgAXABuACAAIAAgACAATQBBAEsARQBBAFIAUgBBAFkAKAAxACwAIAAyACwAIABcAG4AIAAgACAAIAAgACAATABBAE0AQgBEAEEAKAByACwAYwAsACAAXABuACAAIAAgACAAIAAgACAAIABJAE4ARABFAFgAKAB7AFwAbgAgACAAIAAgACAAIAAgACAAIAAgAFwAIgBFAEYAbABlAGEAYwBoAFwAIgAsADAALgAwADEAMQBcAG4AIAAgACAAIAAgACAAIAAgAH0ALAAgAHIALAAgAGMAKQBcAG4AIAAgACAAIAAgACAAKQBcAG4AIAAgACAAIAApAFwAbgAgACAAKQA7AFwAbgBcAG4AIAAgAEMAbwBtAG0AbwBuAF8AUwBvAHUAcgBjAGUARABhAHQAYQBfAEUARgBsAGUAYQBjAGgAXwBWAGEAcgBpAGEAdABpAG8AbgBcAG4AIAAgAD0ATABBAE0AQgBEAEEAKAAoAFwAIgBcACIAKQApADsAXABuAFwAbgBcAG4ALwAqACAAXABuAC0ALQAtAC0ALQAtAC0ALQAtAC0ALQAtAC0ALQAtAC0ALQAtAC0ALQAtAC0ALQAtAC0ALQAtAC0ALQAtAC0ALQAtAC0ALQAtAC0ALQBcAG4AQwBvAG0AbQBvAG4AXwBTAG8AdQByAGMAZQBEAGEAdABhAF8ARQBGAE4AMgBPAFwAbgBUAGEAYgBsAGUAIABBAC4AMgAuADIALgAxAFwAbgBOAGkAdAByAG8AdQBzACAAbwB4AGkAZABlACAAZQBtAGkAcwBzAGkAbwBuACAAZgBhAGMAdABvAHIAcwAgAGYAbwByACAAaQBuAG8AcgBnAGEAbgBpAGMAIABmAGUAcgB0AGkAbABpAHMAZQByACAAYQBwAHAAbABpAGMAYQB0AGkAbwBuACAAKABrAGcAIABOADIATwAtAE4ALwBrAGcAIABOACkAIAAoAEUARgBOADIATwApAFwAbgAtAC0ALQAtAC0ALQAtAC0ALQAtAC0ALQAtAC0ALQAtAC0ALQAtAC0ALQAtAC0ALQAtAC0ALQAtAC0ALQAtAC0ALQAtAC0ALQAtAC0AXABuACoALwBcAG4AXABuAEMAbwBtAG0AbwBuAF8AUwBvAHUAcgBjAGUARABhAHQAYQBfAEUARgBOADIATwBfAFQAaQB0AGwAZQBcAG4AIAAgAD0ATABBAE0AQgBEAEEAKABcACIATgBpAHQAcgBvAHUAcwAgAG8AeABpAGQAZQAgAGUAbQBpAHMAcwBpAG8AbgAgAGYAYQBjAHQAbwByAHMAIABmAG8AcgAgAGkAbgBvAHIAZwBhAG4AaQBjACAAZgBlAHIAdABpAGwAaQBzAGUAcgAgAGEAcABwAGwAaQBjAGEAdABpAG8AbgBcACIAKQA7AFwAbgBcAG4AQwBvAG0AbQBvAG4AXwBTAG8AdQByAGMAZQBEAGEAdABhAF8ARQBGAE4AMgBPAF8AVQBuAGkAdABcAG4AIAAgAD0ATABBAE0AQgBEAEEAKABcACIAKABrAGcAIABOADIATwAtAE4AIAAvACAAawBnACAATgBcACIAKQA7AFwAbgBcAG4AQwBvAG0AbQBvAG4AXwBTAG8AdQByAGMAZQBEAGEAdABhAF8ARQBGAE4AMgBPAF8AUwBvAHUAcgBjAGUAXABuACAAIAA9AEwAQQBNAEIARABBACgAXAAiAFYARQBFAFIARwAgADIAMAAyADYAOgAgAFQAYQBiAGwAZQAgAEEALgAyAC4AMgAuADEAXAAiACkAOwBcAG4AXABuAEMAbwBtAG0AbwBuAF8AUwBvAHUAcgBjAGUARABhAHQAYQBfAEUARgBOADIATwBfAE4ASQBSAFIAZQBmAGUAcgBlAG4AYwBlAFwAbgAgACAAPQBMAEEATQBCAEQAQQAoAFwAIgBcACIAKQA7AFwAbgBcAG4AQwBvAG0AbQBvAG4AXwBTAG8AdQByAGMAZQBEAGEAdABhAF8ARQBGAE4AMgBPAF8ARABhAHQAYQBcAG4AIAAgAD0ATABBAE0AQgBEAEEAKABcAG4AIAAgACAAIABNAEEASwBFAEEAUgBSAEEAWQAoADEANAAsACAANQAsACAAXABuACAAIAAgACAAIAAgAEwAQQBNAEIARABBACgAcgAsAGMALAAgAFwAbgAgACAAIAAgACAAIAAgACAASQBOAEQARQBYACgAewBcAG4AIAAgACAAIAAgACAAIAAgACAAIABcACIAUAByAG8AZAB1AGMAdABpAG8AbgAgAHMAeQBzAHQAZQBtACAAagBcACIALABcACIARQBGAE4AMgBPAFwAIgAsACAAXAAiAFAAcgBvAGQAdQBjAHQAaQBvAG4AIABzAHkAcwB0AGUAbQAgAG8AbgBsAHkAXAAiACwAIABcACIASQByAHIAaQBnAGEAdABpAG8AbgAgAG0AZQB0AGgAbwBkAFwAIgAsACAAXAAiAFIAYQBpAG4AZgBhAGwAbAAgAHoAbwBuAGUAXAAiADsAXABuACAAIAAgACAAIAAgACAAIAAgACAAXAAiAEkAcgByAGkAZwBhAHQAZQBkACAAcABhAHMAdAB1AHIAZQBcACIALAAwAC4AMAAwADUAOQAsACAAXAAiAFAAYQBzAHQAdQByAGUAXAAiACwAIABcACIAQQBuAHkAXAAiACwAIABcACIAQQBuAHkAXAAiADsAXABuACAAIAAgACAAIAAgACAAIAAgACAAXAAiAEkAcgByAGkAZwBhAHQAZQBkACAAYwByAG8AcABcACIALAAwAC4AMAAwADcALAAgAFwAIgBDAHIAbwBwAFwAIgAsACAAXAAiAEEAbgB5AFwAIgAsACAAXAAiAEEAbgB5AFwAIgA7AFwAbgAgACAAIAAgACAAIAAgACAAIAAgAFwAIgBOAG8AbgAtAGkAcgByAGkAZwBhAHQAZQBkACAAcABhAHMAdAB1AHIAZQBcACIALAAwAC4AMAAwADEAOAAsACAAXAAiAFAAYQBzAHQAdQByAGUAXAAiACwAIABcACIATgBvAHQAIABpAHIAcgBpAGcAYQB0AGUAZABcACIALAAgAFwAIgBMAG8AdwAgAHIAYQBpAG4AZgBhAGwAbABcACIAOwBcAG4AIAAgACAAIAAgACAAIAAgACAAIABcACIATgBvAG4ALQBpAHIAcgBpAGcAYQB0AGUAZAAgAHAAYQBzAHQAdQByAGUAXAAiACwAMAAuADAAMAAxADgALAAgAFwAIgBQAGEAcwB0AHUAcgBlAFwAIgAsACAAXAAiAE4AbwB0ACAAaQByAHIAaQBnAGEAdABlAGQAXAAiACwAIABcACIASABpAGcAaAAgAHIAYQBpAG4AZgBhAGwAbABcACIAOwBcAG4AIAAgACAAIAAgACAAIAAgACAAIABcACIATgBvAG4ALQBpAHIAcgBpAGcAYQB0AGUAZAAgAGMAcgBvAHAAIAAoAGwAbwB3ACAAcgBhAGkAbgBmAGEAbABsACkAXAAiACwAMAAuADAAMAAyADkALAAgAFwAIgBDAHIAbwBwAFwAIgAsACAAXAAiAE4AbwB0ACAAaQByAHIAaQBnAGEAdABlAGQAXAAiACwAIABcACIATABvAHcAIAByAGEAaQBuAGYAYQBsAGwAXAAiADsAXABuACAAIAAgACAAIAAgACAAIAAgACAAXAAiAE4AbwBuAC0AaQByAHIAaQBnAGEAdABlAGQAIABjAHIAbwBwACAAKABoAGkAZwBoACAAcgBhAGkAbgBmAGEAbABsACkAXAAiACwAMAAuADAAMAA4ACwAIABcACIAQwByAG8AcABcACIALAAgAFwAIgBOAG8AdAAgAGkAcgByAGkAZwBhAHQAZQBkAFwAIgAsACAAXAAiAEgAaQBnAGgAIAByAGEAaQBuAGYAYQBsAGwAXAAiADsAXABuACAAIAAgACAAIAAgACAAIAAgACAAXAAiAFMAdQBnAGEAcgBcACIALAAwAC4AMAAxADkAOQAsACAAXAAiAFMAdQBnAGEAcgBcACIALAAgAFwAIgBBAG4AeQBcACIALAAgAFwAIgBBAG4AeQBcACIAOwBcAG4AIAAgACAAIAAgACAAIAAgACAAIABcACIAQwBvAHQAdABvAG4AXAAiACwAMAAuADAAMAA1ADMALAAgAFwAIgBDAG8AdAB0AG8AbgBcACIALAAgAFwAIgBBAG4AeQBcACIALAAgAFwAIgBBAG4AeQBcACIAOwBcAG4AIAAgACAAIAAgACAAIAAgACAAIABcACIASABvAHIAdABpAGMAdQBsAHQAdQByAGEAbAAgAGMAcgBvAHAAcwBcACIALAAwAC4AMAAwADYANAAsACAAXAAiAEgAbwByAHQAaQBjAHUAbAB0AHUAcgBhAGwAIABjAHIAbwBwAHMAXAAiACwAIABcACIAQQBuAHkAXAAiACwAIABcACIAQQBuAHkAXAAiADsAXABuACAAIAAgACAAIAAgACAAIAAgACAAXAAiAFIAaQBjAGUAIAAoAGMAbwBuAHQAaQBuAHUAbwB1AHMAIABmAGwAbwBvAGQAaQBuAGcAKQBcACIALAAwAC4AMAAwADMALAAgAFwAIgBSAGkAYwBlAFwAIgAsACAAXAAiAEMAbwBuAHQAaQBuAHUAbwB1AHMAIABmAGwAbwBvAGQAaQBuAGcAXAAiACwAIABcACIAQQBuAHkAXAAiADsAXABuACAAIAAgACAAIAAgACAAIAAgACAAXAAiAFIAaQBjAGUAIAAoAHMAaQBuAGcAbABlACAAYQBuAGQAIABtAHUAbAB0AGkAcABsAGUAIABkAHIAYQBpAG4AYQBnAGUALAAgAG8AcgAgAGEAbAB0AGUAcgBuAGEAdABlACAAdwBlAHQAdABpAG4AZwAgAGEAbgBkACAAZAByAHkAaQBuAGcAKQBcACIALAAwAC4AMAAwADUALAAgAFwAIgBSAGkAYwBlAFwAIgAsACAAXAAiAFMAaQBuAGcAbABlACAAYQBuAGQAIABtAHUAbAB0AGkAcABsAGUAIABkAHIAYQBpAG4AYQBnAGUALAAgAG8AcgAgAGEAbAB0AGUAcgBuAGEAdABlACAAdwBlAHQAdABpAG4AZwAgAGEAbgBkACAAZAByAHkAaQBuAGcAXAAiACwAIABcACIAQQBuAHkAXAAiADsAXABuACAAIAAgACAAIAAgACAAIAAgACAAXAAiAEEAcQB1AGEAYwB1AGwAdAB1AHIAZQBcACIALAAwAC4AMAAwADIANgAsACAAXAAiAEEAcQB1AGEAYwB1AGwAdAB1AHIAZQBcACIALAAgAFwAIgBBAG4AeQBcACIALAAgAFwAIgBBAG4AeQBcACIAOwBcAG4AIAAgACAAIAAgACAAIAAgACAAIABcACIARgBvAHIAZQBzAHQAcgB5AFwAIgAsADAALgAwADAAMQA4ACwAIABcACIARgBvAHIAZQBzAHQAcgB5AFwAIgAsACAAXAAiAEEAbgB5AFwAIgAsACAAXAAiAEEAbgB5AFwAIgBcAG4AIAAgACAAIAAgACAAIAAgAH0ALAAgAHIALAAgAGMAKQBcAG4AIAAgACAAIAAgACAAKQBcAG4AIAAgACAAIAApAFwAbgAgACAAKQA7AFwAbgBcAG4AIAAgAEMAbwBtAG0AbwBuAF8AUwBvAHUAcgBjAGUARABhAHQAYQBfAEUARgBOADIATwBfAFYAYQByAGkAYQB0AGkAbwBuAFwAbgAgACAAPQBMAEEATQBCAEQAQQAoAFwAbgAgACAAIAAgAE0AQQBLAEUAQQBSAFIAQQBZACgANQAsACAAMQAsACAAXABuACAAIAAgACAAIAAgAEwAQQBNAEIARABBACgAcgAsAGMALAAgAFwAbgAgACAAIAAgACAAIAAgACAASQBOAEQARQBYACgAewBcAG4AIAAgACAAIAAgACAAIAAgACAAIABcACIAVgBBAFIASQBBAFQASQBPAE4AIABPAEYAIABTAE8AVQBSAEMARQAgAEQAQQBUAEEAOgBcACIAOwBcAG4AIAAgACAAIAAgACAAIAAgACAAIABcACIAUgBlAG0AbwB2AGUAZAAgAGQAdQBwAGwAaQBjAGEAdABlACAAXAB1ADAAMAAyADcAQQBxAHUAYQBjAHUAbAB0AHUAcgBlAFwAdQAwADAAMgA3ACAAcgBvAHcALgBcACIAOwBcAG4AIAAgACAAIAAgACAAIAAgACAAIABcACIAUgBlAG0AbwB2AGUAZAAgAGEAcwB0AGUAcgBpAHMAawBzACAAdABvACAAYQBpAGQAIABsAG8AbwBrAHUAcAAuAFwAIgA7AFwAbgAgACAAIAAgACAAIAAgACAAIAAgAFwAIgBBAGQAZABlAGQAIABcAHUAMAAwADIANwBwAHIAbwBkAHUAYwB0AGkAbwBuACAAcwB5AHMAdABlAG0AIABvAG4AbAB5AFwAdQAwADAAMgA3ACwAIABcAHUAMAAwADIANwByAGEAaQBuAGYAYQBsAGwAIAB6AG8AbgBlAFwAdQAwADAAMgA3ACAAYQBuAGQAIABcAHUAMAAwADIANwBpAHIAcgBpAGcAYQB0AGkAbwBuACAAbQBlAHQAaABvAGQAXAB1ADAAMAAyADcAIABjAG8AbAB1AG0AbgBzACAAdABvACAAYQBpAGQAIABsAG8AbwBrAHUAcAAuAFwAIgA7AFwAbgAgACAAIAAgACAAIAAgACAAIAAgAFwAIgBEAHUAcABsAGkAYwBhAHQAZQBkACAAXAB1ADAAMAAyADcAbgBvAG4ALQBpAHIAcgBpAGcAYQB0AGUAZAAgAHAAYQBzAHQAdQByAGUAXAB1ADAAMAAyADcAIAByAG8AdwAgAHcAaQB0AGgAIABzAGEAbQBlACAARQBGACAAZgBvAHIAIABsAG8AdwAgAGEAbgBkACAAaABpAGcAaAAgAHIAYQBpAG4AZgBhAGwAbAAgAHoAbwBuAGUAcwAgAHQAbwAgAGEAaQBkACAAbABvAG8AawB1AHAALg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SQByAHIAaQBnAGEAdABpAG8AbgBcAG4AVgBFAEUAUgBHACAAMgAwADIANgA6ACAAQwBoAGEAcAB0AGUAcgAgADEALAAgAHMAZQBjAHQAaQBvAG4AIAAxAC4AOAAuADIAIABMAGUAYQBjAGgAaQBuAGcALAAgAGMAbABpAG0AYQB0AGUAIABhAG4AZAAgAHIAYQBpAG4AZgBhAGwAbAAgAHoAbwBuAGUAcwBcAG4ASQBQAEMAQwA6ACAATgAyAE8AIABFAE0ASQBTAFMASQBPAE4AUwAgAEYAUgBPAE0AIABNAEEATgBBAEcARQBEACAAUwBPAEkATABTACwAIABBAE4ARAAgAEMATwAyACAARQBNAEkAUwBTAEkATwBOAFMAIABGAFIATwBNACAATABJAE0ARQAgAEEATgBEACAAVQBSAEUAQQAgAEEAUABQAEwASQBDAEEAVABJAE8ATgBcAG4ALQAtAC0ALQAtAC0ALQAtAC0ALQAtAC0ALQAtAC0ALQAtAC0ALQAtAC0ALQAtAC0ALQAtAC0ALQAtAC0ALQAtAC0ALQAtAC0ALQAtAFwAbgAqAC8AXABuAFwAbgBDAG8AbQBtAG8AbgBfAFMAbwB1AHIAYwBlAEQAYQB0AGEAXwBGAHIAYQBjAFcARQBUAEkAcgByAGkAZwBhAHQAaQBvAG4AXwBUAGkAdABsAGUAXABuACAAIAA9AEwAQQBNAEIARABBACgAXAAiAEYAcgBhAGMAVwBFAFQAIABmAG8AcgAgAGkAcgByAGkAZwBhAHQAaQBvAG4AIAB0AHkAcABlAHMAXAAiACkAOwBcAG4AXABuAEMAbwBtAG0AbwBuAF8AUwBvAHUAcgBjAGUARABhAHQAYQBfAEYAcgBhAGMAVwBFAFQASQByAHIAaQBnAGEAdABpAG8AbgBfAFUAbgBpAHQAXABuACAAIAA9AEwAQQBNAEIARABBACgAXAAiAGQAaQBtAGUAbgBzAGkAbwBuAGwAZQBzAHMAXAAiACkAOwBcAG4AXABuAEMAbwBtAG0AbwBuAF8AUwBvAHUAcgBjAGUARABhAHQAYQBfAEYAcgBhAGMAVwBFAFQASQByAHIAaQBnAGEAdABpAG8AbgBfAFMAbwB1AHIAYwBlAFwAbgAgACAAPQBMAEEATQBCAEQAQQAoAFwAIgBWAEUARQBSAEcAIAAyADAAMgA2ADoAIABDAGgAYQBwAHQAZQByACAAMQAsACAAcwBlAGMAdABpAG8AbgAgADEALgA4AC4AMgAgAEwAZQBhAGMAaABpAG4AZwAsACAAYwBsAGkAbQBhAHQAZQAgAGEAbgBkACAAcgBhAGkAbgBmAGEAbABsACAAegBvAG4AZQBzAFwAIgApADsAXABuAFwAbgBDAG8AbQBtAG8AbgBfAFMAbwB1AHIAYwBlAEQAYQB0AGEAXwBGAHIAYQBjAFcARQBUAEkAcgByAGkAZwBhAHQAaQBvAG4AXwBOAEkAUgBSAGUAZgBlAHIAZQBuAGMAZQBcAG4AIAAgAD0ATABBAE0AQgBEAEEAKABcACIASQBQAEMAQwAgADIAMAAxADkAIABSAGUAZgBpAG4AZQBtAGUAbgB0ACAAVgBvAGwAdQBtAGUAIAA0ADoAIABDAGgAYQBwAHQAZQByACAAMQAxADoAIABOADIATwAgAEUAbQBpAHMAcwBpAG8AbgBzACAAZgByAG8AbQAgAE0AYQBuAGEAZwBlAGQAIABTAG8AaQBsAHMALAAgAGEAbgBkACAAQwBPADIAIABFAG0AaQBzAHMAaQBvAG4AcwAgAGYAcgBvAG0AIABMAGkAbQBlACAAYQBuAGQAIABVAHIAZQBhACAAQQBwAHAAbABpAGMAYQB0AGkAbwBuAFwAIgApADsAXABuAFwAbgBDAG8AbQBtAG8AbgBfAFMAbwB1AHIAYwBlAEQAYQB0AGEAXwBGAHIAYQBjAFcARQBUAEkAcgByAGkAZwBhAHQAaQBvAG4AXwBEAGEAdABhAFwAbgAgACAAPQBMAEEATQBCAEQAQQAoAFwAbgAgACAAIAAgAE0AQQBLAEUAQQBSAFIAQQBZACgANgAsACAAMgAsACAAXABuACAAIAAgACAAIAAgAEwAQQBNAEIARABBACgAcgAsAGMALAAgAFwAbgAgACAAIAAgACAAIAAgACAASQBOAEQARQBYACgAewBcAG4AIAAgACAAIAAgACAAIAAgACAAIABcACIASQByAHIAaQBnAGEAdABpAG8AbgAgAHQAeQBwAGUAIABpAHIAXAAiACwAXAAiAEYAcgBhAGMAVwBFAFQAXAAiADsAXABuACAAIAAgACAAIAAgACAAIAAgACAAXAAiAE4AbwB0ACAAaQByAHIAaQBnAGEAdABlAGQAXAAiACwAIAAwADsAXABuACAAIAAgACAAIAAgACAAIAAgACAAXAAiAEQAcgBpAHAAIABpAHIAcgBpAGcAYQB0AGkAbwBuAFwAIgAsACAAMAA7AFwAbgAgACAAIAAgACAAIAAgACAAIAAgAFwAIgBTAHAAcgBpAG4AawBsAGUAcgAgAGkAcgByAGkAZwBhAHQAaQBvAG4AXAAiACwAIAAxADsAXABuACAAIAAgACAAIAAgACAAIAAgACAAXAAiAFMAdQByAGYAYQBjAGUAIABpAHIAcgBpAGcAYQB0AGkAbwBuAFwAIgAsACAAMQA7AFwAbgAgACAAIAAgACAAIAAgACAAIAAgAFwAIgBPAHQAaABlAHIAIABpAHIAcgBpAGcAYQB0AGkAbwBuAFwAIgAsACAAMQBcAG4AIAAgACAAIAAgACAAIAAgAH0ALAAgAHIALAAgAGMAKQBcAG4AIAAgACAAIAAgACAAKQBcAG4AIAAgACAAIAApAFwAbgAgACAAKQA7AFwAbgBcAG4AIAAgAEMAbwBtAG0AbwBuAF8AUwBvAHUAcgBjAGUARABhAHQAYQBfAEYAcgBhAGMAVwBFAFQASQByAHIAaQBnAGEAdABpAG8AbgBfAFYAYQByAGkAYQB0AGkAbwBuAFwAbgAgACAAPQBMAEEATQBCAEQAQQAoAFwAIgBWAEEAUgBJAEEAVABJAE8ATgAgAEYAUgBPAE0AIABTAE8AVQBSAEMARQAgAEQAQQBUAEEAOgAgAFQAYQBiAGwAZQAgAGMAcgBlAGEAdABlAGQAIABiAGEAcwBlAGQAIABvAG4AIABWAEUARQBSAEcAIAB0AGUAeAB0ACAAXAB1ADAAMAAyADcAQQByAGUAYQBzACAAYQByAGUAIABzAHUAYgBqAGUAYwB0ACAAdABvACAAbABlAGEAYwBoAGkAbgBnACAAKABpAC4AZQAuACwAIABpAG4AIAB0AGgAZQAgAGwAZQBhAGMAaABpAG4AZwAgAHoAbwBuAGUAKQAgAHcAaABlAG4ALgAuAC4AIAB0AGgAZQAgAGwAYQBuAGQAIABpAHMAIABpAHIAcgBpAGcAYQB0AGUAZAAgACgAZQB4AGMAZQBwAHQAIABkAHIAaQBwACAAaQByAHIAaQBnAGEAdABpAG8AbgApAC4AXAB1ADAAMAAyADcAXAAiACkAOwBcAG4AXABuAFwAbgAvACoAIABcAG4ALQAtAC0ALQAtAC0ALQAtAC0ALQAtAC0ALQAtAC0ALQAtAC0ALQAtAC0ALQAtAC0ALQAtAC0ALQAtAC0ALQAtAC0ALQAtAC0ALQAtAFwAbgBDAG8AbQBtAG8AbgBfAFMAbwB1AHIAYwBlAEQAYQB0AGEAXwBFAEYAUABhAHMAdAB1AHIAZQBSAGEAbgBnAGUAQQBuAGQAUABhAGQAZABvAGMAawBcAG4AVABhAGIAbABlACAAQQAuADIALgAyAC4AMgA6ACAARQBtAGkAcwBzAGkAbwBuACAAZgBhAGMAdABvAHIAIABmAG8AcgAgAHUAcgBpAG4AZQAgAGEAbgBkACAAZAB1AG4AZwAgAGQAZQBwAG8AcwBpAHQAZQBkACAAbwBuACAAcABhAHMAdAB1AHIAZQAsACAAcgBhAG4AZwBlACAAbwByACAAcABhAGQAZABvAGMAawAgACgAawBnACAATgAyAE8ALQBOAC8AawBnACAATgApACAAKABFAEYAUABSAFAAKQBcAG4ALQAtAC0ALQAtAC0ALQAtAC0ALQAtAC0ALQAtAC0ALQAtAC0ALQAtAC0ALQAtAC0ALQAtAC0ALQAtAC0ALQAtAC0ALQAtAC0ALQAtAFwAbgAqAC8AXABuAFwAbgBDAG8AbQBtAG8AbgBfAFMAbwB1AHIAYwBlAEQAYQB0AGEAXwBFAEYAUABhAHMAdAB1AHIAZQBSAGEAbgBnAGUAQQBuAGQAUABhAGQAZABvAGMAawBfAFQAaQB0AGwAZQBcAG4AIAAgAD0ATABBAE0AQgBEAEEAKABcACIARQBtAGkAcwBzAGkAbwBuACAAZgBhAGMAdABvAHIAIABmAG8AcgAgAHUAcgBpAG4AZQAgAGEAbgBkACAAZAB1AG4AZwAgAGQAZQBwAG8AcwBpAHQAZQBkACAAbwBuACAAcABhAHMAdAB1AHIAZQAsACAAcgBhAG4AZwBlACAAbwByACAAcABhAGQAZABvAGMAawBcACIAKQA7AFwAbgBcAG4AQwBvAG0AbQBvAG4AXwBTAG8AdQByAGMAZQBEAGEAdABhAF8ARQBGAFAAYQBzAHQAdQByAGUAUgBhAG4AZwBlAEEAbgBkAFAAYQBkAGQAbwBjAGsAXwBVAG4AaQB0AFwAbgAgACAAPQBMAEEATQBCAEQAQQAoAFwAIgBrAGcAIABOADIATwAgAC0AIABOACAALwAgAGsAZwAgAE4AXAAiACkAOwBcAG4AXABuAEMAbwBtAG0AbwBuAF8AUwBvAHUAcgBjAGUARABhAHQAYQBfAEUARgBQAGEAcwB0AHUAcgBlAFIAYQBuAGcAZQBBAG4AZABQAGEAZABkAG8AYwBrAF8AUwBvAHUAcgBjAGUAXABuACAAIAA9AEwAQQBNAEIARABBACgAXAAiAFYARQBFAFIARwAgADIAMAAyADYAOgAgAFQAYQBiAGwAZQAgAEEALgAyAC4AMgAuADIAXAAiACkAOwBcAG4AXABuAEMAbwBtAG0AbwBuAF8AUwBvAHUAcgBjAGUARABhAHQAYQBfAEUARgBQAGEAcwB0AHUAcgBlAFIAYQBuAGcAZQBBAG4AZABQAGEAZABkAG8AYwBrAF8ATgBJAFIAUgBlAGYAZQByAGUAbgBjAGUAXABuACAAIAA9AEwAQQBNAEIARABBACgAXAAiAFwAIgApADsAXABuAFwAbgBDAG8AbQBtAG8AbgBfAFMAbwB1AHIAYwBlAEQAYQB0AGEAXwBFAEYAUABhAHMAdAB1AHIAZQBSAGEAbgBnAGUAQQBuAGQAUABhAGQAZABvAGMAa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UABSAFAAXAAiADsAXABuACAAIAAgACAAIAAgACAAIAAgACAAXAAiAFcAZQB0ACAAYwBsAGkAbQBhAHQAZQAgAHoAbwBuAGUAXAAiACwAIAAwAC4AMAAwADYAOwBcAG4AIAAgACAAIAAgACAAIAAgACAAIABcACIARAByAHkAIABjAGwAaQBtAGEAdABlACAAegBvAG4AZQBcACIALAAgADAALgAwADAAMgBcAG4AIAAgACAAIAAgACAAIAAgAH0ALAAgAHIALAAgAGMAKQBcAG4AIAAgACAAIAAgACAAKQBcAG4AIAAgACAAIAApAFwAbgAgACAAKQA7AFwAbgBcAG4AIAAgAEMAbwBtAG0AbwBuAF8AUwBvAHUAcgBjAGUARABhAHQAYQBfAEUARgBQAGEAcwB0AHUAcgBlAFIAYQBuAGcAZQBBAG4AZABQAGEAZABkAG8AYwBrAF8AVgBhAHIAaQBhAHQAaQBvAG4AXABuACAAIAA9AEwAQQBNAEIARABBACgAXAAiAFYAQQBSAEkAQQBUAEkATwBOACAARgBSAE8ATQAgAFMATwBVAFIAQwBFACAARABBAFQAQQA6ACAAQwBoAGEAbgBnAGUAZAAgAFwAdQAwADAAMgA3AEQAcgB5ACAAYwBsAGkAbQBhAHQAZQAgAHoAbwBuAGUAcwBcAHUAMAAwADIANwAgAHQAbwAgAHMAaQBuAGcAdQBsAGEAcgAgAFwAdQAwADAAMgA3AEQAcgB5ACAAYwBsAGkAbQBhAHQAZQAgAHoAbwBuAGUAXAB1ADAAMAAyADcAIAB0AG8AIABhAGkAZAAgAGwAbwBvAGsAdQBwAC4AXAAiACkAOwBcAG4AXABuAFwAbgAvACoAIABcAG4ALQAtAC0ALQAtAC0ALQAtAC0ALQAtAC0ALQAtAC0ALQAtAC0ALQAtAC0ALQAtAC0ALQAtAC0ALQAtAC0ALQAtAC0ALQAtAC0ALQAtAFwAbgBDAG8AbQBtAG8AbgBfAFMAbwB1AHIAYwBlAEQAYQB0AGEAXwBNAG8AbgB0AGgAcwBUAG8AUwBlAGEAcwBvAG4AcwBcAG4ALQAtAC0ALQAtAC0ALQAtAC0ALQAtAC0ALQAtAC0ALQAtAC0ALQAtAC0ALQAtAC0ALQAtAC0ALQAtAC0ALQAtAC0ALQAtAC0ALQAtAFwAbgAqAC8AXABuAFwAbgBDAG8AbQBtAG8AbgBfAFMAbwB1AHIAYwBlAEQAYQB0AGEAXwBNAG8AbgB0AGgAcwBUAG8AUwBlAGEAcwBvAG4AcwBfAFQAaQB0AGwAZQBcAG4AIAAgAD0ATABBAE0AQgBEAEEAKABcACIATQBvAG4AdABoAHMAIAB0AG8AIABTAGUAYQBzAG8AbgBzACAATQBhAHAAcABpAG4AZwBcACIAKQA7AFwAbgBcAG4AQwBvAG0AbQBvAG4AXwBTAG8AdQByAGMAZQBEAGEAdABhAF8ATQBvAG4AdABoAHMAVABvAFMAZQBhAHMAbwBuAHMAXwBVAG4AaQB0AFwAbgAgACAAPQBMAEEATQBCAEQAQQAoAFwAIgBcACIAKQA7AFwAbgBcAG4AQwBvAG0AbQBvAG4AXwBTAG8AdQByAGMAZQBEAGEAdABhAF8ATQBvAG4AdABoAHMAVABvAFMAZQBhAHMAbwBuAHMAXwBTAG8AdQByAGMAZQBcAG4AIAAgAD0ATABBAE0AQgBEAEEAKABcACIAXAAiACkAOwBcAG4AXABuAEMAbwBtAG0AbwBuAF8AUwBvAHUAcgBjAGUARABhAHQAYQBfAE0AbwBuAHQAaABzAFQAbwBTAGUAYQBzAG8AbgBzAF8ATgBJAFIAUgBlAGYAZQByAGUAbgBjAGUAXABuACAAIAA9AEwAQQBNAEIARABBACgAXAAiAFwAIgApADsAXABuAFwAbgBDAG8AbQBtAG8AbgBfAFMAbwB1AHIAYwBlAEQAYQB0AGEAXwBNAG8AbgB0AGgAcwBUAG8AUwBlAGEAcwBvAG4AcwBfAEQAYQB0AGEAXABuACAAIAA9AEwAQQBNAEIARABBACgAXABuACAAIAAgACAATQBBAEsARQBBAFIAUgBBAFkAKAAxADMALAAgADIALAAgAFwAbgAgACAAIAAgACAAIABMAEEATQBCAEQAQQAoAHIALABjACwAIABcAG4AIAAgACAAIAAgACAAIAAgAEkATgBEAEUAWAAoAHsAXABuACAAIAAgACAAIAAgACAAIAAgACAAXAAiAE0AbwBuAHQAaABcACIALAAgAFwAIgBTAGUAYQBzAG8AbgBcACIAOwBcAG4AIAAgACAAIAAgACAAIAAgACAAIABcACIASgBhAG4AdQBhAHIAeQBcACIALAAgAFwAIgBTAHUAbQBtAGUAcgBcACIAOwBcAG4AIAAgACAAIAAgACAAIAAgACAAIABcACIARgBlAGIAcgB1AGEAcgB5AFwAIgAsACAAXAAiAFMAdQBtAG0AZQByAFwAIgA7AFwAbgAgACAAIAAgACAAIAAgACAAIAAgAFwAIgBNAGEAcgBjAGgAXAAiACwAIABcACIAQQB1AHQAdQBtAG4AXAAiADsAXABuACAAIAAgACAAIAAgACAAIAAgACAAXAAiAEEAcAByAGkAbABcACIALAAgAFwAIgBBAHUAdAB1AG0AbgBcACIAOwBcAG4AIAAgACAAIAAgACAAIAAgACAAIABcACIATQBhAHkAXAAiACwAIABcACIAQQB1AHQAdQBtAG4AXAAiADsAXABuACAAIAAgACAAIAAgACAAIAAgACAAXAAiAEoAdQBuAGUAXAAiACwAIABcACIAVwBpAG4AdABlAHIAXAAiADsAXABuACAAIAAgACAAIAAgACAAIAAgACAAXAAiAEoAdQBsAHkAXAAiACwAIABcACIAVwBpAG4AdABlAHIAXAAiADsAXABuACAAIAAgACAAIAAgACAAIAAgACAAXAAiAEEAdQBnAHUAcwB0AFwAIgAsACAAXAAiAFcAaQBuAHQAZQByAFwAIgA7AFwAbgAgACAAIAAgACAAIAAgACAAIAAgAFwAIgBTAGUAcAB0AGUAbQBiAGUAcgBcACIALAAgAFwAIgBTAHAAcgBpAG4AZwBcACIAOwBcAG4AIAAgACAAIAAgACAAIAAgACAAIABcACIATwBjAHQAbwBiAGUAcgBcACIALAAgAFwAIgBTAHAAcgBpAG4AZwBcACIAOwBcAG4AIAAgACAAIAAgACAAIAAgACAAIABcACIATgBvAHYAZQBtAGIAZQByAFwAIgAsACAAXAAiAFMAcAByAGkAbgBnAFwAIgA7AFwAbgAgACAAIAAgACAAIAAgACAAIAAgAFwAIgBEAGUAYwBlAG0AYgBlAHIAXAAiACwAIABcACIAUwB1AG0AbQBlAHIAXAAiAFwAbgAgACAAIAAgACAAIAAgACAAfQAsACAAcgAsACAAYwApAFwAbgAgACAAIAAgACAAIAApAFwAbgAgACAAIAAgACkAXABuACAAIAApADsAXABuAFwAbgAgACAAQwBvAG0AbQBvAG4AXwBTAG8AdQByAGMAZQBEAGEAdABhAF8ATQBvAG4AdABoAHMAVABvAFMAZQBhAHMAbwBuAHMAXwBWAGEAcgBpAGEAdABpAG8AbgBcAG4AIAAgAD0ATABBAE0AQgBEAEEAKABcACIAXAAiACkAOwBcAG4AXABuAFwAbgBcAG4ALwAqACAAXABuAC0ALQAtAC0ALQAtAC0ALQAtAC0ALQAtAC0ALQAtAC0ALQAtAC0ALQAtAC0ALQAtAC0ALQAtAC0ALQAtAC0ALQAtAC0ALQAtAC0ALQBcAG4AQwBvAG0AbQBvAG4AXwBTAG8AdQByAGMAZQBEAGEAdABhAF8ATQBDAEYAVABlAG0AcABlAHIAYQB0AHUAcgBlAFoAbwBuAGUAXABuAC0ALQAtAC0ALQAtAC0ALQAtAC0ALQAtAC0ALQAtAC0ALQAtAC0ALQAtAC0ALQAtAC0ALQAtAC0ALQAtAC0ALQAtAC0ALQAtAC0ALQBcAG4AKgAvAFwAbgBcAG4AQwBvAG0AbQBvAG4AXwBTAG8AdQByAGMAZQBEAGEAdABhAF8ATQBDAEYAVABlAG0AcABlAHIAYQB0AHUAcgBlAFoAbwBuAGUAXwBUAGkAdABsAGUAXABuACAAIAA9AEwAQQBNAEIARABBACgAXAAiAE0AYQBuAHUAcgBlACAATQBhAG4AYQBnAGUAbQBlAG4AdAAgABMgIABNAGUAdABoAGEAbgBlACAAYwBvAG4AdgBlAHIAcwBpAG8AbgAgAGYAYQBjAHQAbwByACAAcABlAHIAIAB0AGUAbQBwAGUAcgBhAHQAdQByAGUAIAB6AG8AbgBlACAAKABmAHIAYQBjAHQAaQBvAG4AKQAgACgATQBDAEYAaQBtACkAXAAiACkAOwBcAG4AXABuAEMAbwBtAG0AbwBuAF8AUwBvAHUAcgBjAGUARABhAHQAYQBfAE0AQwBGAFQAZQBtAHAAZQByAGEAdAB1AHIAZQBaAG8AbgBlAF8AVQBuAGkAdABcAG4AIAAgAD0ATABBAE0AQgBEAEEAKABcACIAZgByAGEAYwB0AGkAbwBuAFwAIgApADsAXABuAFwAbgBDAG8AbQBtAG8AbgBfAFMAbwB1AHIAYwBlAEQAYQB0AGEAXwBNAEMARgBUAGUAbQBwAGUAcgBhAHQAdQByAGUAWgBvAG4AZQBfAFMAbwB1AHIAYwBlAFwAbgAgACAAPQBMAEEATQBCAEQAQQAoAFwAIgBWAEUARQBSAEcAIAAyADAAMgA2ADoAIABUAGEAYgBsAGUAIABBAC4AMQAuADgALgAxAFwAIgApADsAXABuAFwAbgBDAG8AbQBtAG8AbgBfAFMAbwB1AHIAYwBlAEQAYQB0AGEAXwBNAEMARgBUAGUAbQBwAGUAcgBhAHQAdQByAGUAWgBvAG4AZQBfAEQAYQB0AGEAXABuACAAIAA9AEwAQQBNAEIARABBACgAXABuACAAIAAgACAATQBBAEsARQBBAFIAUgBBAFkAKAAyADEALAAgADEANgAsACAAXABuACAAIAAgACAAIAAgAEwAQQBNAEIARABBACgAcgAsAGMALAAgAFwAbgAgACAAIAAgACAAIAAgACAASQBOAEQARQBYACgAewBcAG4AIAAgACAAIAAgACAAIAAgACAAIABcACIAVABlAG0AcABlAHIAYQB0AHUAcgBlACAAegBvAG4AZQBcACIALAAgAFwAIgBNAEEAVAAgACgAugBDACkAXAAiACwAIABcACIAVQBuAGMAbwB2AGUAcgBlAGQAIABhAG4AZQByAG8AYgBpAGMAIABsAGEAZwBvAG8AbgBcACIALAAgAFwAIgBDAG8AdgBlAHIAZQBkACAAbABhAGcAbwBvAG4AXAAiACwAIABcACIATABpAHEAdQBpAGQAIABTAGwAdQByAHIAeQAgACgAdwBpAHQAaABvAHUAdAAgAG4AYQB0AHUAcgBhAGwAIABjAHIAdQBzAHQAKQBcACIALAAgAFwAIgBEAGEAaQBsAHkAIABzAHAAcgBlAGEAZAAgACgAYgApAFwAIgAsACAAXAAiAEMAbwBtAHAAbwBzAHQAaQBuAGcAIAAoAHAAYQBzAHMAaQB2AGUAIAB3AGkAbgBkAHIAbwB3ACkAXAAiACwAIABcACIAUwBvAGwAaQBkACAAUwB0AG8AcgBhAGcAZQBcACIALAAgAFwAIgBQAGkAdAAgAFMAdABvAHIAYQBnAGUAIABcAHUAMAAwADMAYwAxACAAbQBvAG4AdABoAFwAIgAsACAAXAAiAEQAZQBlAHAAIABMAGkAdAB0AGUAcgBcACIALAAgAFwAIgBQAG8AdQBsAHQAcgB5ACAATQBhAG4AdQByAGUAIAAoAHcAaQB0AGgALwB3AGkAdABoAG8AdQB0ACAAbABpAHQAdABlAHIAKQBcACIALAAgAFwAIgBcACIALAAgAFwAIgBEAGkAcgBlAGMAdAAgAHAAcgBvAGMAZQBzAHMAaQBuAGcAIABpAG4AdABvACAAcABlAGwAbABlAHQAaQB6AGUAZAAgAGYAZQByAHQAaQBsAGkAcwBlAHIAXAAiACwAIABcACIARABpAHIAZQBjAHQAIABhAHAAcABsAGkAYwBhAHQAaQBvAG4AIAB0AG8AIABzAG8AaQBsAFwAIgAsACAAXAAiAFAAYQBzAHQAdQByAGUALAAgAFIAYQBuAGcAZQAgAGEAbgBkACAAUABhAGQAZABvAGMAawAgACgAYwApACgAZAApAFwAIgAsACAAXAAiAE0AQQBUACAAcgBhAHcAXAAiADsAXABuACAAIAAgACAAIAAgACAAIAAgACAAXAAiAEMAbwBvAGwAXAAiACwAIABcACIAZCIxADAAXAAiACwAIAAwAC4ANgA2ACwAIAAwAC4AMQAsACAAMAAuADEALAAgADAALgAwADAAMQAsACAAMAAuADAAMAA1ACwAIAAwAC4AMAAyACwAIAAwAC4AMAAzACwAIAAwAC4AMAA0ACwAIAAwAC4AMAAxADUALAAgADAALgAwADEANQAsACAAMAAsACAAMAAsACAAMAAuADAAMAA0ADcALAAgADEAMAA7AFwAbgAgACAAIAAgACAAIAAgACAAIAAgAFwAIgBDAG8AbwBsAFwAIgAsACAAMQAxACwAIAAwAC4ANgA4ACwAIAAwAC4AMQAsACAAMAAuADEAMQAsACAAMAAuADAAMAAxACwAIAAwAC4AMAAwADUALAAgADAALgAwADIALAAgADAALgAwADMALAAgADAALgAwADQALAAgADAALgAwADEANQAsACAAMAAuADAAMQA1ACwAIAAwACwAIAAwACwAIAAwAC4AMAAwADQANwAsACAAMQAxADsAXABuACAAIAAgACAAIAAgACAAIAAgACAAXAAiAEMAbwBvAGwAXAAiACwAIAAxADIALAAgADAALgA3ACwAIAAwAC4AMQAsACAAMAAuADEAMwAsACAAMAAuADAAMAAxACwAIAAwAC4AMAAwADUALAAgADAALgAwADIALAAgADAALgAwADMALAAgADAALgAwADQALAAgADAALgAwADEANQAsACAAMAAuADAAMQA1ACwAIAAwACwAIAAwACwAIAAwAC4AMAAwADQANwAsACAAMQAyADsAXABuACAAIAAgACAAIAAgACAAIAAgACAAXAAiAEMAbwBvAGwAXAAiACwAIAAxADMALAAgADAALgA3ADEALAAgADAALgAxACwAIAAwAC4AMQA0ACwAIAAwAC4AMAAwADEALAAgADAALgAwADAANQAsACAAMAAuADAAMgAsACAAMAAuADAAMwAsACAAMAAuADAANAAsACAAMAAuADAAMQA1ACwAIAAwAC4AMAAxADUALAAgADAALAAgADAALAAgADAALgAwADAANAA3ACwAIAAxADMAOwBcAG4AIAAgACAAIAAgACAAIAAgACAAIABcACIAQwBvAG8AbABcACIALAAgADEANAAsACAAMAAuADcAMwAsACAAMAAuADEALAAgADAALgAxADUALAAgADAALgAwADAAMQAsACAAMAAuADAAMAA1ACwAIAAwAC4AMAAyACwAIAAwAC4AMAAzACwAIAAwAC4AMAA0ACwAIAAwAC4AMAAxADUALAAgADAALgAwADEANQAsACAAMAAsACAAMAAsACAAMAAuADAAMAA0ADcALAAgADEANAA7AFwAbgAgACAAIAAgACAAIAAgACAAIAAgAFwAIgBUAGUAbQBwAGUAcgBhAHQAZQBcACIALAAgADEANQAsACAAMAAuADcANAAsACAAMAAuADEALAAgADAALgAxADcALAAgADAALgAwADAANQAsACAAMAAuADAAMQAsACAAMAAuADAAMgAsACAAMAAuADAAMwAsACAAMAAuADAANAAsACAAMAAuADAAMQA1ACwAIAAwAC4AMAAxADUALAAgADAALAAgADAALAAgADAALgAwADAANAA3ACwAIAAxADUAOwBcAG4AIAAgACAAIAAgACAAIAAgACAAIABcACIAVABlAG0AcABlAHIAYQB0AGUAXAAiACwAIAAxADYALAAgADAALgA3ADUALAAgADAALgAxACwAIAAwAC4AMQA4ACwAIAAwAC4AMAAwADUALAAgADAALgAwADEALAAgADAALgAwADIALAAgADAALgAwADMALAAgADAALgAwADQALAAgADAALgAwADEANQAsACAAMAAuADAAMQA1ACwAIAAwACwAIAAwACwAIAAwAC4AMAAwADQANwAsACAAMQA2ADsAXABuACAAIAAgACAAIAAgACAAIAAgACAAXAAiAFQAZQBtAHAAZQByAGEAdABlAFwAIgAsACAAMQA3ACwAIAAwAC4ANwA2ACwAIAAwAC4AMQAsACAAMAAuADIALAAgADAALgAwADAANQAsACAAMAAuADAAMQAsACAAMAAuADAAMgAsACAAMAAuADAAMwAsACAAMAAuADAANAAsACAAMAAuADAAMQA1ACwAIAAwAC4AMAAxADUALAAgADAALAAgADAALAAgADAALgAwADAANAA3ACwAIAAxADcAOwBcAG4AIAAgACAAIAAgACAAIAAgACAAIABcACIAVABlAG0AcABlAHIAYQB0AGUAXAAiACwAIAAxADgALAAgADAALgA3ADcALAAgADAALgAxACwAIAAwAC4AMgAyACwAIAAwAC4AMAAwADUALAAgADAALgAwADEALAAgADAALgAwADIALAAgADAALgAwADMALAAgADAALgAwADQALAAgADAALgAwADEANQAsACAAMAAuADAAMQA1ACwAIAAwACwAIAAwACwAIAAwAC4AMAAwADQANwAsACAAMQA4ADsAXABuACAAIAAgACAAIAAgACAAIAAgACAAXAAiAFQAZQBtAHAAZQByAGEAdABlAFwAIgAsACAAMQA5ACwAIAAwAC4ANwA3ACwAIAAwAC4AMQAsACAAMAAuADIANAAsACAAMAAuADAAMAA1ACwAIAAwAC4AMAAxACwAIAAwAC4AMAAyACwAIAAwAC4AMAAzACwAIAAwAC4AMAA0ACwAIAAwAC4AMAAxADUALAAgADAALgAwADEANQAsACAAMAAsACAAMAAsACAAMAAuADAAMAA0ADcALAAgADEAOQA7AFwAbgAgACAAIAAgACAAIAAgACAAIAAgAFwAIgBUAGUAbQBwAGUAcgBhAHQAZQBcACIALAAgADIAMAAsACAAMAAuADcAOAAsACAAMAAuADEALAAgADAALgAyADYALAAgADAALgAwADAANQAsACAAMAAuADAAMQAsACAAMAAuADAAMgAsACAAMAAuADAAMwAsACAAMAAuADAANAAsACAAMAAuADAAMQA1ACwAIAAwAC4AMAAxADUALAAgADAALAAgADAALAAgADAALgAwADAANAA3ACwAIAAyADAAOwBcAG4AIAAgACAAIAAgACAAIAAgACAAIABcACIAVABlAG0AcABlAHIAYQB0AGUAXAAiACwAIAAyADEALAAgADAALgA3ADgALAAgADAALgAxACwAIAAwAC4AMgA5ACwAIAAwAC4AMAAwADUALAAgADAALgAwADEALAAgADAALgAwADIALAAgADAALgAwADMALAAgADAALgAwADQALAAgADAALgAwADEANQAsACAAMAAuADAAMQA1ACwAIAAwACwAIAAwACwAIAAwAC4AMAAwADQANwAsACAAMgAxADsAXABuACAAIAAgACAAIAAgACAAIAAgACAAXAAiAFQAZQBtAHAAZQByAGEAdABlAFwAIgAsACAAMgAyACwAIAAwAC4ANwA4ACwAIAAwAC4AMQAsACAAMAAuADMAMQAsACAAMAAuADAAMAA1ACwAIAAwAC4AMAAxACwAIAAwAC4AMAAyACwAIAAwAC4AMAAzACwAIAAwAC4AMAA0ACwAIAAwAC4AMAAxADUALAAgADAALgAwADEANQAsACAAMAAsACAAMAAsACAAMAAuADAAMAA0ADcALAAgADIAMgA7AFwAbgAgACAAIAAgACAAIAAgACAAIAAgAFwAIgBUAGUAbQBwAGUAcgBhAHQAZQBcACIALAAgADIAMwAsACAAMAAuADcAOQAsACAAMAAuADEALAAgADAALgAzADQALAAgADAALgAwADAANQAsACAAMAAuADAAMQAsACAAMAAuADAAMgAsACAAMAAuADAAMwAsACAAMAAuADAANAAsACAAMAAuADAAMQA1ACwAIAAwAC4AMAAxADUALAAgADAALAAgADAALAAgADAALgAwADAANAA3ACwAIAAyADMAOwBcAG4AIAAgACAAIAAgACAAIAAgACAAIABcACIAVABlAG0AcABlAHIAYQB0AGUAXAAiACwAIAAyADQALAAgADAALgA3ADkALAAgADAALgAxACwAIAAwAC4AMwA3ACwAIAAwAC4AMAAwADUALAAgADAALgAwADEALAAgADAALgAwADIALAAgADAALgAwADMALAAgADAALgAwADQALAAgADAALgAwADEANQAsACAAMAAuADAAMQA1ACwAIAAwACwAIAAwACwAIAAwAC4AMAAwADQANwAsACAAMgA0ADsAXABuACAAIAAgACAAIAAgACAAIAAgACAAXAAiAFQAZQBtAHAAZQByAGEAdABlAFwAIgAsACAAMgA1ACwAIAAwAC4ANwA5ACwAIAAwAC4AMQAsACAAMAAuADQAMQAsACAAMAAuADAAMAA1ACwAIAAwAC4AMAAxACwAIAAwAC4AMAAyACwAIAAwAC4AMAAzACwAIAAwAC4AMAA0ACwAIAAwAC4AMAAxADUALAAgADAALgAwADEANQAsACAAMAAsACAAMAAsACAAMAAuADAAMAA0ADcALAAgADIANQA7AFwAbgAgACAAIAAgACAAIAAgACAAIAAgAFwAIgBXAGEAcgBtAFwAIgAsACAAMgA2ACwAIAAwAC4ANwA5ACwAIAAwAC4AMQAsACAAMAAuADQANAAsACAAMAAuADAAMQAsACAAMAAuADAAMQA1ACwAIAAwAC4AMAAyACwAIAAwAC4AMAAzACwAIAAwAC4AMAA0ACwAIAAwAC4AMAAxADUALAAgADAALgAwADEANQAsACAAMAAsACAAMAAsACAAMAAuADAAMAA0ADcALAAgADIANgA7AFwAbgAgACAAIAAgACAAIAAgACAAIAAgAFwAIgBXAGEAcgBtAFwAIgAsACAAMgA3ACwAIAAwAC4AOAAsACAAMAAuADEALAAgADAALgA0ADgALAAgADAALgAwADEALAAgADAALgAwADEANQAsACAAMAAuADAAMgAsACAAMAAuADAAMwAsACAAMAAuADAANAAsACAAMAAuADAAMQA1ACwAIAAwAC4AMAAxADUALAAgADAALAAgADAALAAgADAALgAwADAANAA3ACwAIAAyADcAOwBcAG4AIAAgACAAIAAgACAAIAAgACAAIABcACIAVwBhAHIAbQBcACIALAAgAFwAIgBlIjIAOABcACIALAAgADAALgA4ACwAIAAwAC4AMQAsACAAMAAuADUALAAgADAALgAwADEALAAgADAALgAwADEANQAsACAAMAAuADAAMgAsACAAMAAuADAAMwAsACAAMAAuADAANAAsACAAMAAuADAAMQA1ACwAIAAwAC4AMAAxADUALAAgADAALAAgADAALAAgADAALgAwADAANAA3ACwAIAAyADgAOwBcAG4AIAAgACAAIAAgACAAIAAgACAAIABcACIAXAAiACwAIABcACIAXAAiACwAIABcACIAQQBuAGEAZQByAG8AYgBpAGMAIABsAGEAZwBvAG8AbgBcACIALAAgAFwAIgBEAGkAZwBlAHMAdABlAHIAIAAvACAAYwBvAHYAZQByAGUAZAAgAGwAYQBnAG8AbwBuAHMAXAAiACwAIABcACIATABpAHEAdQBpAGQAIABzAHkAcwB0AGUAbQBzAFwAIgAsACAAXAAiAEQAYQBpAGwAeQAgAHMAcAByAGUAYQBkAFwAIgAsACAAXAAiAEMAbwBtAHAAbwBzAHQAaQBuAGcAIAAoAHAAYQBzAHMAaQB2AGUAIAB3AGkAbgBkAHIAbwB3ACkAXAAiACwAIABcACIAUwBvAGwAaQBkACAAcwB0AG8AcgBhAGcAZQBcACIALAAgAFwAIgBQAGkAdAAgAHMAdABvAHIAYQBnAGUAXAAiACwAIABcACIARABlAGUAcAAgAGwAaQB0AHQAZQByAFwAIgAsACAAXAAiAFAAbwB1AGwAdAByAHkAIABtAGEAbgB1AHIAZQAgAHcAaQB0AGgAIABiAGUAZABkAGkAbgBnAFwAIgAsACAAXAAiAFAAbwB1AGwAdAByAHkAIABtAGEAbgB1AHIAZQAgAHcAaQB0AGgAbwB1AHQAIABiAGUAZABkAGkAbgBnAFwAIgAsACAAXAAiAEQAaQByAGUAYwB0ACAAcAByAG8AYwBlAHMAcwBpAG4AZwBcACIALAAgAFwAIgBEAGkAcgBlAGMAdAAgAGEAcABwAGwAaQBjAGEAdABpAG8AbgBcACIALAAgAFwAIgBQAGEAcwB0AHUAcgBlACAAcgBhAG4AZwBlACAAYQBuAGQAIABwAGEAZABkAG8AYwBrAFwAIgAsACAAXAAiAE0AQQBUACAAcgBhAHcAXAAiACAAXABuACAAIAAgACAAIAAgACAAIAB9ACwAIAByACwAIABjACkAXABuACAAIAAgACAAIAAgACkAXABuACAAIAAgACAAKQBcAG4AIAAgACkAOwBcAG4AXABuAEMAbwBtAG0AbwBuAF8AUwBvAHUAcgBjAGUARABhAHQAYQBfAE0AQwBGAFQAZQBtAHAAZQByAGEAdAB1AHIAZQBaAG8AbgBlAF8AVgBhAHIAaQBhAHQAaQBvAG4AXABuACAAIAA9AEwAQQBNAEIARABBACgAXAAiAFYAQQBSAEkAQQBUAEkATwBOACAARgBSAE8ATQAgAFMATwBVAFIAQwBFADoAIABBAGQAZABlAGQAIAByAG8AdwAgAG8AZgAgAE4ASQBSACAATQBNAEEAIABkAGUAZgBpAG4AaQB0AGkAbwBuAHMAIAB0AG8AIABhAGkAZAAgAGwAbwBvAGsAdQBwAC4AIABEAHUAcABsAGkAYwBhAHQAZQBkACAAXAB1ADAAMAAyADcAUABvAHUAbAB0AHIAeQAgAHcAaQB0AGgAIABhAG4AZAAgAHcAaQB0AGgAbwB1AHQAIABsAGkAdAB0AGUAcgBcAHUAMAAwADIANwAgAGMAbwBsAHUAbQBuACAAdwBpAHQAaAAgAHMAZQBwAGEAcgBhAHQAZQAgAE4ASQBSACAAZABlAGYAaQBuAGkAdABpAG8AbgBzACAAdABvACAAYQBpAGQAIABsAG8AbwBrAHUAcAAuACAAQQBkAGQAZQBkACAAXAB1ADAAMAAyADcATQBBAFQAIAByAGEAdwBcAHUAMAAwADIANwAgAGMAbwBsAHUAbQBuACAAdABvACAAYQBsAGwAbwB3ACAAbABvAG8AawB1AHAAIABvAGYAIABuAHUAbQBiAGUAcgBzAC4AXAAiACkAOwBcAG4AXABuAFwAbgBcAG4ALwAqACAAXABuAC0ALQAtAC0ALQAtAC0ALQAtAC0ALQAtAC0ALQAtAC0ALQAtAC0ALQAtAC0ALQAtAC0ALQAtAC0ALQAtAC0ALQAtAC0ALQAtAC0ALQBcAG4AQwBvAG0AbQBvAG4AXwBTAG8AdQByAGMAZQBEAGEAdABhAF8ARQBGAE8AcgBnAGEAbgBpAGMARgBlAHIAdABpAGwAaQBzAGUAcgBBAG4AZABDAHIAbwBwAFIAZQBzAGkAZAB1AGUAcwBcAG4ALQAtAC0ALQAtAC0ALQAtAC0ALQAtAC0ALQAtAC0ALQAtAC0ALQAtAC0ALQAtAC0ALQAtAC0ALQAtAC0ALQAtAC0ALQAtAC0ALQAtAFwAbgAqAC8AXABuAFwAbgBDAG8AbQBtAG8AbgBfAFMAbwB1AHIAYwBlAEQAYQB0AGEAXwBFAEYATwByAGcAYQBuAGkAYwBGAGUAcgB0AGkAbABpAHMAZQByAEEAbgBkAEMAcgBvAHAAUgBlAHMAaQBkAHUAZQBzAF8AVABpAHQAbABlAFwAbgAgACAAPQBMAEEATQBCAEQAQQAoAFwAIgBFAG0AaQBzAHMAaQBvAG4AIABmAGEAYwB0AG8AcgAgAGYAbwByACAAbwByAGcAYQBuAGkAYwAgAGYAZQByAHQAaQBsAGkAcwBlAHIAIABhAG4AZAAgAGMAcgBvAHAAIAByAGUAcwBpAGQAdQBlAHMAIAByAGUAdAB1AHIAbgBlAGQAIAB0AG8AIAB0AGgAZQAgAHMAbwBpAGwAXAAiACkAOwBcAG4AXABuAEMAbwBtAG0AbwBuAF8AUwBvAHUAcgBjAGUARABhAHQAYQBfAEUARgBPAHIAZwBhAG4AaQBjAEYAZQByAHQAaQBsAGkAcwBlAHIAQQBuAGQAQwByAG8AcABSAGUAcwBpAGQAdQBlAHMAXwBWAGEAcgBpAGEAYgBsAGUAXABuACAAIAA9AEwAQQBNAEIARABBACgAXAAiAEUARgBOAGkAIABcAHUAMAAwADIANgAgAEUARgBOADIATwBpAFwAIgApADsAXABuAFwAbgBDAG8AbQBtAG8AbgBfAFMAbwB1AHIAYwBlAEQAYQB0AGEAXwBFAEYATwByAGcAYQBuAGkAYwBGAGUAcgB0AGkAbABpAHMAZQByAEEAbgBkAEMAcgBvAHAAUgBlAHMAaQBkAHUAZQBzAF8AVQBuAGkAdABcAG4AIAAgAD0ATABBAE0AQgBEAEEAKABcACIAawBnACAATgAyAE8AIAAtACAATgAgAC8AIABrAGcAIABOAFwAIgApADsAXABuAFwAbgBDAG8AbQBtAG8AbgBfAFMAbwB1AHIAYwBlAEQAYQB0AGEAXwBFAEYATwByAGcAYQBuAGkAYwBGAGUAcgB0AGkAbABpAHMAZQByAEEAbgBkAEMAcgBvAHAAUgBlAHMAaQBkAHUAZQBzAF8AUwBvAHUAcgBjAGUAXABuACAAIAA9AEwAQQBNAEIARABBACgAXAAiAFYARQBFAFIARwAgADIAMAAyADYAOgAgAFQAYQBiAGwAZQAgAEEALgAyAC4AMQAuADQAXAAiACkAOwBcAG4AXABuAEMAbwBtAG0AbwBuAF8AUwBvAHUAcgBjAGUARABhAHQAYQBfAEUARgBPAHIAZwBhAG4AaQBjAEYAZQByAHQAaQBsAGkAcwBlAHIAQQBuAGQAQwByAG8AcABSAGUAcwBpAGQAdQBlAHMAXwBOAEkAUgBSAGUAZgBlAHIAZQBuAGMAZQBcAG4AIAAgAD0ATABBAE0AQgBEAEEAKABcACIAXAAiACkAOwBcAG4AXABuAEMAbwBtAG0AbwBuAF8AUwBvAHUAcgBjAGUARABhAHQAYQBfAEUARgBPAHIAZwBhAG4AaQBjAEYAZQByAHQAaQBsAGkAcwBlAHIAQQBuAGQAQwByAG8AcABSAGUAcwBpAGQAdQBlAHM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E4AaQAgAFwAdQAwADAAMgA2ACAARQBGAE4AMgBPAFwAIgA7AFwAbgAgACAAIAAgACAAIAAgACAAIAAgAFwAIgBXAGUAdAAgAGMAbABpAG0AYQB0AGUAIAB6AG8AbgBlAFwAIgAsACAAMAAuADAAMAA2ADsAXABuACAAIAAgACAAIAAgACAAIAAgACAAXAAiAEQAcgB5ACAAYwBsAGkAbQBhAHQAZQAgAHoAbwBuAGUAXAAiACwAIAAwAC4AMAAwADUAXABuACAAIAAgACAAIAAgACAAIAB9ACwAIAByACwAIABjACkAXABuACAAIAAgACAAIAAgACkAXABuACAAIAAgACAAKQBcAG4AIAAgACkAOwBcAG4AXABuAEMAbwBtAG0AbwBuAF8AUwBvAHUAcgBjAGUARABhAHQAYQBfAEUARgBPAHIAZwBhAG4AaQBjAEYAZQByAHQAaQBsAGkAcwBlAHIAQQBuAGQAQwByAG8AcABSAGUAcwBpAGQAdQBlAHMAXwBWAGEAcgBpAGEAdABpAG8AbgBcAG4AIAAgAD0ATABBAE0AQgBEAEEAKABcACIAXAAiACkAOwBcAG4AXABuAFwAbgBcAG4AXABuAFwAbgBcAG4AXABuAFwAbgBcAG4AXABuAFwAbgBcAG4AXABuAFwAbgBcAG4AXABuACIAfQAsAHsAIgBwAGEAdABoACIAOgAiAC8AcAByAG8AagBlAGMAdABzAC8ATQBNAFMAXwBQAG8AdQBsAHQAcgB5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gAE0AZQB0AGgAbwBkACAAMQAgAC0AIABNAGEAbgB1AHIAZQAgAE0AZQB0AGgAYQBuAGU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QBfAF8AMQBfAFQAbwB0AGEAbABBAG4AbgB1AGEAbABNAGUAdABoAGEAbgBlAEUAbQBpAHMAcwBpAG8AbgBzAFwAbgBUAG8AdABhAGwAIABhAG4AbgB1AGEAbAAgAG0AZQB0AGgAYQBuAGUAIABlAG0AaQBzAHMAaQBvAG4AcwAgAGYAcgBvAG0AIABtAGEAbgB1AHIAZQAgAG0AYQBuAGEAZwBlAG0AZQBuAHQAXABuAEUAXwBDAEgANABcAG4AdAAgAEMASAA0AFwAbgBFAF8AewBDAEgANAB9AD0AXABcAHMAdQBtAF8AewBqAH0AXABcAHMAdQBtAF8AewBrAH0AXABcAHMAdQBtAF8AewBtAH0AXABcAHMAdQBtAF8AewBUAH0AKABEAF8AewBqAGsAfQBcAFwAdABpAG0AZQBzACAATQBfAHsAagBrAG0AVAB9AFwAXAB0AGkAbQBlAHMAIABOAF8AewBqAGsAfQApAFwAXAB0AGkAbQBlAHMAMQAwAF4AewAtADMAfQBcAG4ARABfAGoAawAgAD0AIABkAHUAcgBhAHQAaQBvAG4AIABvAGYAIABzAHQAYQB5ACAAbwBmACAAZQBhAGMAaAAgAGMAbABhAHMAcwAgAGEAbgBkACAAcwB1AGIAYwBsAGEAcwBzACAAbwBmACAAcABvAHUAbAB0AHIAeQAgADoAIABkAGEAeQBzAFwAbgBNAF8AagBrAG0AVAAgAD0AIABtAGUAdABoAGEAbgBlACAAcAByAG8AZAB1AGMAdABpAG8AbgAgAGYAcgBvAG0AIABtAGEAbgB1AHIAZQAgAHAAZQByACAAYwBsAGEAcwBzACwAIABzAHUAYgBjAGwAYQBzAHMALAAgAE0ATQBTACwAIABhAG4AZAAgAHQAcgBlAGEAdABtAGUAbgB0ACAAcwB0AGEAZwBlACAAOgAgAGsAZwAgAEMASAA0AC8AYgBpAHIAZAAvAGQAYQB5AFwAbgBOAF8AagBrACAAPQAgAG4AdQBtAGIAZQByAHMAIABvAGYAIABwAG8AdQBsAHQAcgB5ACAAaQBuACAAZQBhAGMAaAAgAGMAbABhAHMAcwAgAGEAbgBkACAAcwB1AGIAYwBsAGEAcwBzACAAOgAgAGIAaQByAGQAXABuAC0ALQAtAC0ALQAtAC0ALQAtAC0ALQAtAC0ALQAtAC0ALQAtAC0ALQAtAC0ALQAtAC0ALQAtAC0ALQAtAC0ALQAtAC0ALQAtAC0ALQBcAG4AKgAvAFwAbgBcAG4AVgBFAEUAUgBHAF8ANABfADYAXwAxAF8AMQBfAF8AMQBfAFQAbwB0AGEAbABBAG4AbgB1AGEAbABNAGUAdABoAGEAbgBlAEUAbQBpAHMAcwBpAG8AbgBzAFwAbgAgACAAPQBMAEEATQBCAEQAQQAoAFwAbgAgACAAIAAgAEQAXwBqAGsALAAgAE0AXwBqAGsAbQBUACwAIABOAF8AagBrACwAXABuACAAIAAgACAAKABEAF8AagBrACAAKgAgAE0AXwBqAGsAbQBUACAAKgAgAE4AXwBqAGsAKQAgACoAIAAxADAAIABeACAALQAzAFwAbgAgACAAKQA7AFwAbgBcAG4AVgBFAEUAUgBHAF8ANABfADYAXwAxAF8AMQBfAF8AMQBfAFQAbwB0AGEAbABBAG4AbgB1AGEAbABNAGUAdABoAGEAbgBlAEUAbQBpAHMAcwBpAG8AbgBzAF8AVABpAHQAbABlAFwAbgAgACAAPQBMAEEATQBCAEQAQQAoAFwAIgBUAG8AdABhAGwAIABhAG4AbgB1AGEAbAAgAG0AZQB0AGgAYQBuAGUAIABlAG0AaQBzAHMAaQBvAG4AcwAgAGYAcgBvAG0AIABtAGEAbgB1AHIAZQAgAG0AYQBuAGEAZwBlAG0AZQBuAHQAXAAiACkAOwBcAG4AXABuAFYARQBFAFIARwBfADQAXwA2AF8AMQBfADEAXwBfADEAXwBUAG8AdABhAGwAQQBuAG4AdQBhAGwATQBlAHQAaABhAG4AZQBFAG0AaQBzAHMAaQBvAG4AcwBfAFYAYQByAGkAYQBiAGwAZQBcAG4AIAAgAD0ATABBAE0AQgBEAEEAKABcACIARQBfAEMASAA0AFwAIgApADsAXABuAFwAbgBWAEUARQBSAEcAXwA0AF8ANgBfADEAXwAxAF8AXwAxAF8AVABvAHQAYQBsAEEAbgBuAHUAYQBsAE0AZQB0AGgAYQBuAGUARQBtAGkAcwBzAGkAbwBuAHMAXwBVAG4AaQB0AFwAbgAgACAAPQBMAEEATQBCAEQAQQAoAFwAIgB0ACAAQwBIADQAXAAiACkAOwBcAG4AXABuAFYARQBFAFIARwBfADQAXwA2AF8AMQBfADEAXwBfADEAXwBUAG8AdABhAGwAQQBuAG4AdQBhAGwATQBlAHQAaABhAG4AZQBFAG0AaQBzAHMAaQBvAG4AcwBfAFMAbwB1AHIAYwBlAFwAbgAgACAAPQBMAEEATQBCAEQAQQAoAFwAIgBWAEUARQBSAEcAIAAyADAAMgA2ADoAIAA0AC4ANAAuADEALgAxACwAIABFAHEAdQBhAHQAaQBvAG4AIAAoADEAKQBcACIAKQA7AFwAbgBcAG4AVgBFAEUAUgBHAF8ANABfADYAXwAxAF8AMQBfAF8AMQBfAFQAbwB0AGEAbABBAG4AbgB1AGEAbABNAGUAdABoAGEAbgBlAEUAbQBpAHMAcwBpAG8AbgBzAF8ATgBJAFIAUgBlAGYAZQByAGUAbgBjAGUAXABuACAAIAA9AEwAQQBNAEIARABBACgAXAAiAFwAIgApADsAXABuAFwAbgBWAEUARQBSAEcAXwA0AF8ANgBfADEAXwAxAF8AXwAxAF8AVABvAHQAYQBsAEEAbgBuAHUAYQBsAE0AZQB0AGgAYQBuAGUARQBtAGkAcwBzAGkAbwBuAHMAXwBMAGEAdABlAHgARQBxAHUAYQB0AGkAbwBuAFwAbgAgACAAPQBMAEEATQBCAEQAQQAoAFwAIgBFAF8AewBDAEgANAB9AD0AXABcAHMAdQBtAF8AewBqAH0AXABcAHMAdQBtAF8AewBrAH0AXABcAHMAdQBtAF8AewBtAH0AXABcAHMAdQBtAF8AewBUAH0AKABEAF8AewBqAGsAfQBcAFwAdABpAG0AZQBzACAATQBfAHsAagBrAG0AVAB9AFwAXAB0AGkAbQBlAHMAIABOAF8AewBqAGsAfQApAFwAXAB0AGkAbQBlAHMAMQAwAF4AewAtADMAfQBcACIAKQA7AFwAbgBcAG4AVgBFAEUAUgBHAF8ANABfADYAXwAxAF8AMQBfAF8AMQBfAFQAbwB0AGEAbABBAG4AbgB1AGEAbABNAGUAdABoAGEAbgBlAEUAbQBpAHMAcwBpAG8AbgBzAF8AQQByAGcAdQBtAGUAbgB0AHMAXABuACAAIAA9AEwAQQBNAEIARABBACgAXABuACAAIAAgACAATQBBAEsARQBBAFIAUgBBAFkAKAAzACwAIAA0ACwAXABuACAAIAAgACAAIAAgAEwAQQBNAEIARABBACgAcgAsAGMALABcAG4AIAAgACAAIAAgACAAIAAgAEkATgBEAEUAWAAoAHsAXABuACAAIAAgACAAIAAgACAAIAAgACAAXAAiAEQAXwBqAGsAXAAiACwAXAAiAGQAdQByAGEAdABpAG8AbgAgAG8AZgAgAHMAdABhAHkAIABvAGYAIABlAGEAYwBoACAAYwBsAGEAcwBzACAAYQBuAGQAIABzAHUAYgBjAGwAYQBzAHMAIABvAGYAIABwAG8AdQBsAHQAcgB5AFwAIgAsACAAXAAiAGQAYQB5AHMAXAAiACwAIABcACIASQBuAHAAdQB0AFwAIgA7AFwAbgAgACAAIAAgACAAIAAgACAAIAAgAFwAIgBNAF8AagBrAG0AVABcACIALABcACIAbQBlAHQAaABhAG4AZQAgAHAAcgBvAGQAdQBjAHQAaQBvAG4AIABmAHIAbwBtACAAbQBhAG4AdQByAGUAIABwAGUAcgAgAGMAbABhAHMAcwAsACAAcwB1AGIAYwBsAGEAcwBzACwAIABNAE0AUwAsACAAYQBuAGQAIAB0AHIAZQBhAHQAbQBlAG4AdAAgAHMAdABhAGcAZQBcACIALAAgAFwAIgBrAGcAIABDAEgANAAvAGIAaQByAGQALwBkAGEAeQBcACIALAAgAFwAIgBDAGEAbABjAHUAbABhAHQAZQBkACAAZgByAG8AbQAgADQALgA2AC4AMQAuADEAIAAoADIAKQAoADMAKQBcACIAOwBcAG4AIAAgACAAIAAgACAAIAAgACAAIABcACIATgBfAGoAawBcACIALABcACIAbgB1AG0AYgBlAHIAcwAgAG8AZgAgAHAAbwB1AGwAdAByAHkAIABpAG4AIABlAGEAYwBoACAAYwBsAGEAcwBzACAAYQBuAGQAIABzAHUAYgBjAGwAYQBzAHMAXAAiACwAIABcACIAYgBpAHIAZABz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xAF8AXwAyAF8AUwB0AGEAZwBlADEATQBlAHQAaABhAG4AZQBQAHIAbwBkAHUAYwB0AGkAbwBuAFwAbgBQAHIAbwBkAHUAYwB0AGkAbwBuACAAbwBmACAAbQBlAHQAaABhAG4AZQAgAGkAbgAgAHQAcgBlAGEAdABtAGUAbgB0ACAAcwB0AGEAZwBlACAAMQAgAE0ATQBTAFwAbgBNAF8AagBrAG0AVAAxAFwAbgBrAGcAIABDAEgANAAvAGIAaQByAGQALwBkAGEAeQBcAG4ATQBfAHsAagBrAG0AVAA9ADEAfQA9AFYAUwBfAHsAagBrAH0AXABcAHQAaQBtAGUAcwAgAEIATwBfAHsAagB9AFwAXAB0AGkAbQBlAHMAIABNAE0AUwBfAHsAagBtAFQAPQAxAH0AXABcAHQAaQBtAGUAcwAgAE0AQwBGAF8AewBpAG0AfQBcAFwAdABpAG0AZQBzACAAXABcAHIAaABvAFwAbgBWAFMAXwBqAGsAIAA9ACAAdgBvAGwAYQB0AGkAbABlACAAcwBvAGwAaQBkACAAcAByAG8AZAB1AGMAdABpAG8AbgAgAHAAbwB1AGwAdAByAHkAIABjAGwAYQBzAHMAZQBzACAAOgAgAGsAZwAgAFYAUwAvAGIAaQByAGQALwBkAGEAeQBcAG4AQgBPAF8AagAgAD0AIABlAG0AaQBzAHMAaQBvAG4AcwAgAHAAbwB0AGUAbgB0AGkAYQBsACAAcABlAHIAIABjAGwAYQBzAHMAIAA6ACAAbQAzACAAQwBIADQALwBrAGcAIABWAFMAXABuAE0ATQBTAF8AagBtAFQAMQAgAD0AIABmAHIAYQBjAHQAaQBvAG4AIABvAGYAIABtAGEAbgB1AHIAZQAgAGkAbgAgAGUAYQBjAGgAIABwAHIAaQBt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yAF8AUwB0AGEAZwBlADEATQBlAHQAaABhAG4AZQBQAHIAbwBkAHUAYwB0AGkAbwBuAFwAbgAgACAAPQBMAEEATQBCAEQAQQAoAFwAbgAgACAAIAAgAFYAUwBfAGoAawAsACAAQgBPAF8AagAsACAATQBNAFMAXwBqAG0AVAAxACwAIABNAEMARgBfAGkAbQAsACAAcgBoAG8ALABcAG4AIAAgACAAIABWAFMAXwBqAGsAIAAqACAAQgBPAF8AagAgACoAIABNAE0AUwBfAGoAbQBUADEAIAAqACAATQBDAEYAXwBpAG0AIAAqACAAcgBoAG8AXABuACAAIAApADsAXABuAFwAbgBWAEUARQBSAEcAXwA0AF8ANgBfADEAXwAxAF8AXwAyAF8AUwB0AGEAZwBlADEATQBlAHQAaABhAG4AZQBQAHIAbwBkAHUAYwB0AGkAbwBuAF8AVABpAHQAbABlAFwAbgAgACAAPQBMAEEATQBCAEQAQQAoAFwAIgBQAHIAbwBkAHUAYwB0AGkAbwBuACAAbwBmACAAbQBlAHQAaABhAG4AZQAgAGkAbgAgAHQAcgBlAGEAdABtAGUAbgB0ACAAcwB0AGEAZwBlACAAMQAgAE0ATQBTAFwAIgApADsAXABuAFwAbgBWAEUARQBSAEcAXwA0AF8ANgBfADEAXwAxAF8AXwAyAF8AUwB0AGEAZwBlADEATQBlAHQAaABhAG4AZQBQAHIAbwBkAHUAYwB0AGkAbwBuAF8AVgBhAHIAaQBhAGIAbABlAFwAbgAgACAAPQBMAEEATQBCAEQAQQAoAFwAIgBNAF8AagBrAG0AVAAxAFwAIgApADsAXABuAFwAbgBWAEUARQBSAEcAXwA0AF8ANgBfADEAXwAxAF8AXwAyAF8AUwB0AGEAZwBlADEATQBlAHQAaABhAG4AZQBQAHIAbwBkAHUAYwB0AGkAbwBuAF8AVQBuAGkAdABcAG4AIAAgAD0ATABBAE0AQgBEAEEAKABcACIAawBnACAAQwBIADQALwBiAGkAcgBkAC8AZABhAHkAXAAiACkAOwBcAG4AXABuAFYARQBFAFIARwBfADQAXwA2AF8AMQBfADEAXwBfADIAXwBTAHQAYQBnAGUAMQBNAGUAdABoAGEAbgBlAFAAcgBvAGQAdQBjAHQAaQBvAG4AXwBTAG8AdQByAGMAZQBcAG4AIAAgAD0ATABBAE0AQgBEAEEAKABcACIAVgBFAEUAUgBHACAAMgAwADIANgA6ACAANAAuADQALgAxAC4AMQAsACAARQBxAHUAYQB0AGkAbwBuACAAKAAyACkAXAAiACkAOwBcAG4AXABuAFYARQBFAFIARwBfADQAXwA2AF8AMQBfADEAXwBfADIAXwBTAHQAYQBnAGUAMQBNAGUAdABoAGEAbgBlAFAAcgBvAGQAdQBjAHQAaQBvAG4AXwBOAEkAUgBSAGUAZgBlAHIAZQBuAGMAZQBcAG4AIAAgAD0ATABBAE0AQgBEAEEAKABcACIAXAAiACkAOwBcAG4AXABuAFYARQBFAFIARwBfADQAXwA2AF8AMQBfADEAXwBfADIAXwBTAHQAYQBnAGUAMQBNAGUAdABoAGEAbgBlAFAAcgBvAGQAdQBjAHQAaQBvAG4AXwBMAGEAdABlAHgARQBxAHUAYQB0AGkAbwBuAFwAbgAgACAAPQBMAEEATQBCAEQAQQAoAFwAIgBNAF8AewBqAGsAbQBUAD0AMQB9AD0AVgBTAF8AewBqAGsAfQBcAFwAdABpAG0AZQBzACAAQgBPAF8AewBqAH0AXABcAHQAaQBtAGUAcwAgAE0ATQBTAF8AewBqAG0AVAA9ADEAfQBcAFwAdABpAG0AZQBzACAATQBDAEYAXwB7AGkAbQB9AFwAXAB0AGkAbQBlAHMAIABcAFwAcgBoAG8AXAAiACkAOwBcAG4AXABuAFYARQBFAFIARwBfADQAXwA2AF8AMQBfADEAXwBfADIAXwBTAHQAYQBnAGUAMQBNAGUAdABoAGEAbgBlAFAAcgBvAGQAdQBjAHQAaQBvAG4AXwBBAHIAZwB1AG0AZQBuAHQAcwBcAG4AIAAgAD0ATABBAE0AQgBEAEEAKABcAG4AIAAgACAAIABNAEEASwBFAEEAUgBSAEEAWQAoADY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CAE8AXwBqAFwAIgAsAFwAIgBlAG0AaQBzAHMAaQBvAG4AcwAgAHAAbwB0AGUAbgB0AGkAYQBsACAAcABlAHIAIABjAGwAYQBzAHMAXAAiACwAIABcACIAbQAzACAAQwBIADQALwBrAGcAIABWAFMAXAAiACwAIABcACIAQwBvAG4AcwB0AGEAbgB0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IAXwBTAHQAYQBnAGUAMQ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fAGoAawBcACIALABcACIAdgBvAGwAYQB0AGkAbABlACAAcwBvAGwAaQBkACAAcAByAG8AZAB1AGMAdABpAG8AbgAgAHAAbwB1AGwAdAByAHkAIABjAGwAYQBzAHMAZQBzAFwAIgAsACAAXAAiAGsAZwAgAFYAUwAvAGIAaQByAGQALwBkAGEAeQBcACIALAAgAFwAIgBDAGEAbABjAHUAbABhAHQAZQBkACAAZgByAG8AbQAgADQALgA2AC4AMQAuADEAIAAoADUAKQBcACIAOwBcAG4AIAAgACAAIAAgACAAIAAgACAAIABcACIAQgBPAF8AagBcACIALABcACIAZQBtAGkAcwBzAGkAbwBuAHMAIABwAG8AdABlAG4AdABpAGEAbAAgAHAAZQByACAAYwBsAGEAcwBzAFwAIgAsACAAXAAiAG0AMwAgAEMASAA0AC8AawBnACAAVgBTAFwAIgAsACAAXAAiAEMAbwBuAHMAdABhAG4AdABcACIAOwBcAG4AIAAgACAAIAAgACAAIAAgACAAIABcACIATQBNAFMAXwBqAG0AVAAxAFwAIgAsAFwAIgBmAHIAYQBjAHQAaQBvAG4AIABvAGYAIABtAGEAbgB1AHIAZQAgAGkAbgAgAGUAYQBjAGgAIABwAHIAaQBtAGEAcgB5ACAAcwB5AHMAdABlAG0AXAAiACwAIABcACIAZgByAGEAYwB0AGkAbwBuAFwAIgAsACAAXAAiAEkAbgBwAHUAdABcACIAOwBcAG4AIAAgACAAIAAgACAAIAAgACAAIABcACIATQBDAEYAXwBpAG0AXAAiACwAXAAiAG0AZQB0AGgAYQBuAGUAIABjAG8AbgB2AGUAcgBzAGkAbwBuACAAZgBhAGMAdABvAHIAIABmAG8AcgAgAHQAZQBtAHAAZQByAGEAdAB1AHIAZQAgAHoAbwBuAGUAIABhAG4AZAAgAE0ATQBTAFwAIgAsACAAXAAiAGYAcgBhAGMAdABpAG8AbgBcACIALAAgAFwAIgBDAG8AbgBzAHQAYQBuAHQAXAAiADsAXABuACAAIAAgACAAIAAgACAAIAAgACAAXAAiAHIAaABvAFwAIgAsAFwAIgBkAGUAbgBzAGkAdAB5ACAAbwBmACAAbQBlAHQAaABhAG4AZQBcACIALAAgAFwAIgBrAGcALwBtADMAXAAiACwAIABcACIAQwBvAG4AcwB0AGEAbgB0AFwAIgA7AFwAbgAgACAAIAAgACAAIAAgACAAIAAgAFwAIgBpAFwAIgAsACAAXAAiAG0AZQBhAG4AIABhAG4AbgB1AGEAbAAgAHQAZQBtAHAAZQByAGEAdAB1AHIAZQBcACIALAAgAFwAIgCwAEMAXAAiACwAIABcACIASQBuAHAAdQB0AFwAIgBcAG4AIAAgACAAIAAgACAAIAAgAH0ALAAgAHIALAAgAGMAKQBcAG4AIAAgACAAIAAgACAAKQBcAG4AIAAgACAAIAApAFwAbgAgACAAKQA7AFwAbgBcAG4AVgBFAEUAUgBHAF8ANABfADYAXwAxAF8AMQBfAF8AMgBfAFMAdABhAGcAZQAxAE0AZQB0AGgAYQBuAGUAUAByAG8AZAB1AGMAdABpAG8AbgBfAFYAYQByAGkAYQB0AGkAbwBuAFwAbgAgACAAIAA9AEwAQQBNAEIARABBACgAXABuACAAIAAgACAATQBBAEsARQBBAFIAUgBBAFkAKAAzACwAIAAxACwAXABuACAAIAAgACAAIAAgAEwAQQBNAEIARABBACgAcgAsAGMALABcAG4AIAAgACAAIAAgACAAIAAgAEkATgBEAEUAWAAoAHsAXABuACAAIAAgACAAIAAgACAAIAAgACAAXAAiAFYAQQBSAEkAQQBUAEkATwBOACAATwBOACAAUwBPAFUAUgBDAEUAOgBcACIAOwBcAG4AIAAgACAAIAAgACAAIAAgACAAIABcACIAVQBzAGUAZAAgAG0AZQBhAG4AIABhAG4AbgB1AGEAbAAgAHQAZQBtAHAAZQByAGEAdAB1AHIAZQAgAGkAbgBzAHQAZQBhAGQAIABvAGYAIAB0AGUAbQBwAGUAcgBhAHQAdQByAGUAIAB6AG8AbgBlACAAdABvACAAZABlAHQAZQByAG0AaQBuAGUAIABNAEMARgAgAGEAcwAgAE0AQwBGACAAdgBhAGwAdQBlAHMAIABhAHIAZQAgAHMAcABlAGMAaQBmAGkAYwAgAHQAbwAgAHQAZQBtAHAAZQByAGEAdAB1AHIAZQBcACIAOwBcAG4AIAAgACAAIAAgACAAIAAgACAAIABcACIATQBlAHQAaABvAGQAIAAyADoAIABVAHMAZQBkACAAcwB0AGEAdABlACAAYgBhAHMAZQBkACAATQBDAEYAIAB2AGEAbAB1AGUAcwAgAGYAbwByACAAXAB1ADAAMAAyADcAQgBlAGwAdAAgAG0AYQBuAHUAcgBlACAAcgBlAG0AbwB2AGEAbABcAHUAMAAwADIANwAgAGEAbgBkACAAXAB1ADAAMAAyADcATQBhAG4AdQByAGUAIABzAHQAbwByAGUAZAAgAGkAbgAgAGgAbwB1AHMAZQBcAHUAMAAwADIANwAgAE0ATQBTACAAYQBzACAAbgBvACAAdABlAG0AcABlAHIAYQB0AHUAcgBlACAAdgBhAGwAdQBlAHMAIABlAHgAaQBzAHQAIABpAG4AIABUAGEAYgBsAGUAIABBAC4AMQAuADgALgAx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MAXwBTAHQAYQBnAGUAMgBNAGUAdABoAGEAbgBlAFAAcgBvAGQAdQBjAHQAaQBvAG4AXABuAFAAcgBvAGQAdQBjAHQAaQBvAG4AIABvAGYAIABtAGUAdABoAGEAbgBlACAAaQBuACAAdAByAGUAYQB0AG0AZQBuAHQAIABzAHQAYQBnAGUAIAAyACAATQBNAFMAXABuAE0AXwBqAGsAbQBUADIAXABuAGsAZwAgAEMASAA0AC8AYgBpAHIAZAAvAGQAYQB5AFwAbgBNAF8AewBqAGsAbQBUAD0AMgB9AD0AVgBTAFQAXwB7AGoAawB9AFwAXAB0AGkAbQBlAHMAIABCAE8AXABcAHQAaQBtAGUAcwAgAE0ATQBTAF8AewBqAG0AVAA9ADIAfQBcAFwAdABpAG0AZQBzACAATQBDAEYAXwB7AGkAbQB9AFwAXAB0AGkAbQBlAHMAIABcAFwAcgBoAG8AXABuAFYAUwBUAF8AagBrACAAPQAgAHYAbwBsAGEAdABpAGwAZQAgAHMAbwBsAGkAZABzACAAdAByAGEAbgBzAGYAZQByAHIAZQBkACAAdABvACAAdAByAGUAYQB0AG0AZQBuAHQAIABzAHQAYQBnAGUAIAAyACAATQBNAFMAIAA6ACAAawBnACAAVgBTAC8AYgBpAHIAZAAvAGQAYQB5AFwAbgBCAE8AIAA9ACAAZQBtAGkAcwBzAGkAbwBuAHMAIABwAG8AdABlAG4AdABpAGEAbAAgADoAIABtADMAIABDAEgANAAvAGsAZwAgAFYAUwBcAG4ATQBNAFMAXwBqAG0AVAAyACAAPQAgAGYAcgBhAGMAdABpAG8AbgAgAG8AZgAgAG0AYQBuAHUAcgBlACAAaQBuACAAZQBhAGMAaAAgAHMAZQBjAG8AbgBkAGEAcgB5ACAAcwB5AHMAdABlAG0AIAA6ACAAZgByAGEAYwB0AGkAbwBuAFwAbgBNAEMARgBfAGkAbQAgAD0AIABtAGUAdABoAGEAbgBlACAAYwBvAG4AdgBlAHIAcwBpAG8AbgAgAGYAYQBjAHQAbwByACAAZgBvAHIAIAB0AGUAbQBwAGUAcgBhAHQAdQByAGUAIAB6AG8AbgBlACAAYQBuAGQAIABNAE0AUwAgADoAIABmAHIAYQBjAHQAaQBvAG4AXABuAHIAaABvACAAPQAgAGQAZQBuAHMAaQB0AHkAIABvAGYAIABtAGUAdABoAGEAbgBlACAAOgAgAGsAZwAvAG0AMwBcAG4ALQAtAC0ALQAtAC0ALQAtAC0ALQAtAC0ALQAtAC0ALQAtAC0ALQAtAC0ALQAtAC0ALQAtAC0ALQAtAC0ALQAtAC0ALQAtAC0ALQAtAFwAbgAqAC8AXABuAFwAbgBWAEUARQBSAEcAXwA0AF8ANgBfADEAXwAxAF8AXwAzAF8AUwB0AGEAZwBlADIATQBlAHQAaABhAG4AZQBQAHIAbwBkAHUAYwB0AGkAbwBuAFwAbgAgACAAPQBMAEEATQBCAEQAQQAoAFwAbgAgACAAIAAgAFYAUwBUAF8AagBrACwAIABCAE8ALAAgAE0ATQBTAF8AagBtAFQAMgAsACAATQBDAEYAXwBpAG0ALAAgAHIAaABvACwAXABuACAAIAAgACAAVgBTAFQAXwBqAGsAIAAqACAAQgBPACAAKgAgAE0ATQBTAF8AagBtAFQAMgAgACoAIABNAEMARgBfAGkAbQAgACoAIAByAGgAbwBcAG4AIAAgACkAOwBcAG4AXABuAFYARQBFAFIARwBfADQAXwA2AF8AMQBfADEAXwBfADMAXwBTAHQAYQBnAGUAMgBNAGUAdABoAGEAbgBlAFAAcgBvAGQAdQBjAHQAaQBvAG4AXwBUAGkAdABsAGUAXABuACAAIAA9AEwAQQBNAEIARABBACgAXAAiAFAAcgBvAGQAdQBjAHQAaQBvAG4AIABvAGYAIABtAGUAdABoAGEAbgBlACAAaQBuACAAdAByAGUAYQB0AG0AZQBuAHQAIABzAHQAYQBnAGUAIAAyACAATQBNAFMAXAAiACkAOwBcAG4AXABuAFYARQBFAFIARwBfADQAXwA2AF8AMQBfADEAXwBfADMAXwBTAHQAYQBnAGUAMgBNAGUAdABoAGEAbgBlAFAAcgBvAGQAdQBjAHQAaQBvAG4AXwBWAGEAcgBpAGEAYgBsAGUAXABuACAAIAA9AEwAQQBNAEIARABBACgAXAAiAE0AXwBqAGsAbQBUADIAXAAiACkAOwBcAG4AXABuAFYARQBFAFIARwBfADQAXwA2AF8AMQBfADEAXwBfADMAXwBTAHQAYQBnAGUAMgBNAGUAdABoAGEAbgBlAFAAcgBvAGQAdQBjAHQAaQBvAG4AXwBVAG4AaQB0AFwAbgAgACAAPQBMAEEATQBCAEQAQQAoAFwAIgBrAGcAIABDAEgANAAvAGIAaQByAGQALwBkAGEAeQBcACIAKQA7AFwAbgBcAG4AVgBFAEUAUgBHAF8ANABfADYAXwAxAF8AMQBfAF8AMwBfAFMAdABhAGcAZQAyAE0AZQB0AGgAYQBuAGUAUAByAG8AZAB1AGMAdABpAG8AbgBfAFMAbwB1AHIAYwBlAFwAbgAgACAAPQBMAEEATQBCAEQAQQAoAFwAIgBWAEUARQBSAEcAIAAyADAAMgA2ADoAIAA0AC4ANAAuADEALgAxACwAIABFAHEAdQBhAHQAaQBvAG4AIAAoADMAKQBcACIAKQA7AFwAbgBcAG4AVgBFAEUAUgBHAF8ANABfADYAXwAxAF8AMQBfAF8AMwBfAFMAdABhAGcAZQAyAE0AZQB0AGgAYQBuAGUAUAByAG8AZAB1AGMAdABpAG8AbgBfAE4ASQBSAFIAZQBmAGUAcgBlAG4AYwBlAFwAbgAgACAAPQBMAEEATQBCAEQAQQAoAFwAIgBcACIAKQA7AFwAbgBcAG4AVgBFAEUAUgBHAF8ANABfADYAXwAxAF8AMQBfAF8AMwBfAFMAdABhAGcAZQAyAE0AZQB0AGgAYQBuAGUAUAByAG8AZAB1AGMAdABpAG8AbgBfAEwAYQB0AGUAeABFAHEAdQBhAHQAaQBvAG4AXABuACAAIAA9AEwAQQBNAEIARABBACgAXAAiAE0AXwB7AGoAawBtAFQAPQAyAH0APQBWAFMAVABfAHsAagBrAH0AXABcAHQAaQBtAGUAcwAgAEIATwBcAFwAdABpAG0AZQBzACAATQBNAFMAXwB7AGoAbQBUAD0AMgB9AFwAXAB0AGkAbQBlAHMAIABNAEMARgBfAHsAaQBtAH0AXABcAHQAaQBtAGUAcwAgAFwAXAByAGgAbwBcACIAKQA7AFwAbgBcAG4AVgBFAEUAUgBHAF8ANABfADYAXwAxAF8AMQBfAF8AMwBfAFMAdABhAGcAZQAyAE0AZQB0AGgAYQBuAGUAUAByAG8AZAB1AGMAdABpAG8AbgBfAEEAcgBnAHUAbQBlAG4AdABzAFwAbgAgACAAPQBMAEEATQBCAEQAQQAoAFwAbgAgACAAIAAgAE0AQQBLAEUAQQBSAFIAQQBZACgANgAsACAANAAsAFwAbgAgACAAIAAgACAAIABMAEEATQBCAEQAQQAoAHIALABjACwAXABuACAAIAAgACAAIAAgACAAIABJAE4ARABFAFgAKAB7AFwAbgAgACAAIAAgACAAIAAgACAAIAAgAFwAIgBWAFMAVABfAGoAawBcACIALABcACIAdgBvAGwAYQB0AGkAbABlACAAcwBvAGwAaQBkAHMAIAB0AHIAYQBuAHMAZgBlAHIAcgBlAGQAIAB0AG8AIAB0AHIAZQBhAHQAbQBlAG4AdAAgAHMAdABhAGcAZQAgADIAIABNAE0AUwBcACIALAAgAFwAIgBrAGcAIABWAFMALwBiAGkAcgBkAC8AZABhAHkAXAAiACwAIABcACIAQwBhAGwAYwB1AGwAYQB0AGUAZAAgAGYAcgBvAG0AIAA0AC4ANgAuADEALgAxACAAKAA0ACkAXAAiADsAXABuACAAIAAgACAAIAAgACAAIAAgACAAXAAiAEIATwBcACIALABcACIAZQBtAGkAcwBzAGkAbwBuAHMAIABwAG8AdABlAG4AdABpAGEAbABcACIALAAgAFwAIgBtADMAIABDAEgANAAvAGsAZwAgAFYAUwBcACIALAAgAFwAIgBDAG8AbgBzAHQAYQBuAHQAXAAiADsAXABuACAAIAAgACAAIAAgACAAIAAgACAAXAAiAE0ATQBTAF8AagBtAFQAMgBcACIALABcACIAZgByAGEAYwB0AGkAbwBuACAAbwBmACAAbQBhAG4AdQByAGUAIABpAG4AIABlAGEAYwBoACAAcwBlAGMAbwBuAGQAYQByAHkAIABzAHkAcwB0AGUAbQBcACIALAAgAFwAIgBmAHIAYQBjAHQAaQBvAG4AXAAiACwAIABcACIASQBuAHAAdQB0AFwAIgA7AFwAbgAgACAAIAAgACAAIAAgACAAIAAgAFwAIgBNAEMARgBfAGkAbQBcACIALABcACIAbQBlAHQAaABhAG4AZQAgAGMAbwBuAHYAZQByAHMAaQBvAG4AIABmAGEAYwB0AG8AcgAgAGYAbwByACAAdABlAG0AcABlAHIAYQB0AHUAcgBlACAAegBvAG4AZQAgAGEAbgBkACAATQBNAFMAXAAiACwAIABcACIAZgByAGEAYwB0AGkAbwBuAFwAIgAsACAAXAAiAEMAbwBuAHMAdABhAG4AdABcACIAOwBcAG4AIAAgACAAIAAgACAAIAAgACAAIABcACIAcgBoAG8AXAAiACwAXAAiAGQAZQBuAHMAaQB0AHkAIABvAGYAIABtAGUAdABoAGEAbgBlAFwAIgAsACAAXAAiAGsAZwAvAG0AMw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QAXwA2AF8AMQBfADEAXwBfADMAXwBTAHQAYQBnAGUAMgBNAGUAdABoAGEAbgBlAFAAcgBvAGQAdQBjAHQAaQBvAG4AXwBBAHIAZwB1AG0AZQBuAHQAcwBfAE0AZQB0AGgAbwBkADIAXABuACAAIAA9AEwAQQBNAEIARABBACgAXABuACAAIAAgACAATQBBAEsARQBBAFIAUgBBAFkAKAA2ACwAIAA0ACwAXABuACAAIAAgACAAIAAgAEwAQQBNAEIARABBACgAcgAsAGMALABcAG4AIAAgACAAIAAgACAAIAAgAEkATgBEAEUAWAAoAHsAXABuACAAIAAgACAAIAAgACAAIAAgACAAXAAiAFYAUwBUAF8AagBrAFwAIgAsAFwAIgB2AG8AbABhAHQAaQBsAGUAIABzAG8AbABpAGQAcwAgAHQAcgBhAG4AcwBmAGUAcgByAGUAZAAgAHQAbwAgAHQAcgBlAGEAdABtAGUAbgB0ACAAcwB0AGEAZwBlACAAMgAgAE0ATQBTAFwAIgAsACAAXAAiAGsAZwAgAFYAUwAvAGIAaQByAGQALwBkAGEAeQBcACIALAAgAFwAIgBDAGEAbABjAHUAbABhAHQAZQBkACAAZgByAG8AbQAgADQALgA2AC4AMQAuADEAIAAoADQAKQBcACIAOwBcAG4AIAAgACAAIAAgACAAIAAgACAAIABcACIAQgBPAFwAIgAsAFwAIgBlAG0AaQBzAHMAaQBvAG4AcwAgAHAAbwB0AGUAbgB0AGkAYQBsAFwAIgAsACAAXAAiAG0AMwAgAEMASAA0AC8AawBnACAAVgBTAFwAIgAsACAAXAAiAEMAbwBuAHMAdABhAG4AdABcACIAOwBcAG4AIAAgACAAIAAgACAAIAAgACAAIABcACIATQBNAFMAXwBqAG0AVAAyAFwAIgAsAFwAIgBmAHIAYQBjAHQAaQBvAG4AIABvAGYAIABtAGEAbgB1AHIAZQAgAGkAbgAgAGUAYQBjAGgAIABzAGUAYwBvAG4AZABhAHIAeQAgAHMAeQBzAHQAZQBtAFwAIgAsACAAXAAiAGYAcgBhAGMAdABpAG8AbgBcACIALAAgAFwAIgBJAG4AcAB1AHQAXAAiADsAXABuACAAIAAgACAAIAAgACAAIAAgACAAXAAiAE0AQwBGAF8AaQBtAFwAIgAsAFwAIgBtAGUAdABoAGEAbgBlACAAYwBvAG4AdgBlAHIAcwBpAG8AbgAgAGYAYQBjAHQAbwByACAAZgBvAHIAIAB0AGUAbQBwAGUAcgBhAHQAdQByAGUAIAB6AG8AbgBlACAAYQBuAGQAIABNAE0AUwBcACIALAAgAFwAIgBmAHIAYQBjAHQAaQBvAG4AXAAiACwAIABcACIAQwBvAG4AcwB0AGEAbgB0AFwAIgA7AFwAbgAgACAAIAAgACAAIAAgACAAIAAgAFwAIgByAGgAbwBcACIALABcACIAZABlAG4AcwBpAHQAeQAgAG8AZgAgAG0AZQB0AGgAYQBuAGUAXAAiACwAIABcACIAawBnAC8AbQAzAFwAIgAsACAAXAAiAEMAbwBuAHMAdABhAG4AdABcACIAOwBcAG4AIAAgACAAIAAgACAAIAAgACAAIABcACIAaQBcACIALAAgAFwAIgBtAGUAYQBuACAAYQBuAG4AdQBhAGwAIAB0AGUAbQBwAGUAcgBhAHQAdQByAGUAXAAiACwAIABcACIAsABDAFwAIgAsACAAXAAiAEkAbgBwAHUAdABcACIAXABuACAAIAAgACAAIAAgACAAIAB9ACwAIAByACwAIABjACkAXABuACAAIAAgACAAIAAgACkAXABuACAAIAAgACAAKQBcAG4AIAAgACkAOwBcAG4AXABuAFYARQBFAFIARwBfADQAXwA2AF8AMQBfADEAXwBfADMAXwBTAHQAYQBnAGUAMgBNAGUAdABoAGEAbgBlAFAAcgBvAGQAdQBjAHQAaQBvAG4AXwBWAGEAcgBpAGEAdABpAG8AbgBcAG4AIAAgACAAPQBMAEEATQBCAEQAQQAoAFwAIgBWAEEAUgBJAEEAVABJAE8ATgAgAE8ATgAgAFMATwBVAFIAQwBFADoAIABVAHMAZQBkACAAbQBlAGEAbgAgAGEAbgBuAHUAYQBsACAAdABlAG0AcABlAHIAYQB0AHUAcgBlACAAaQBuAHMAdABlAGEAZAAgAG8AZgAgAHQAZQBtAHAAZQByAGEAdAB1AHIAZQAgAHoAbwBuAGUAIAB0AG8AIABkAGUAdABlAHIAbQBpAG4AZQAgAE0AQwBGACAAYQBzACAATQBDAEYAIAB2AGEAbAB1AGUAcwAgAGEAcgBlACAAcwBwAGUAYwBpAGYAaQBjACAAdABvACAAdABlAG0AcABlAHIAYQB0AHUAcgBlAFwAIgApADsAXABuAFwAbgAvACoAXABuAC0ALQAtAC0ALQAtAC0ALQAtAC0ALQAtAC0ALQAtAC0ALQAtAC0ALQAtAC0ALQAtAC0ALQAtAC0ALQAtAC0ALQAtAC0ALQAtAC0ALQBcAG4AVgBFAEUAUgBHAF8ANABfADYAXwAxAF8AMQBfAF8ANABfAFYAbwBsAGEAdABpAGwAZQBTAG8AbABpAGQAcwBUAHIAYQBuAHMAZgBlAHIAcgBlAGQAXABuAFYAbwBsAGEAdABpAGwAZQAgAHMAbwBsAGkAZABzACAAdAByAGEAbgBzAGYAZQByAHIAZQBkACAAdABvACAAdAByAGUAYQB0AG0AZQBuAHQAIABzAHQAYQBnAGUAIAAyACAATQBNAFMAXABuAFYAUwBUAF8AagBrAFwAbgBrAGcAIABWAFMALwBiAGkAcgBkAC8AZABhAHkAXABuAFYAUwBUAF8AewBqAGsAfQA9AFYAUwBfAHsAagBrAH0AXABcAHQAaQBtAGUAcwAgAE0ATQBTAF8AewBqAG0AVAA9ADEAfQBcAFwAdABpAG0AZQBzACAAKAAxAC0AVgBTAEwAXwB7AG0AVAA9ADEAfQApAFwAbgBWAFMAXwBqAGsAIAA9ACAAdgBvAGwAYQB0AGkAbABlACAAcwBvAGwAaQBkACAAcAByAG8AZAB1AGMAdABpAG8AbgAgAHAAbwB1AGwAdAByAHkAIABjAGwAYQBzAHMAZQBzACAAOgAgAGsAZwAgAFYAUwAvAGIAaQByAGQALwBkAGEAeQBcAG4ATQBNAFMAXwBqAG0AVAAxACAAPQAgAGYAcgBhAGMAdABpAG8AbgAgAG8AZgAgAG0AYQBuAHUAcgBlACAAaQBuACAAZQBhAGMAaAAgAHAAcgBpAG0AYQByAHkAIABzAHkAcwB0AGUAbQAgADoAIABmAHIAYQBjAHQAaQBvAG4AXABuAFYAUwBMAF8AbQBUADEAIAA9ACAAZgByAGEAYwB0AGkAbwBuACAAbwBmACAAdgBvAGwAYQB0AGkAbABlACAAcwBvAGwAaQBkAHMAIABsAG8AcwB0ACAAZAB1AHIAaQBuAGcAIABzAHQAbwByAGEAZwBlACAAaQBuACAAdABoAGUAIABwAHIAaQBtAGEAcgB5ACAAcwB5AHMAdABlAG0AIAA6ACAAZgByAGEAYwB0AGkAbwBuAFwAbgAtAC0ALQAtAC0ALQAtAC0ALQAtAC0ALQAtAC0ALQAtAC0ALQAtAC0ALQAtAC0ALQAtAC0ALQAtAC0ALQAtAC0ALQAtAC0ALQAtAC0AXABuACoALwBcAG4AXABuAFYARQBFAFIARwBfADQAXwA2AF8AMQBfADEAXwBfADQAXwBWAG8AbABhAHQAaQBsAGUAUwBvAGwAaQBkAHMAVAByAGEAbgBzAGYAZQByAHIAZQBkAFwAbgAgACAAPQBMAEEATQBCAEQAQQAoAFwAbgAgACAAIAAgAFYAUwBfAGoAawAsACAATQBNAFMAXwBqAG0AVAAxACwAIABWAFMATABfAG0AVAAxACwAXABuACAAIAAgACAAVgBTAF8AagBrACAAKgAgAE0ATQBTAF8AagBtAFQAMQAgACoAIAAoADEAIAAtACAAVgBTAEwAXwBtAFQAMQApAFwAbgAgACAAKQA7AFwAbgBcAG4AVgBFAEUAUgBHAF8ANABfADYAXwAxAF8AMQBfAF8ANABfAFYAbwBsAGEAdABpAGwAZQBTAG8AbABpAGQAcwBUAHIAYQBuAHMAZgBlAHIAcgBlAGQAXwBUAGkAdABsAGUAXABuACAAIAA9AEwAQQBNAEIARABBACgAXAAiAFYAbwBsAGEAdABpAGwAZQAgAHMAbwBsAGkAZABzACAAdAByAGEAbgBzAGYAZQByAHIAZQBkACAAdABvACAAdAByAGUAYQB0AG0AZQBuAHQAIABzAHQAYQBnAGUAIAAyACAATQBNAFMAXAAiACkAOwBcAG4AXABuAFYARQBFAFIARwBfADQAXwA2AF8AMQBfADEAXwBfADQAXwBWAG8AbABhAHQAaQBsAGUAUwBvAGwAaQBkAHMAVAByAGEAbgBzAGYAZQByAHIAZQBkAF8AVgBhAHIAaQBhAGIAbABlAFwAbgAgACAAPQBMAEEATQBCAEQAQQAoAFwAIgBWAFMAVABfAGoAawBcACIAKQA7AFwAbgBcAG4AVgBFAEUAUgBHAF8ANABfADYAXwAxAF8AMQBfAF8ANABfAFYAbwBsAGEAdABpAGwAZQBTAG8AbABpAGQAcwBUAHIAYQBuAHMAZgBlAHIAcgBlAGQAXwBVAG4AaQB0AFwAbgAgACAAPQBMAEEATQBCAEQAQQAoAFwAIgBrAGcAIABWAFMALwBiAGkAcgBkAC8AZABhAHkAXAAiACkAOwBcAG4AXABuAFYARQBFAFIARwBfADQAXwA2AF8AMQBfADEAXwBfADQAXwBWAG8AbABhAHQAaQBsAGUAUwBvAGwAaQBkAHMAVAByAGEAbgBzAGYAZQByAHIAZQBkAF8AUwBvAHUAcgBjAGUAXABuACAAIAA9AEwAQQBNAEIARABBACgAXAAiAFYARQBFAFIARwAgADIAMAAyADYAOgAgADQALgA0AC4AMQAuADEALAAgAEUAcQB1AGEAdABpAG8AbgAgACgANAApAFwAIgApADsAXABuAFwAbgBWAEUARQBSAEcAXwA0AF8ANgBfADEAXwAxAF8AXwA0AF8AVgBvAGwAYQB0AGkAbABlAFMAbwBsAGkAZABzAFQAcgBhAG4AcwBmAGUAcgByAGUAZABfAE4ASQBSAFIAZQBmAGUAcgBlAG4AYwBlAFwAbgAgACAAPQBMAEEATQBCAEQAQQAoAFwAIgBcACIAKQA7AFwAbgBcAG4AVgBFAEUAUgBHAF8ANABfADYAXwAxAF8AMQBfAF8ANABfAFYAbwBsAGEAdABpAGwAZQBTAG8AbABpAGQAcwBUAHIAYQBuAHMAZgBlAHIAcgBlAGQAXwBMAGEAdABlAHgARQBxAHUAYQB0AGkAbwBuAFwAbgAgACAAPQBMAEEATQBCAEQAQQAoAFwAIgBWAFMAVABfAHsAagBrAH0APQBWAFMAXwB7AGoAawB9AFwAXAB0AGkAbQBlAHMAIABNAE0AUwBfAHsAagBtAFQAPQAxAH0AXABcAHQAaQBtAGUAcwAgACgAMQAtAFYAUwBMAF8AewBtAFQAPQAxAH0AKQBcACIAKQA7AFwAbgBcAG4AVgBFAEUAUgBHAF8ANABfADYAXwAxAF8AMQBfAF8ANABfAFYAbwBsAGEAdABpAGwAZQBTAG8AbABpAGQAcwBUAHIAYQBuAHMAZgBlAHIAcgBlAGQAXwBBAHIAZwB1AG0AZQBuAHQAcwBcAG4AIAAgAD0ATABBAE0AQgBEAEEAKABcAG4AIAAgACAAIABNAEEASwBFAEEAUgBSAEEAWQAoADMALAAgADQALABcAG4AIAAgACAAIAAgACAATABBAE0AQgBEAEEAKAByACwAYwAsAFwAbgAgACAAIAAgACAAIAAgACAASQBOAEQARQBYACgAewBcAG4AIAAgACAAIAAgACAAIAAgACAAIABcACIAVgBTAF8AagBrAFwAIgAsAFwAIgB2AG8AbABhAHQAaQBsAGUAIABzAG8AbABpAGQAIABwAHIAbwBkAHUAYwB0AGkAbwBuACAAcABvAHUAbAB0AHIAeQAgAGMAbABhAHMAcwBlAHMAXAAiACwAIABcACIAawBnACAAVgBTAC8AYgBpAHIAZAAvAGQAYQB5AFwAIgAsACAAXAAiAEMAYQBsAGMAdQBsAGEAdABlAGQAIABmAHIAbwBtACAANAAuADYALgAxAC4AMQAgACgANQApAFwAIgA7AFwAbgAgACAAIAAgACAAIAAgACAAIAAgAFwAIgBNAE0AUwBfAGoAbQBUADEAXAAiACwAXAAiAGYAcgBhAGMAdABpAG8AbgAgAG8AZgAgAG0AYQBuAHUAcgBlACAAaQBuACAAZQBhAGMAaAAgAHAAcgBpAG0AYQByAHkAIABzAHkAcwB0AGUAbQBcACIALAAgAFwAIgBmAHIAYQBjAHQAaQBvAG4AXAAiACwAIABcACIASQBuAHAAdQB0AFwAIgA7AFwAbgAgACAAIAAgACAAIAAgACAAIAAgAFwAIgBWAFMATABfAG0AVAAxAFwAIgAsAFwAIgBmAHIAYQBjAHQAaQBvAG4AIABvAGYAIAB2AG8AbABhAHQAaQBsAGUAIABzAG8AbABpAGQAcwAgAGwAbwBzAHQAIABkAHUAcgBpAG4AZwAgAHMAdABvAHIAYQBnAGUAIABpAG4AIAB0AGgAZQAgAHAAcgBpAG0AYQByAHkAIABzAHkAcwB0AGUAb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EAXwBfADUAXwBWAG8AbABhAHQAaQBsAGUAUwBvAGwAaQBkAFAAcgBvAGQAdQBjAHQAaQBvAG4AXABuAFYAbwBsAGEAdABpAGwAZQAgAHMAbwBsAGkAZAAgAHAAcgBvAGQAdQBjAHQAaQBvAG4AIABwAG8AdQBsAHQAcgB5ACAAYwBsAGEAcwBzAGUAcwBcAG4AVgBTAF8AagBrAFwAbgBrAGcAIABWAFMALwBiAGkAcgBkAC8AZABhAHkAXABuAFYAUwBfAHsAagBrAH0APQBJAF8AewBqAGsAfQBcAFwAdABpAG0AZQBzACAAKAAxAC0ARABNAEQAXwB7AGoAawB9ACkAXABcAHQAaQBtAGUAcwAgACgAMQAtAEEAXwB7AGoAfQApAFwAbgBJAF8AagBrACAAPQAgAGQAcgB5ACAAbQBhAHQAdABlAHIAIABpAG4AdABhAGsAZQAgAGYAbwByACAAZQBhAGMAaAAgAGMAbABhAHMAcwAgAGEAbgBkACAAcwB1AGIAYwBsAGEAcwBzACAAOgAgAGsAZwAgAEQATQAvAGIAaQByAGQALwBkAGEAeQBcAG4ARABNAEQAXwBqAGsAIAA9ACAAZAByAHkAIABtAGEAdAB0AGUAcgAgAGQAaQBnAGUAcwB0AGkAYgBpAGwAaQB0AHkAIABmAG8AcgAgAGUAYQBjAGgAIABjAGwAYQBzAHMAIABhAG4AZAAgAHMAdQBiAGMAbABhAHMAcwAgADoAIABmAHIAYQBjAHQAaQBvAG4AXABuAEEAXwBqACAAPQAgAGEAcwBoACAAYwBvAG4AdABlAG4AdAAgAG8AZgAgAG0AYQBuAHUAcgBlACAAZgBvAHIAIABlAGEAYwBoACAAYwBsAGEAcwBzACAAYQBuAGQAIABzAHUAYgBjAGwAYQBzAHMAIAA6ACAAZgByAGEAYwB0AGkAbwBuAFwAbgAtAC0ALQAtAC0ALQAtAC0ALQAtAC0ALQAtAC0ALQAtAC0ALQAtAC0ALQAtAC0ALQAtAC0ALQAtAC0ALQAtAC0ALQAtAC0ALQAtAC0AXABuACoALwBcAG4AXABuAFYARQBFAFIARwBfADQAXwA2AF8AMQBfADEAXwBfADUAXwBWAG8AbABhAHQAaQBsAGUAUwBvAGwAaQBkAFAAcgBvAGQAdQBjAHQAaQBvAG4AXABuACAAIAA9AEwAQQBNAEIARABBACgAXABuACAAIAAgACAASQBfAGoAawAsACAARABNAEQAXwBqAGsALAAgAEEAXwBqACwAXABuACAAIAAgACAASQBfAGoAawAgACoAIAAoADEAIAAtACAARABNAEQAXwBqAGsAKQAgACoAIAAoADEAIAAtACAAQQBfAGoAKQBcAG4AIAAgACkAOwBcAG4AXABuAFYARQBFAFIARwBfADQAXwA2AF8AMQBfADEAXwBfADUAXwBWAG8AbABhAHQAaQBsAGUAUwBvAGwAaQBkAFAAcgBvAGQAdQBjAHQAaQBvAG4AXwBUAGkAdABsAGUAXABuACAAIAA9AEwAQQBNAEIARABBACgAXAAiAFYAbwBsAGEAdABpAGwAZQAgAHMAbwBsAGkAZAAgAHAAcgBvAGQAdQBjAHQAaQBvAG4AIABwAG8AdQBsAHQAcgB5ACAAYwBsAGEAcwBzAGUAcwBcACIAKQA7AFwAbgBcAG4AVgBFAEUAUgBHAF8ANABfADYAXwAxAF8AMQBfAF8ANQBfAFYAbwBsAGEAdABpAGwAZQBTAG8AbABpAGQAUAByAG8AZAB1AGMAdABpAG8AbgBfAFYAYQByAGkAYQBiAGwAZQBcAG4AIAAgAD0ATABBAE0AQgBEAEEAKABcACIAVgBTAF8AagBrAFwAIgApADsAXABuAFwAbgBWAEUARQBSAEcAXwA0AF8ANgBfADEAXwAxAF8AXwA1AF8AVgBvAGwAYQB0AGkAbABlAFMAbwBsAGkAZABQAHIAbwBkAHUAYwB0AGkAbwBuAF8AVQBuAGkAdABcAG4AIAAgAD0ATABBAE0AQgBEAEEAKABcACIAawBnACAAVgBTAC8AYgBpAHIAZAAvAGQAYQB5AFwAIgApADsAXABuAFwAbgBWAEUARQBSAEcAXwA0AF8ANgBfADEAXwAxAF8AXwA1AF8AVgBvAGwAYQB0AGkAbABlAFMAbwBsAGkAZABQAHIAbwBkAHUAYwB0AGkAbwBuAF8AUwBvAHUAcgBjAGUAXABuACAAIAA9AEwAQQBNAEIARABBACgAXAAiAFYARQBFAFIARwAgADIAMAAyADYAOgAgADQALgA0AC4AMQAuADEALAAgAEUAcQB1AGEAdABpAG8AbgAgACgANQApAFwAIgApADsAXABuAFwAbgBWAEUARQBSAEcAXwA0AF8ANgBfADEAXwAxAF8AXwA1AF8AVgBvAGwAYQB0AGkAbABlAFMAbwBsAGkAZABQAHIAbwBkAHUAYwB0AGkAbwBuAF8ATgBJAFIAUgBlAGYAZQByAGUAbgBjAGUAXABuACAAIAA9AEwAQQBNAEIARABBACgAXAAiAFwAIgApADsAXABuAFwAbgBWAEUARQBSAEcAXwA0AF8ANgBfADEAXwAxAF8AXwA1AF8AVgBvAGwAYQB0AGkAbABlAFMAbwBsAGkAZABQAHIAbwBkAHUAYwB0AGkAbwBuAF8ATABhAHQAZQB4AEUAcQB1AGEAdABpAG8AbgBcAG4AIAAgAD0ATABBAE0AQgBEAEEAKABcACIAVgBTAF8AewBqAGsAfQA9AEkAXwB7AGoAawB9AFwAXAB0AGkAbQBlAHMAIAAoADEALQBEAE0ARABfAHsAagBrAH0AKQBcAFwAdABpAG0AZQBzACAAKAAxAC0AQQBfAHsAagB9ACkAXAAiACkAOwBcAG4AXABuAFYARQBFAFIARwBfADQAXwA2AF8AMQBfADEAXwBfADUAXwBWAG8AbABhAHQAaQBsAGUAUwBvAGwAaQBkAFAAcgBvAGQAdQBjAHQAaQBvAG4AXwBBAHIAZwB1AG0AZQBuAHQAcwBcAG4AIAAgAD0ATABBAE0AQgBEAEEAKABcAG4AIAAgACAAIABNAEEASwBFAEEAUgBSAEEAWQAoADMALAAgADQALABcAG4AIAAgACAAIAAgACAATABBAE0AQgBEAEEAKAByACwAYwAsAFwAbgAgACAAIAAgACAAIAAgACAASQBOAEQARQBYACgAewBcAG4AIAAgACAAIAAgACAAIAAgACAAIABcACIASQBfAGoAawBcACIALABcACIAZAByAHkAIABtAGEAdAB0AGUAcgAgAGkAbgB0AGEAawBlACAAZgBvAHIAIABlAGEAYwBoACAAYwBsAGEAcwBzACAAYQBuAGQAIABzAHUAYgBjAGwAYQBzAHMAXAAiACwAIABcACIAawBnACAARABNAC8AYgBpAHIAZAAvAGQAYQB5AFwAIgAsACAAXAAiAEkAbgBwAHUAdABcACIAOwBcAG4AIAAgACAAIAAgACAAIAAgACAAIABcACIARABNAEQAXwBqAGsAXAAiACwAXAAiAGQAcgB5ACAAbQBhAHQAdABlAHIAIABkAGkAZwBlAHMAdABpAGIAaQBsAGkAdAB5ACAAZgBvAHIAIABlAGEAYwBoACAAYwBsAGEAcwBzACAAYQBuAGQAIABzAHUAYgBjAGwAYQBzAHMAXAAiACwAIABcACIAZgByAGEAYwB0AGkAbwBuAFwAIgAsACAAXAAiAEkAbgBwAHUAdABcACIAOwBcAG4AIAAgACAAIAAgACAAIAAgACAAIABcACIAQQBfAGoAXAAiACwAXAAiAGEAcwBoACAAYwBvAG4AdABlAG4AdAAgAG8AZgAgAG0AYQBuAHUAcgBlACAAZgBvAHIAIABlAGEAYwBoACAAYwBsAGEAcwBzACAAYQBuAGQAIABzAHUAYgBjAGwAYQBzAHMAXAAiACwAIABcACIAZgByAGEAYwB0AGkAbwBuAFwAIgAsACAAXAAiAEMAbwBuAHMAdABhAG4AdABcACIAXABuACAAIAAgACAAIAAgACAAIAB9ACwAIAByACwAIABjACkAXABuACAAIAAgACAAIAAgACkAXABuACAAIAAgACAAKQBcAG4AIAAgACkAOwBcAG4AIgB9ACwAewAiAHAAYQB0AGgAIgA6ACIALwBwAHIAbwBqAGUAYwB0AHMALwBNAE0AUwBfAFAAbwB1AGwAdAByAHk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wAgAE0AZQB0AGgAbwBkACAAMQAgAC0AIABNAGEAbgB1AHIAZQAgAEQAaQByAGUAYwB0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MwBfAF8AMQBfAFQAbwB0AGEAbABBAG4AbgB1AGEAbABEAGkAcgBlAGMAdABOAGkAdAByAG8AdQBzAE8AeABpAGQAZQBFAG0AaQBzAHMAaQBvAG4AcwBGAHIAbwBtAE0ATQBTAFwAbgBUAG8AdABhAGwAIABhAG4AbgB1AGEAbAAgAGQAaQByAGUAYwB0ACAAbgBpAHQAcgBvAHUAcwAgAG8AeABpAGQAZQAgAGUAbQBpAHMAcwBpAG8AbgBzACAAZgByAG8AbQAgAG0AYQBuAHUAcgBlACAAbQBhAG4AYQBnAGUAbQBlAG4AdAAgAHMAeQBzAHQAZQBtAHMAXABuAEUAXwBOADIATwBkAGkAcgBcAG4AdAAgAE4AMgBPAFwAbgBFAF8AewBOADIATwAsAGQAaQByAH0APQBcAFwAcwB1AG0AXwB7AGoAfQBcAFwAcwB1AG0AXwB7AGsAfQBcAFwAcwB1AG0AXwB7AG0AfQBcAFwAcwB1AG0AXwB7AFQAfQAoAE0ATgBfAHsAagBrAG0AVAB9AFwAXAB0AGkAbQBlAHMAIABFAEYAXwB7AGoAbQB9AFwAXAB0AGkAbQBlAHMAIABDAF8AewBOADIATwB9ACkAXABcAHQAaQBtAGUAcwAxADAAXgB7AC0AMwB9AFwAbgBNAE4AXwBqAGsAbQBUACAAPQAgAG4AaQB0AHIAbwBnAGUAbgAgAHAAZQByACAAcABvAHUAbAB0AHIAeQAgAGMAbABhAHMAcwAsACAAcwB1AGIAYwBsAGEAcwBzACwAIABNAE0AUwAgAGEAbgBkACAAdAByAGUAYQB0AG0AZQBuAHQAIABzAHQAYQBnAGUAIAA6ACAAawBnACAATgBcAG4ARQBGAF8AagBtACAAPQAgAG4AaQB0AHIAbwB1AHMAIABvAHgAaQBkAGUAIABlAG0AaQBzAHMAaQBvAG4AIABmAGEAYwB0AG8AcgAgAGYAbwByACAATQBNAFM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MAXwBfADEAXwBUAG8AdABhAGwAQQBuAG4AdQBhAGwARABpAHIAZQBjAHQATgBpAHQAcgBvAHUAcwBPAHgAaQBkAGUARQBtAGkAcwBzAGkAbwBuAHMARgByAG8AbQBNAE0AUwBcAG4AIAAgAD0ATABBAE0AQgBEAEEAKABcAG4AIAAgACAAIABNAE4AXwBqAGsAbQBUACwAIABFAEYAXwBqAG0ALAAgAEMAXwBOADIATwAsAFwAbgAgACAAIAAgAE0ATgBfAGoAawBtAFQAIAAqACAARQBGAF8AagBtACAAKgAgAEMAXwBOADIATwAgACoAIAAxADAAIABeACAALQAzAFwAbgAgACAAKQA7AFwAbgBcAG4AVgBFAEUAUgBHAF8ANABfADYAXwAxAF8AMwBfAF8AMQBfAFQAbwB0AGEAbABBAG4AbgB1AGEAbABEAGkAcgBlAGMAdABOAGkAdAByAG8AdQBzAE8AeABpAGQAZQBFAG0AaQBzAHMAaQBvAG4AcwBGAHIAbwBtAE0ATQBTAF8AVABpAHQAbABlAFwAbgAgACAAPQBMAEEATQBCAEQAQQAoAFwAIgBUAG8AdABhAGwAIABhAG4AbgB1AGEAbAAgAGQAaQByAGUAYwB0ACAAbgBpAHQAcgBvAHUAcwAgAG8AeABpAGQAZQAgAGUAbQBpAHMAcwBpAG8AbgBzACAAZgByAG8AbQAgAG0AYQBuAHUAcgBlACAAbQBhAG4AYQBnAGUAbQBlAG4AdAAgAHMAeQBzAHQAZQBtAHMAXAAiACkAOwBcAG4AXABuAFYARQBFAFIARwBfADQAXwA2AF8AMQBfADMAXwBfADEAXwBUAG8AdABhAGwAQQBuAG4AdQBhAGwARABpAHIAZQBjAHQATgBpAHQAcgBvAHUAcwBPAHgAaQBkAGUARQBtAGkAcwBzAGkAbwBuAHMARgByAG8AbQBNAE0AUwBfAFYAYQByAGkAYQBiAGwAZQBcAG4AIAAgAD0ATABBAE0AQgBEAEEAKABcACIARQBfAE4AMgBPAGQAaQByAFwAIgApADsAXABuAFwAbgBWAEUARQBSAEcAXwA0AF8ANgBfADEAXwAzAF8AXwAxAF8AVABvAHQAYQBsAEEAbgBuAHUAYQBsAEQAaQByAGUAYwB0AE4AaQB0AHIAbwB1AHMATwB4AGkAZABlAEUAbQBpAHMAcwBpAG8AbgBzAEYAcgBvAG0ATQBNAFMAXwBVAG4AaQB0AFwAbgAgACAAPQBMAEEATQBCAEQAQQAoAFwAIgB0ACAATgAyAE8AXAAiACkAOwBcAG4AXABuAFYARQBFAFIARwBfADQAXwA2AF8AMQBfADMAXwBfADEAXwBUAG8AdABhAGwAQQBuAG4AdQBhAGwARABpAHIAZQBjAHQATgBpAHQAcgBvAHUAcwBPAHgAaQBkAGUARQBtAGkAcwBzAGkAbwBuAHMARgByAG8AbQBNAE0AUwBfAFMAbwB1AHIAYwBlAFwAbgAgACAAPQBMAEEATQBCAEQAQQAoAFwAIgBWAEUARQBSAEcAIAAyADAAMgA2ADoAIAA0AC4ANgAuADEALgAzACwAIABFAHEAdQBhAHQAaQBvAG4AIAAoADEAKQBcACIAKQA7AFwAbgBcAG4AVgBFAEUAUgBHAF8ANABfADYAXwAxAF8AMwBfAF8AMQBfAFQAbwB0AGEAbABBAG4AbgB1AGEAbABEAGkAcgBlAGMAdABOAGkAdAByAG8AdQBzAE8AeABpAGQAZQBFAG0AaQBzAHMAaQBvAG4AcwBGAHIAbwBtAE0ATQBTAF8ATgBJAFIAUgBlAGYAZQByAGUAbgBjAGUAXABuACAAIAA9AEwAQQBNAEIARABBACgAXAAiAFwAIgApADsAXABuAFwAbgBWAEUARQBSAEcAXwA0AF8ANgBfADEAXwAzAF8AXwAxAF8AVABvAHQAYQBsAEEAbgBuAHUAYQBsAEQAaQByAGUAYwB0AE4AaQB0AHIAbwB1AHMATwB4AGkAZABlAEUAbQBpAHMAcwBpAG8AbgBzAEYAcgBvAG0ATQBNAFMAXwBMAGEAdABlAHgARQBxAHUAYQB0AGkAbwBuAFwAbgAgACAAPQBMAEEATQBCAEQAQQAoAFwAIgBFAF8AewBOADIATwAsAGQAaQByAH0APQBcAFwAcwB1AG0AXwB7AGoAfQBcAFwAcwB1AG0AXwB7AGsAfQBcAFwAcwB1AG0AXwB7AG0AfQBcAFwAcwB1AG0AXwB7AFQAfQAoAE0ATgBfAHsAagBrAG0AVAB9AFwAXAB0AGkAbQBlAHMAIABFAEYAXwB7AGoAbQB9AFwAXAB0AGkAbQBlAHMAIABDAF8AewBOADIATwB9ACkAXABcAHQAaQBtAGUAcwAxADAAXgB7AC0AMwB9AFwAIgApADsAXABuAFwAbgBWAEUARQBSAEcAXwA0AF8ANgBfADEAXwAzAF8AXwAxAF8AVABvAHQAYQBsAEEAbgBuAHUAYQBsAEQAaQByAGUAYwB0AE4AaQB0AHIAbwB1AHMATwB4AGkAZABlAEUAbQBpAHMAcwBpAG8AbgBzAEYAcgBvAG0ATQBNAFMAXwBBAHIAZwB1AG0AZQBuAHQAcwBcAG4AIAAgAD0ATABBAE0AQgBEAEEAKABcAG4AIAAgACAAIABNAEEASwBFAEEAUgBSAEEAWQAoADMALAAgADQALABcAG4AIAAgACAAIAAgACAATABBAE0AQgBEAEEAKAByACwAYwAsAFwAbgAgACAAIAAgACAAIAAgACAASQBOAEQARQBYACgAewBcAG4AIAAgACAAIAAgACAAIAAgACAAIABcACIATQBOAF8AagBrAG0AVABcACIALABcACIAbgBpAHQAcgBvAGcAZQBuACAAcABlAHIAIABwAG8AdQBsAHQAcgB5ACAAYwBsAGEAcwBzACwAIABzAHUAYgBjAGwAYQBzAHMALAAgAE0ATQBTACAAYQBuAGQAIAB0AHIAZQBhAHQAbQBlAG4AdAAgAHMAdABhAGcAZQBcACIALAAgAFwAIgBrAGcAIABOAFwAIgAsACAAXAAiAEMAYQBsAGMAdQBsAGEAdABlAGQAIABmAHIAbwBtACAANAAuADYALgAxAC4AMwAgACgAMgApACgANgApAFwAIgA7AFwAbgAgACAAIAAgACAAIAAgACAAIAAgAFwAIgBFAEYAXwBqAG0AXAAiACwAXAAiAG4AaQB0AHIAbwB1AHMAIABvAHgAaQBkAGUAIABlAG0AaQBzAHMAaQBvAG4AIABmAGEAYwB0AG8AcgAgAGYAbwByACAATQBNAFM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IAXwBTAHQAYQBnAGUAMQBOAGkAdAByAG8AZwBlAG4ASQBuAE0ATQBTAFwAbgBOAGkAdAByAG8AZwBlAG4AIABpAG4AIAB0AHIAZQBhAHQAbQBlAG4AdAAgAHMAdABhAGcAZQAgADEAIABNAE0AUwBcAG4ATQBOAF8AagBrAG0AVAAxAFwAbgBrAGcAIABOAFwAbgBNAE4AXwB7AGoAawBtACwAVAA9ADEAfQA9AEEARQBfAHsAagBrAH0AXABcAHQAaQBtAGUAcwAgAE0ATQBTAF8AewBqAG0ALABUAD0AMQB9AFwAbgBBAEUAXwBqAGsAIAA9ACAAdABvAHQAYQBsACAAbgBpAHQAcgBvAGcAZQBuACAAZQB4AGMAcgBlAHQAZQBkACAAYgB5ACAAZQBhAGMAaAAgAHAAbwB1AGwAdAByAHkAIABjAGwAYQBzAHMAIABhAG4AZAAgAHMAdQBiAGMAbABhAHMAcwAgADoAIABrAGcAIABOAFwAbgBNAE0AUwBfAGoAbQBUADEAIAA9ACAAZgByAGEAYwB0AGkAbwBuACAAbwBmACAAbQBhAG4AdQByAGUAIABpAG4AIABlAGEAYwBoACAAcAByAGkAbQBhAHIAeQAgAHMAeQBzAHQAZQBtACAAOgAgAGYAcgBhAGMAdABpAG8AbgBcAG4ALQAtAC0ALQAtAC0ALQAtAC0ALQAtAC0ALQAtAC0ALQAtAC0ALQAtAC0ALQAtAC0ALQAtAC0ALQAtAC0ALQAtAC0ALQAtAC0ALQAtAFwAbgAqAC8AXABuAFwAbgBWAEUARQBSAEcAXwA0AF8ANgBfADEAXwAzAF8AXwAyAF8AUwB0AGEAZwBlADEATgBpAHQAcgBvAGcAZQBuAEkAbgBNAE0AUwBcAG4AIAAgAD0ATABBAE0AQgBEAEEAKABcAG4AIAAgACAAIABBAEUAXwBqAGsALAAgAE0ATQBTAF8AagBtAFQAMQAsAFwAbgAgACAAIAAgAEEARQBfAGoAawAgACoAIABNAE0AUwBfAGoAbQBUADEAXABuACAAIAApADsAXABuAFwAbgBWAEUARQBSAEcAXwA0AF8ANgBfADEAXwAzAF8AXwAyAF8AUwB0AGEAZwBlADEATgBpAHQAcgBvAGcAZQBuAEkAbgBNAE0AUwBfAFQAaQB0AGwAZQBcAG4AIAAgAD0ATABBAE0AQgBEAEEAKABcACIATgBpAHQAcgBvAGcAZQBuACAAaQBuACAAdAByAGUAYQB0AG0AZQBuAHQAIABzAHQAYQBnAGUAIAAxACAATQBNAFMAXAAiACkAOwBcAG4AXABuAFYARQBFAFIARwBfADQAXwA2AF8AMQBfADMAXwBfADIAXwBTAHQAYQBnAGUAMQBOAGkAdAByAG8AZwBlAG4ASQBuAE0ATQBTAF8AVgBhAHIAaQBhAGIAbABlAFwAbgAgACAAPQBMAEEATQBCAEQAQQAoAFwAIgBNAE4AXwBqAGsAbQBUADEAXAAiACkAOwBcAG4AXABuAFYARQBFAFIARwBfADQAXwA2AF8AMQBfADMAXwBfADIAXwBTAHQAYQBnAGUAMQBOAGkAdAByAG8AZwBlAG4ASQBuAE0ATQBTAF8AVQBuAGkAdABcAG4AIAAgAD0ATABBAE0AQgBEAEEAKABcACIAawBnACAATgBcACIAKQA7AFwAbgBcAG4AVgBFAEUAUgBHAF8ANABfADYAXwAxAF8AMwBfAF8AMgBfAFMAdABhAGcAZQAxAE4AaQB0AHIAbwBnAGUAbgBJAG4ATQBNAFMAXwBTAG8AdQByAGMAZQBcAG4AIAAgAD0ATABBAE0AQgBEAEEAKABcACIAVgBFAEUAUgBHACAAMgAwADIANgA6ACAANAAuADYALgAxAC4AMwAsACAARQBxAHUAYQB0AGkAbwBuACAAKAAyACkAXAAiACkAOwBcAG4AXABuAFYARQBFAFIARwBfADQAXwA2AF8AMQBfADMAXwBfADIAXwBTAHQAYQBnAGUAMQBOAGkAdAByAG8AZwBlAG4ASQBuAE0ATQBTAF8ATgBJAFIAUgBlAGYAZQByAGUAbgBjAGUAXABuACAAIAA9AEwAQQBNAEIARABBACgAXAAiAFwAIgApADsAXABuAFwAbgBWAEUARQBSAEcAXwA0AF8ANgBfADEAXwAzAF8AXwAyAF8AUwB0AGEAZwBlADEATgBpAHQAcgBvAGcAZQBuAEkAbgBNAE0AUwBfAEwAYQB0AGUAeABFAHEAdQBhAHQAaQBvAG4AXABuACAAIAA9AEwAQQBNAEIARABBACgAXAAiAE0ATgBfAHsAagBrAG0ALABUAD0AMQB9AD0AQQBFAF8AewBqAGsAfQBcAFwAdABpAG0AZQBzACAATQBNAFMAXwB7AGoAbQAsAFQAPQAxAH0AXAAiACkAOwBcAG4AXABuAFYARQBFAFIARwBfADQAXwA2AF8AMQBfADMAXwBfADIAXwBTAHQAYQBnAGUAMQ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EARQBfAGoAawBcACIALABcACIAdABvAHQAYQBsACAAbgBpAHQAcgBvAGcAZQBuACAAZQB4AGMAcgBlAHQAZQBkACAAYgB5ACAAZQBhAGMAaAAgAHAAbwB1AGwAdAByAHkAIABjAGwAYQBzAHMAIABhAG4AZAAgAHMAdQBiAGMAbABhAHMAcwBcACIALAAgAFwAIgBrAGcAIABOAFwAIgAsACAAXAAiAEMAYQBsAGMAdQBsAGEAdABlAGQAIABmAHIAbwBtACAANAAuADYALgAxAC4AMwAgACgAMwApAFwAIgA7AFwAbgAgACAAIAAgACAAIAAgACAAIAAgAFwAIgBNAE0AUwBfAGoAbQBUADEAXAAiACwAXAAiAGYAcgBhAGMAdABpAG8AbgAgAG8AZgAgAG0AYQBuAHUAcgBlACAAaQBuACAAZQBhAGMAaAAgAHAAcgBpAG0AYQByAHkAIABzAHkAcwB0AGUAbQBcACIALAAgAFwAIgBmAHIAYQBjAHQAaQBvAG4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MAXwBBAG4AbgB1AGEAbABOAGkAdAByAG8AZwBlAG4ARQB4AGMAcgBlAHQAaQBvAG4AXABuAEEAbgBuAHUAYQBsACAAbgBpAHQAcgBvAGcAZQBuACAAZQB4AGMAcgBlAHQAaQBvAG4AIABmAG8AcgAgAGUAYQBjAGgAIABwAG8AdQBsAHQAcgB5ACAAYwBsAGEAcwBzACAAYQBuAGQAIABzAHUAYgBjAGwAYQBzAHMAXABuAEEARQBfAGoAawBcAG4AawBnACAATgBcAG4AQQBFAF8AewBqAGsAfQA9AE4AXwB7AGoAawB9AFwAXAB0AGkAbQBlAHMAIABOAEUAXwB7AGoAawB9AFwAXAB0AGkAbQBlAHMAIABEAF8AewBqAGsAfQBcAG4ATgBfAGoAawAgAD0AIABuAHUAbQBiAGUAcgAgAG8AZgAgAHAAbwB1AGwAdAByAHkAIABpAG4AIABlAGEAYwBoACAAYwBsAGEAcwBzACAAYQBuAGQAIABzAHUAYgBjAGwAYQBzAHMAIAA6ACAAYgBpAHIAZABcAG4ATgBFAF8AagBrACAAPQAgAG4AaQB0AHIAbwBnAGUAbgAgAGUAeABjAHIAZQB0AGkAbwBuACAAOgAgAGsAZwAgAE4ALwBiAGkAcgBkAC8AZABhAHkAXABuAEQAXwBqAGsAIAA9ACAAZAB1AHIAYQB0AGkAbwBuACAAbwBmACAAcwB0AGEAeQAgAG8AZgAgAGUAYQBjAGgAIABjAGwAYQBzAHMAIABhAG4AZAAgAHMAdQBiAGMAbABhAHMAcwAgADoAIABkAGEAeQBzAFwAbgAtAC0ALQAtAC0ALQAtAC0ALQAtAC0ALQAtAC0ALQAtAC0ALQAtAC0ALQAtAC0ALQAtAC0ALQAtAC0ALQAtAC0ALQAtAC0ALQAtAC0AXABuACoALwBcAG4AXABuAFYARQBFAFIARwBfADQAXwA2AF8AMQBfADMAXwBfADMAXwBBAG4AbgB1AGEAbABOAGkAdAByAG8AZwBlAG4ARQB4AGMAcgBlAHQAaQBvAG4AXABuACAAIAA9AEwAQQBNAEIARABBACgAXABuACAAIAAgACAATgBfAGoAawAsACAATgBFAF8AagBrACwAIABEAF8AagBrACwAXABuACAAIAAgACAATgBfAGoAawAgACoAIABOAEUAXwBqAGsAIAAqACAARABfAGoAawBcAG4AIAAgACkAOwBcAG4AXABuAFYARQBFAFIARwBfADQAXwA2AF8AMQBfADMAXwBfADMAXwBBAG4AbgB1AGEAbABOAGkAdAByAG8AZwBlAG4ARQB4AGMAcgBlAHQAaQBvAG4AXwBUAGkAdABsAGUAXABuACAAIAA9AEwAQQBNAEIARABBACgAXAAiAEEAbgBuAHUAYQBsACAAbgBpAHQAcgBvAGcAZQBuACAAZQB4AGMAcgBlAHQAaQBvAG4AIABmAG8AcgAgAGUAYQBjAGgAIABwAG8AdQBsAHQAcgB5ACAAYwBsAGEAcwBzACAAYQBuAGQAIABzAHUAYgBjAGwAYQBzAHMAXAAiACkAOwBcAG4AXABuAFYARQBFAFIARwBfADQAXwA2AF8AMQBfADMAXwBfADMAXwBBAG4AbgB1AGEAbABOAGkAdAByAG8AZwBlAG4ARQB4AGMAcgBlAHQAaQBvAG4AXwBWAGEAcgBpAGEAYgBsAGUAXABuACAAIAA9AEwAQQBNAEIARABBACgAXAAiAEEARQBfAGoAawBcACIAKQA7AFwAbgBcAG4AVgBFAEUAUgBHAF8ANABfADYAXwAxAF8AMwBfAF8AMwBfAEEAbgBuAHUAYQBsAE4AaQB0AHIAbwBnAGUAbgBFAHgAYwByAGUAdABpAG8AbgBfAFUAbgBpAHQAXABuACAAIAA9AEwAQQBNAEIARABBACgAXAAiAGsAZwAgAE4AXAAiACkAOwBcAG4AXABuAFYARQBFAFIARwBfADQAXwA2AF8AMQBfADMAXwBfADMAXwBBAG4AbgB1AGEAbABOAGkAdAByAG8AZwBlAG4ARQB4AGMAcgBlAHQAaQBvAG4AXwBTAG8AdQByAGMAZQBcAG4AIAAgAD0ATABBAE0AQgBEAEEAKABcACIAVgBFAEUAUgBHACAAMgAwADIANgA6ACAANAAuADYALgAxAC4AMwAsACAARQBxAHUAYQB0AGkAbwBuACAAKAAzACkAXAAiACkAOwBcAG4AXABuAFYARQBFAFIARwBfADQAXwA2AF8AMQBfADMAXwBfADMAXwBBAG4AbgB1AGEAbABOAGkAdAByAG8AZwBlAG4ARQB4AGMAcgBlAHQAaQBvAG4AXwBOAEkAUgBSAGUAZgBlAHIAZQBuAGMAZQBcAG4AIAAgAD0ATABBAE0AQgBEAEEAKABcACIAXAAiACkAOwBcAG4AXABuAFYARQBFAFIARwBfADQAXwA2AF8AMQBfADMAXwBfADMAXwBBAG4AbgB1AGEAbABOAGkAdAByAG8AZwBlAG4ARQB4AGMAcgBlAHQAaQBvAG4AXwBMAGEAdABlAHgARQBxAHUAYQB0AGkAbwBuAFwAbgAgACAAPQBMAEEATQBCAEQAQQAoAFwAIgBBAEUAXwB7AGoAawB9AD0ATgBfAHsAagBrAH0AXABcAHQAaQBtAGUAcwAgAE4ARQBfAHsAagBrAH0AXABcAHQAaQBtAGUAcwAgAEQAXwB7AGoAawB9AFwAIgApADsAXABuAFwAbgBWAEUARQBSAEcAXwA0AF8ANgBfADEAXwAzAF8AXwAzAF8AQQBuAG4AdQBhAGwATgBpAHQAcgBvAGcAZQBuAEUAeABjAHIAZQB0AGkAbwBuAF8AQQByAGcAdQBtAGUAbgB0AHMAXABuACAAIAA9AEwAQQBNAEIARABBACgAXABuACAAIAAgACAATQBBAEsARQBBAFIAUgBBAFkAKAAzACwAIAA0ACwAXABuACAAIAAgACAAIAAgAEwAQQBNAEIARABBACgAcgAsAGMALABcAG4AIAAgACAAIAAgACAAIAAgAEkATgBEAEUAWAAoAHsAXABuACAAIAAgACAAIAAgACAAIAAgACAAXAAiAE4AXwBqAGsAXAAiACwAXAAiAG4AdQBtAGIAZQByACAAbwBmACAAcABvAHUAbAB0AHIAeQAgAGkAbgAgAGUAYQBjAGgAIABjAGwAYQBzAHMAIABhAG4AZAAgAHMAdQBiAGMAbABhAHMAcwBcACIALAAgAFwAIgBiAGkAcgBkAFwAIgAsACAAXAAiAEkAbgBwAHUAdABcACIAOwBcAG4AIAAgACAAIAAgACAAIAAgACAAIABcACIATgBFAF8AagBrAFwAIgAsAFwAIgBuAGkAdAByAG8AZwBlAG4AIABlAHgAYwByAGUAdABpAG8AbgBcACIALAAgAFwAIgBrAGcAIABOAC8AYgBpAHIAZAAvAGQAYQB5AFwAIgAsACAAXAAiAEMAYQBsAGMAdQBsAGEAdABlAGQAIABmAHIAbwBtACAANAAuADYALgAxAC4AMwAgACgANAApAFwAIgA7AFwAbgAgACAAIAAgACAAIAAgACAAIAAgAFwAIgBEAF8AagBrAFwAIgAsAFwAIgBkAHUAcgBhAHQAaQBvAG4AIABvAGYAIABzAHQAYQB5ACAAbwBmACAAZQBhAGMAaAAgAGMAbABhAHMAcwAgAGEAbgBkACAAcwB1AGIAYwBsAGEAcwBzAFwAIgAsACAAXAAiAGQAYQB5AHM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QAXwBOAGkAdAByAG8AZwBlAG4ARQB4AGMAcgBlAHQAaQBvAG4AUABlAHIAQgBpAHIAZABcAG4ATgBpAHQAcgBvAGcAZQBuACAAZQB4AGMAcgBlAHQAaQBvAG4AIABwAGUAcgAgAGIAaQByAGQAIABwAGUAcgAgAGQAYQB5AFwAbgBOAEUAXwBqAGsAXABuAGsAZwAgAE4ALwBiAGkAcgBkAC8AZABhAHkAXABuAE4ARQBfAHsAagBrAH0APQBOAEkAXwB7AGoAawB9AFwAXAB0AGkAbQBlAHMAKAAxAC0ATgBSAF8AewBqAGsAfQApAFwAbgBOAEkAXwBqAGsAIAA9ACAAbgBpAHQAcgBvAGcAZQBuACAAaQBuAHQAYQBrAGUAIAA6ACAAawBnACAATgAvAGIAaQByAGQALwBkAGEAeQBcAG4ATgBSAF8AagBrACAAPQAgAG4AaQB0AHIAbwBnAGUAbgAgAHIAZQB0AGUAbgB0AGkAbwBuACAAZQB4AHAAcgBlAHMAcwBlAGQAIABhAHMAIABhACAAZgByAGEAYwB0AGkAbwBuACAAbwBmACAAaQBuAHQAYQBrAGUAIAA6ACAAZgByAGEAYwB0AGkAbwBuAFwAbgAtAC0ALQAtAC0ALQAtAC0ALQAtAC0ALQAtAC0ALQAtAC0ALQAtAC0ALQAtAC0ALQAtAC0ALQAtAC0ALQAtAC0ALQAtAC0ALQAtAC0AXABuACoALwBcAG4AXABuAFYARQBFAFIARwBfADQAXwA2AF8AMQBfADMAXwBfADQAXwBOAGkAdAByAG8AZwBlAG4ARQB4AGMAcgBlAHQAaQBvAG4AUABlAHIAQgBpAHIAZABcAG4AIAAgAD0ATABBAE0AQgBEAEEAKABcAG4AIAAgACAAIABOAEkAXwBqAGsALAAgAE4AUgBfAGoAawAsAFwAbgAgACAAIAAgAE4ASQBfAGoAawAgACoAIAAoADEAIAAtACAATgBSAF8AagBrACkAXABuACAAIAApADsAXABuAFwAbgBWAEUARQBSAEcAXwA0AF8ANgBfADEAXwAzAF8AXwA0AF8ATgBpAHQAcgBvAGcAZQBuAEUAeABjAHIAZQB0AGkAbwBuAFAAZQByAEIAaQByAGQAXwBUAGkAdABsAGUAXABuACAAIAA9AEwAQQBNAEIARABBACgAXAAiAE4AaQB0AHIAbwBnAGUAbgAgAGUAeABjAHIAZQB0AGkAbwBuACAAcABlAHIAIABiAGkAcgBkACAAcABlAHIAIABkAGEAeQBcACIAKQA7AFwAbgBcAG4AVgBFAEUAUgBHAF8ANABfADYAXwAxAF8AMwBfAF8ANABfAE4AaQB0AHIAbwBnAGUAbgBFAHgAYwByAGUAdABpAG8AbgBQAGUAcgBCAGkAcgBkAF8AVgBhAHIAaQBhAGIAbABlAFwAbgAgACAAPQBMAEEATQBCAEQAQQAoAFwAIgBOAEUAXwBqAGsAXAAiACkAOwBcAG4AXABuAFYARQBFAFIARwBfADQAXwA2AF8AMQBfADMAXwBfADQAXwBOAGkAdAByAG8AZwBlAG4ARQB4AGMAcgBlAHQAaQBvAG4AUABlAHIAQgBpAHIAZABfAFUAbgBpAHQAXABuACAAIAA9AEwAQQBNAEIARABBACgAXAAiAGsAZwAgAE4ALwBiAGkAcgBkAC8AZABhAHkAXAAiACkAOwBcAG4AXABuAFYARQBFAFIARwBfADQAXwA2AF8AMQBfADMAXwBfADQAXwBOAGkAdAByAG8AZwBlAG4ARQB4AGMAcgBlAHQAaQBvAG4AUABlAHIAQgBpAHIAZABfAFMAbwB1AHIAYwBlAFwAbgAgACAAPQBMAEEATQBCAEQAQQAoAFwAIgBWAEUARQBSAEcAIAAyADAAMgA2ADoAIAA0AC4ANgAuADEALgAzACwAIABFAHEAdQBhAHQAaQBvAG4AIAAoADQAKQBcACIAKQA7AFwAbgBcAG4AVgBFAEUAUgBHAF8ANABfADYAXwAxAF8AMwBfAF8ANABfAE4AaQB0AHIAbwBnAGUAbgBFAHgAYwByAGUAdABpAG8AbgBQAGUAcgBCAGkAcgBkAF8ATgBJAFIAUgBlAGYAZQByAGUAbgBjAGUAXABuACAAIAA9AEwAQQBNAEIARABBACgAXAAiAFwAIgApADsAXABuAFwAbgBWAEUARQBSAEcAXwA0AF8ANgBfADEAXwAzAF8AXwA0AF8ATgBpAHQAcgBvAGcAZQBuAEUAeABjAHIAZQB0AGkAbwBuAFAAZQByAEIAaQByAGQAXwBMAGEAdABlAHgARQBxAHUAYQB0AGkAbwBuAFwAbgAgACAAPQBMAEEATQBCAEQAQQAoAFwAIgBOAEUAXwB7AGoAawB9AD0ATgBJAF8AewBqAGsAfQBcAFwAdABpAG0AZQBzACgAMQAtAE4AUgBfAHsAagBrAH0AKQBcACIAKQA7AFwAbgBcAG4AVgBFAEUAUgBHAF8ANABfADYAXwAxAF8AMwBfAF8ANABfAE4AaQB0AHIAbwBnAGUAbgBFAHgAYwByAGUAdABpAG8AbgBQAGUAcgBCAGkAcgBkAF8AQQByAGcAdQBtAGUAbgB0AHMAXABuACAAIAA9AEwAQQBNAEIARABBACgAXABuACAAIAAgACAATQBBAEsARQBBAFIAUgBBAFkAKAAyACwAIAA0ACwAXABuACAAIAAgACAAIAAgAEwAQQBNAEIARABBACgAcgAsAGMALABcAG4AIAAgACAAIAAgACAAIAAgAEkATgBEAEUAWAAoAHsAXABuACAAIAAgACAAIAAgACAAIAAgACAAXAAiAE4ASQBfAGoAawBcACIALABcACIAbgBpAHQAcgBvAGcAZQBuACAAaQBuAHQAYQBrAGUAXAAiACwAXAAiAGsAZwAgAE4ALwBiAGkAcgBkAC8AZABhAHkAXAAiACwAIABcACIAQwBhAGwAYwB1AGwAYQB0AGUAZAAgAGYAcgBvAG0AIAA0AC4ANgAuADEALgAzACAAKAA1ACkAXAAiADsAXABuACAAIAAgACAAIAAgACAAIAAgACAAXAAiAE4AUgBfAGoAawBcACIALABcACIAbgBpAHQAcgBvAGcAZQBuACAAcgBlAHQAZQBuAHQAaQBvAG4AIABlAHgAcAByAGUAcwBzAGUAZAAgAGEAcwAgAGEAIABmAHIAYQBjAHQAaQBvAG4AIABvAGYAIABpAG4AdABhAGsAZQBcACIALAAgAFwAIgBmAHIAYQBjAHQAaQBvAG4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QAXwA2AF8AMQBfADMAXwBfADUAXwBOAGkAdAByAG8AZwBlAG4ASQBuAHQAYQBrAGUAXABuAE4AaQB0AHIAbwBnAGUAbgAgAGkAbgB0AGEAawBlACAAbwBmACAAcABvAHUAbAB0AHIAeQBcAG4ATgBJAF8AagBrAFwAbgBrAGcAIABOAC8AYgBpAHIAZAAvAGQAYQB5AFwAbgBOAEkAXwB7AGoAawB9AD0ASQBfAHsAagBrAH0AXABcAHQAaQBtAGUAcwAgAEMAUABfAHsAagBrAH0AXABcAGQAaQB2ACAANgAuADIANQBcAG4ASQBfAGoAawAgAD0AIABkAHIAeQAgAG0AYQB0AHQAZQByACAAaQBuAHQAYQBrAGUAIABmAG8AcgAgAGUAYQBjAGgAIABjAGwAYQBzAHMAIABhAG4AZAAgAHMAdQBiAGMAbABhAHMAcwAgADoAIABrAGcAIABEAE0ALwBiAGkAcgBkAC8AZABhAHkAXABuAEMAUABfAGoAawAgAD0AIABjAHIAdQBkAGUAIABwAHIAbwB0AGUAaQBuACAAYwBvAG4AdABlAG4AdAAgAG8AZgAgAGYAZQBlAGQAIAA6ACAAZgByAGEAYwB0AGkAbwBuAFwAbgA2AC4AMgA1ACAAPQAgAGYAYQBjAHQAbwByACAAZgBvAHIAIABjAG8AbgB2AGUAcgB0AGkAbgBnACAAYwByAHUAZABlACAAcAByAG8AdABlAGkAbgAgAGkAbgB0AG8AIABuAGkAdAByAG8AZwBlAG4AIAA6ACAAcgBhAHQAaQBvAFwAbgAtAC0ALQAtAC0ALQAtAC0ALQAtAC0ALQAtAC0ALQAtAC0ALQAtAC0ALQAtAC0ALQAtAC0ALQAtAC0ALQAtAC0ALQAtAC0ALQAtAC0AXABuACoALwBcAG4AXABuAFYARQBFAFIARwBfADQAXwA2AF8AMQBfADMAXwBfADUAXwBOAGkAdAByAG8AZwBlAG4ASQBuAHQAYQBrAGUAXABuACAAIAA9AEwAQQBNAEIARABBACgAXABuACAAIAAgACAASQBfAGoAawAsACAAQwBQAF8AagBrACwAXABuACAAIAAgACAASQBfAGoAawAgACoAIABDAFAAXwBqAGsAIAAvACAANgAuADIANQBcAG4AIAAgACkAOwBcAG4AXABuAFYARQBFAFIARwBfADQAXwA2AF8AMQBfADMAXwBfADUAXwBOAGkAdAByAG8AZwBlAG4ASQBuAHQAYQBrAGUAXwBUAGkAdABsAGUAXABuACAAIAA9AEwAQQBNAEIARABBACgAXAAiAE4AaQB0AHIAbwBnAGUAbgAgAGkAbgB0AGEAawBlACAAbwBmACAAcABvAHUAbAB0AHIAeQBcACIAKQA7AFwAbgBcAG4AVgBFAEUAUgBHAF8ANABfADYAXwAxAF8AMwBfAF8ANQBfAE4AaQB0AHIAbwBnAGUAbgBJAG4AdABhAGsAZQBfAFYAYQByAGkAYQBiAGwAZQBcAG4AIAAgAD0ATABBAE0AQgBEAEEAKABcACIATgBJAF8AagBrAFwAIgApADsAXABuAFwAbgBWAEUARQBSAEcAXwA0AF8ANgBfADEAXwAzAF8AXwA1AF8ATgBpAHQAcgBvAGcAZQBuAEkAbgB0AGEAawBlAF8AVQBuAGkAdABcAG4AIAAgAD0ATABBAE0AQgBEAEEAKABcACIAawBnACAATgAvAGIAaQByAGQALwBkAGEAeQBcACIAKQA7AFwAbgBcAG4AVgBFAEUAUgBHAF8ANABfADYAXwAxAF8AMwBfAF8ANQBfAE4AaQB0AHIAbwBnAGUAbgBJAG4AdABhAGsAZQBfAFMAbwB1AHIAYwBlAFwAbgAgACAAPQBMAEEATQBCAEQAQQAoAFwAIgBWAEUARQBSAEcAIAAyADAAMgA2ADoAIAA0AC4ANgAuADEALgAzACwAIABFAHEAdQBhAHQAaQBvAG4AIAAoADUAKQBcACIAKQA7AFwAbgBcAG4AVgBFAEUAUgBHAF8ANABfADYAXwAxAF8AMwBfAF8ANQBfAE4AaQB0AHIAbwBnAGUAbgBJAG4AdABhAGsAZQBfAE4ASQBSAFIAZQBmAGUAcgBlAG4AYwBlAFwAbgAgACAAPQBMAEEATQBCAEQAQQAoAFwAIgBcACIAKQA7AFwAbgBcAG4AVgBFAEUAUgBHAF8ANABfADYAXwAxAF8AMwBfAF8ANQBfAE4AaQB0AHIAbwBnAGUAbgBJAG4AdABhAGsAZQBfAEwAYQB0AGUAeABFAHEAdQBhAHQAaQBvAG4AXABuACAAIAA9AEwAQQBNAEIARABBACgAXAAiAE4ASQBfAHsAagBrAH0APQBJAF8AewBqAGsAfQBcAFwAdABpAG0AZQBzACAAQwBQAF8AewBqAGsAfQBcAFwAZABpAHYAIAA2AC4AMgA1AFwAIgApADsAXABuAFwAbgBWAEUARQBSAEcAXwA0AF8ANgBfADEAXwAzAF8AXwA1AF8ATgBpAHQAcgBvAGcAZQBuAEkAbgB0AGEAawBlAF8AQQByAGcAdQBtAGUAbgB0AHMAXABuACAAIAA9AEwAQQBNAEIARABBACgAXABuACAAIAAgACAATQBBAEsARQBBAFIAUgBBAFkAKAAzACwAIAA0ACwAXABuACAAIAAgACAAIAAgAEwAQQBNAEIARABBACgAcgAsAGMALABcAG4AIAAgACAAIAAgACAAIAAgAEkATgBEAEUAWAAoAHsAXABuACAAIAAgACAAIAAgACAAIAAgACAAXAAiAEkAXwBqAGsAXAAiACwAXAAiAGQAcgB5ACAAbQBhAHQAdABlAHIAIABpAG4AdABhAGsAZQAgAGYAbwByACAAZQBhAGMAaAAgAGMAbABhAHMAcwAgAGEAbgBkACAAcwB1AGIAYwBsAGEAcwBzAFwAIgAsACAAXAAiAGsAZwAgAEQATQAvAGIAaQByAGQALwBkAGEAeQBcACIALAAgAFwAIgBJAG4AcAB1AHQAXAAiADsAXABuACAAIAAgACAAIAAgACAAIAAgACAAXAAiAEMAUABfAGoAawBcACIALABcACIAYwByAHUAZABlACAAcAByAG8AdABlAGkAbgAgAGMAbwBuAHQAZQBuAHQAIABvAGYAIABmAGUAZQBkAFwAIgAsACAAXAAiAGYAcgBhAGMAdABpAG8AbgBcACIALAAgAFwAIgBJAG4AcAB1AHQAXAAiADsAXABuACAAIAAgACAAIAAgACAAIAAgACAAXAAiADYALgAyADUAXAAiACwAXAAiAGYAYQBjAHQAbwByACAAZgBvAHIAIABjAG8AbgB2AGUAcgB0AGkAbgBnACAAYwByAHUAZABlACAAcAByAG8AdABlAGkAbgAgAGkAbgB0AG8AIABuAGkAdAByAG8AZwBlAG4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2AF8AUwB0AGEAZwBlADIATgBpAHQAcgBvAGcAZQBuAEkAbgBNAE0AUwBcAG4ATgBpAHQAcgBvAGcAZQBuACAAaQBuACAAdAByAGUAYQB0AG0AZQBuAHQAIABzAHQAYQBnAGUAIAAyACAATQBNAFMAXABuAE0ATgBfAGoAawBtAFQAMgBcAG4AawBnACAATgBcAG4ATQBOAF8AewBqAGsAbQAsAFQAPQAyAH0APQBOAFQAXwB7AGoAawBtACwAVAA9ADIAfQBcAFwAdABpAG0AZQBzACAATQBNAFMAXwB7AG0ALABUAD0AMgB9AFwAbgBOAFQAXwBqAGsAbQBUADIAIAA9ACAAbgBpAHQAcgBvAGcAZQBuACAAdAByAGEAbgBzAGYAZQByAHIAZQBkACAAdABvACAAcwBlAGMAbwBuAGQAYQByAHkAIAB0AHIAZQBhAHQAbQBlAG4AdAAgAE0ATQBTACAAOgAgAGsAZwAgAE4AXABuAE0ATQBTAF8AbQBUADIAIAA9ACAAZgByAGEAYwB0AGkAbwBuACAAbwBmACAAbQBhAG4AdQByAGUAIABpAG4AIABlAGEAYwBoACAAcwBlAGMAbwBuAGQAYQByAHkAIABzAHkAcwB0AGUAbQAgADoAIABmAHIAYQBjAHQAaQBvAG4AXABuAE4AbwB0AGUAIAA9ACAAZABpAHIAZQBjAHQAIABhAHAAcABsAGkAYwBhAHQAaQBvAG4AIABhAHQAIABtAD0AMQAzACwAdAA9ADIAIABpAHMAIABtAG8AdgBlAGQAIAB0AG8AIABtAGEAbgB1AHIAZQAgAGEAcABwAGwAaQBlAGQAIAB0AG8AIABzAG8AaQBsAHMAIABhAG4AZAAgAGUAeABjAGwAdQBkAGUAZAAgAGYAcgBvAG0AIAB0AGgAaQBzACAAZQBxAHUAYQB0AGkAbwBuAFwAbgAtAC0ALQAtAC0ALQAtAC0ALQAtAC0ALQAtAC0ALQAtAC0ALQAtAC0ALQAtAC0ALQAtAC0ALQAtAC0ALQAtAC0ALQAtAC0ALQAtAC0AXABuACoALwBcAG4AXABuAFYARQBFAFIARwBfADQAXwA2AF8AMQBfADMAXwBfADYAXwBTAHQAYQBnAGUAMgBOAGkAdAByAG8AZwBlAG4ASQBuAE0ATQBTAFwAbgAgACAAPQBMAEEATQBCAEQAQQAoAFwAbgAgACAAIAAgAE4AVABfAGoAawBtAFQAMgAsACAATQBNAFMAXwBtAFQAMgAsAFwAbgAgACAAIAAgAE4AVABfAGoAawBtAFQAMgAgACoAIABNAE0AUwBfAG0AVAAyAFwAbgAgACAAKQA7AFwAbgBcAG4AVgBFAEUAUgBHAF8ANABfADYAXwAxAF8AMwBfAF8ANgBfAFMAdABhAGcAZQAyAE4AaQB0AHIAbwBnAGUAbgBJAG4ATQBNAFMAXwBUAGkAdABsAGUAXABuACAAIAA9AEwAQQBNAEIARABBACgAXAAiAE4AaQB0AHIAbwBnAGUAbgAgAGkAbgAgAHQAcgBlAGEAdABtAGUAbgB0ACAAcwB0AGEAZwBlACAAMgAgAE0ATQBTAFwAIgApADsAXABuAFwAbgBWAEUARQBSAEcAXwA0AF8ANgBfADEAXwAzAF8AXwA2AF8AUwB0AGEAZwBlADIATgBpAHQAcgBvAGcAZQBuAEkAbgBNAE0AUwBfAFYAYQByAGkAYQBiAGwAZQBcAG4AIAAgAD0ATABBAE0AQgBEAEEAKABcACIATQBOAF8AagBrAG0AVAAyAFwAIgApADsAXABuAFwAbgBWAEUARQBSAEcAXwA0AF8ANgBfADEAXwAzAF8AXwA2AF8AUwB0AGEAZwBlADIATgBpAHQAcgBvAGcAZQBuAEkAbgBNAE0AUwBfAFUAbgBpAHQAXABuACAAIAA9AEwAQQBNAEIARABBACgAXAAiAGsAZwAgAE4AXAAiACkAOwBcAG4AXABuAFYARQBFAFIARwBfADQAXwA2AF8AMQBfADMAXwBfADYAXwBTAHQAYQBnAGUAMgBOAGkAdAByAG8AZwBlAG4ASQBuAE0ATQBTAF8AUwBvAHUAcgBjAGUAXABuACAAIAA9AEwAQQBNAEIARABBACgAXAAiAFYARQBFAFIARwAgADIAMAAyADYAOgAgADQALgA2AC4AMQAuADMALAAgAEUAcQB1AGEAdABpAG8AbgAgACgANgApAFwAIgApADsAXABuAFwAbgBWAEUARQBSAEcAXwA0AF8ANgBfADEAXwAzAF8AXwA2AF8AUwB0AGEAZwBlADIATgBpAHQAcgBvAGcAZQBuAEkAbgBNAE0AUwBfAE4ASQBSAFIAZQBmAGUAcgBlAG4AYwBlAFwAbgAgACAAPQBMAEEATQBCAEQAQQAoAFwAIgBcACIAKQA7AFwAbgBcAG4AVgBFAEUAUgBHAF8ANABfADYAXwAxAF8AMwBfAF8ANgBfAFMAdABhAGcAZQAyAE4AaQB0AHIAbwBnAGUAbgBJAG4ATQBNAFMAXwBMAGEAdABlAHgARQBxAHUAYQB0AGkAbwBuAFwAbgAgACAAPQBMAEEATQBCAEQAQQAoAFwAIgBNAE4AXwB7AGoAawBtACwAVAA9ADIAfQA9AE4AVABfAHsAagBrAG0ALABUAD0AMgB9AFwAXAB0AGkAbQBlAHMAIABNAE0AUwBfAHsAbQAsAFQAPQAyAH0AXAAiACkAOwBcAG4AXABuAFYARQBFAFIARwBfADQAXwA2AF8AMQBfADMAXwBfADYAXwBTAHQAYQBnAGUAMgBOAGkAdAByAG8AZwBlAG4ASQBuAE0ATQBTAF8AQQByAGcAdQBtAGUAbgB0AHMAXABuACAAIAA9AEwAQQBNAEIARABBACgAXABuACAAIAAgACAATQBBAEsARQBBAFIAUgBBAFkAKAAyACwAIAA0ACwAXABuACAAIAAgACAAIAAgAEwAQQBNAEIARABBACgAcgAsAGMALABcAG4AIAAgACAAIAAgACAAIAAgAEkATgBEAEUAWAAoAHsAXABuACAAIAAgACAAIAAgACAAIAAgACAAXAAiAE4AVABfAGoAawBtAFQAMgBcACIALABcACIAbgBpAHQAcgBvAGcAZQBuACAAdAByAGEAbgBzAGYAZQByAHIAZQBkACAAdABvACAAcwBlAGMAbwBuAGQAYQByAHkAIAB0AHIAZQBhAHQAbQBlAG4AdAAgAE0ATQBTAFwAIgAsACAAXAAiAGsAZwAgAE4AXAAiACwAIABcACIAQwBhAGwAYwB1AGwAYQB0AGUAZAAgAGYAcgBvAG0AIAA0AC4ANgAuADEALgAzACAAKAA3ACkAXAAiADsAXABuACAAIAAgACAAIAAgACAAIAAgACAAXAAiAE0ATQBTAF8AbQBUADIAXAAiACwAXAAiAGYAcgBhAGMAdABpAG8AbgAgAG8AZgAgAG0AYQBuAHUAcgBlACAAaQBuACAAZQBhAGMAaAAgAHMAZQBjAG8AbgBkAGEAcgB5ACAAcwB5AHMAdABlAG0AXAAiACwAIABcACIAZgByAGEAYwB0AGkAbwBu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zAF8AXwA3AF8ATgBpAHQAcgBvAGcAZQBuAFQAcgBhAG4AcwBmAGUAcgByAGUAZABUAG8AUwB0AGEAZwBlADIATQBNAFMAXABuAE4AaQB0AHIAbwBnAGUAbgAgAHQAcgBhAG4AcwBmAGUAcgByAGUAZAAgAHQAbwAgAHQAcgBlAGEAdABtAGUAbgB0ACAAcwB0AGEAZwBlACAAMgAgAE0ATQBTAFwAbgBOAFQAXwBqAGsAbQBUADIAXABuAGsAZwAgAE4AXABuAE4AVABfAHsAagBrAG0ALABUAD0AMgB9AD0ATQBOAF8AewBqAGsAbQAsAFQAPQAxAH0AXABcAHQAaQBtAGUAcwAoADEALQBGAHIAYQBjAEcAQQBTAE0AXwB7AG0ALABUAD0AMQB9AC0ARQBGAF8AewBtACwAVAA9ADEAfQApAFwAbgBNAE4AXwBqAGsAbQBUADEAIAA9ACAAbgBpAHQAcgBvAGcAZQBuACAAaQBuACAATQBNAFMAIAB0AHIAZQBhAHQAbQBlAG4AdAAgAHMAdABhAGcAZQAgADEAIAA6ACAAawBnACAATgBcAG4ARgByAGEAYwBHAEEAUwBNAF8AbQBUADEAIAA9ACAAZgByAGEAYwB0AGkAbwBuACAAbwBmACAATgAgAHYAbwBsAGEAdABpAGwAaQBzAGUAZAAgAGYAcgBvAG0AIABNAE0AUwAgAHQAcgBlAGEAdABtAGUAbgB0ACAAYQB0ACAAcwB0AGEAZwBlACAAMQAgADoAIABmAHIAYQBjAHQAaQBvAG4AXABuAEUARgBfAG0AVAAxACAAPQAgAG4AaQB0AHIAbwB1AHMAIABvAHgAaQBkAGUAIABlAG0AaQBzAHMAaQBvAG4AIABmAGEAYwB0AG8AcgAgAGYAbwByACAATQBNAFMAIAB0AHIAZQBhAHQAbQBlAG4AdAAgAGEAdAAgAHMAdABhAGcAZQAgADEAIAA6ACAAawBnACAATgAyAE8ALQBOAC8AawBnACAATgBcAG4ALQAtAC0ALQAtAC0ALQAtAC0ALQAtAC0ALQAtAC0ALQAtAC0ALQAtAC0ALQAtAC0ALQAtAC0ALQAtAC0ALQAtAC0ALQAtAC0ALQAtAFwAbgAqAC8AXABuAFwAbgBWAEUARQBSAEcAXwA0AF8ANgBfADEAXwAzAF8AXwA3AF8ATgBpAHQAcgBvAGcAZQBuAFQAcgBhAG4AcwBmAGUAcgByAGUAZABUAG8AUwB0AGEAZwBlADIATQBNAFMAXABuACAAIAA9AEwAQQBNAEIARABBACgAXABuACAAIAAgACAATQBOAF8AagBrAG0AVAAxACwAIABGAHIAYQBjAEcAQQBTAE0AXwBtAFQAMQAsACAARQBGAF8AbQBUADEALABcAG4AIAAgACAAIABNAE4AXwBqAGsAbQBUADEAIAAqACAAKAAxACAALQAgAEYAcgBhAGMARwBBAFMATQBfAG0AVAAxACAALQAgAEUARgBfAG0AVAAxACkAXABuACAAIAApADsAXABuAFwAbgBWAEUARQBSAEcAXwA0AF8ANgBfADEAXwAzAF8AXwA3AF8ATgBpAHQAcgBvAGcAZQBuAFQAcgBhAG4AcwBmAGUAcgByAGUAZABUAG8AUwB0AGEAZwBlADIATQBNAFMAXwBUAGkAdABsAGUAXABuACAAIAA9AEwAQQBNAEIARABBACgAXAAiAE4AaQB0AHIAbwBnAGUAbgAgAHQAcgBhAG4AcwBmAGUAcgByAGUAZAAgAHQAbwAgAHQAcgBlAGEAdABtAGUAbgB0ACAAcwB0AGEAZwBlACAAMgAgAE0ATQBTAFwAIgApADsAXABuAFwAbgBWAEUARQBSAEcAXwA0AF8ANgBfADEAXwAzAF8AXwA3AF8ATgBpAHQAcgBvAGcAZQBuAFQAcgBhAG4AcwBmAGUAcgByAGUAZABUAG8AUwB0AGEAZwBlADIATQBNAFMAXwBWAGEAcgBpAGEAYgBsAGUAXABuACAAIAA9AEwAQQBNAEIARABBACgAXAAiAE4AVABfAGoAawBtAFQAMgBcACIAKQA7AFwAbgBcAG4AVgBFAEUAUgBHAF8ANABfADYAXwAxAF8AMwBfAF8ANwBfAE4AaQB0AHIAbwBnAGUAbgBUAHIAYQBuAHMAZgBlAHIAcgBlAGQAVABvAFMAdABhAGcAZQAyAE0ATQBTAF8AVQBuAGkAdABcAG4AIAAgAD0ATABBAE0AQgBEAEEAKABcACIAawBnACAATgBcACIAKQA7AFwAbgBcAG4AVgBFAEUAUgBHAF8ANABfADYAXwAxAF8AMwBfAF8ANwBfAE4AaQB0AHIAbwBnAGUAbgBUAHIAYQBuAHMAZgBlAHIAcgBlAGQAVABvAFMAdABhAGcAZQAyAE0ATQBTAF8AUwBvAHUAcgBjAGUAXABuACAAIAA9AEwAQQBNAEIARABBACgAXAAiAFYARQBFAFIARwAgADIAMAAyADYAOgAgADQALgA2AC4AMQAuADMALAAgAEUAcQB1AGEAdABpAG8AbgAgACgANwApAFwAIgApADsAXABuAFwAbgBWAEUARQBSAEcAXwA0AF8ANgBfADEAXwAzAF8AXwA3AF8ATgBpAHQAcgBvAGcAZQBuAFQAcgBhAG4AcwBmAGUAcgByAGUAZABUAG8AUwB0AGEAZwBlADIATQBNAFMAXwBOAEkAUgBSAGUAZgBlAHIAZQBuAGMAZQBcAG4AIAAgAD0ATABBAE0AQgBEAEEAKABcACIAXAAiACkAOwBcAG4AXABuAFYARQBFAFIARwBfADQAXwA2AF8AMQBfADMAXwBfADcAXwBOAGkAdAByAG8AZwBlAG4AVAByAGEAbgBzAGYAZQByAHIAZQBkAFQAbwBTAHQAYQBnAGUAMgBNAE0AUwBfAEwAYQB0AGUAeABFAHEAdQBhAHQAaQBvAG4AXABuACAAIAA9AEwAQQBNAEIARABBACgAXAAiAE4AVABfAHsAagBrAG0ALABUAD0AMgB9AD0ATQBOAF8AewBqAGsAbQAsAFQAPQAxAH0AXABcAHQAaQBtAGUAcwAoADEALQBGAHIAYQBjAEcAQQBTAE0AXwB7AG0ALABUAD0AMQB9AC0ARQBGAF8AewBtACwAVAA9ADEAfQApAFwAIgApADsAXABuAFwAbgBWAEUARQBSAEcAXwA0AF8ANgBfADEAXwAzAF8AXwA3AF8ATgBpAHQAcgBvAGcAZQBuAFQAcgBhAG4AcwBmAGUAcgByAGUAZABUAG8AUwB0AGEAZwBlADIATQBNAFMAXwBBAHIAZwB1AG0AZQBuAHQAcwBcAG4AIAAgAD0ATABBAE0AQgBEAEEAKABcAG4AIAAgACAAIABNAEEASwBFAEEAUgBSAEEAWQAoADMALAAgADQALABcAG4AIAAgACAAIAAgACAATABBAE0AQgBEAEEAKAByACwAYwAsAFwAbgAgACAAIAAgACAAIAAgACAASQBOAEQARQBYACgAewBcAG4AIAAgACAAIAAgACAAIAAgACAAIABcACIATQBOAF8AagBrAG0AVAAxAFwAIgAsAFwAIgBuAGkAdAByAG8AZwBlAG4AIABpAG4AIABNAE0AUwAgAHQAcgBlAGEAdABtAGUAbgB0ACAAcwB0AGEAZwBlACAAMQBcACIALAAgAFwAIgBrAGcAIABOAFwAIgAsACAAXAAiAEMAYQBsAGMAdQBsAGEAdABlAGQAIABmAHIAbwBtACAANAAuADYALgAxAC4AMwAgACgANgApAFwAIgA7AFwAbgAgACAAIAAgACAAIAAgACAAIAAgAFwAIgBGAHIAYQBjAEcAQQBTAE0AXwBtAFQAMQBcACIALABcACIAZgByAGEAYwB0AGkAbwBuACAAbwBmACAATgAgAHYAbwBsAGEAdABpAGwAaQBzAGUAZAAgAGYAcgBvAG0AIABNAE0AUwAgAHQAcgBlAGEAdABtAGUAbgB0ACAAYQB0ACAAcwB0AGEAZwBlACAAMQBcACIALAAgAFwAIgBmAHIAYQBjAHQAaQBvAG4AXAAiACwAIABcACIAQwBvAG4AcwB0AGEAbgB0AFwAIgA7AFwAbgAgACAAIAAgACAAIAAgACAAIAAgAFwAIgBFAEYAXwBtAFQAMQBcACIALABcACIAbgBpAHQAcgBvAHUAcwAgAG8AeABpAGQAZQAgAGUAbQBpAHMAcwBpAG8AbgAgAGYAYQBjAHQAbwByACAAZgBvAHIAIABNAE0AUwAgAHQAcgBlAGEAdABtAGUAbgB0ACAAYQB0ACAAcwB0AGEAZwBlACAAMQBcACIALAAgAFwAIgBrAGcAIABOADIATwAtAE4ALwBrAGcAIABOAFwAIgAsACAAXAAiAEMAbwBuAHMAdABhAG4AdABcACIAXABuACAAIAAgACAAIAAgACAAIAB9ACwAIAByACwAIABjACkAXABuACAAIAAgACAAIAAgACkAXABuACAAIAAgACAAKQBcAG4AIAAgACkAOwBcAG4AXABuACIAfQAsAHsAIgBwAGEAdABoACIAOgAiAC8AcAByAG8AagBlAGMAdABzAC8ATQBNAFMAXwBQAG8AdQBsAHQAcgB5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UAIABNAGUAdABoAG8AZAAgADEAIAAtACAATQBhAG4AdQByAGUAIABBAHQAbQBvAHMAcABoAGUAcgBpAGMAIABEAGUAcABvAHMAaQB0AGkAbwBu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UAXwBfADEAXwBUAG8AdABhAGwAQQBuAG4AdQBhAGwAQQB0AG0AbwBzAHAAaABlAHIAaQBjAEQAZQBwAG8AcwBpAHQAaQBvAG4ARQBtAGkAcwBzAGkAbwBuAHMARgByAG8AbQBNAE0AUwBcAG4AVABvAHQAYQBsACAAYQBuAG4AdQBhAGwAIABhAHQAbQBvAHMAcABoAGUAcgBpAGMAIABkAGUAcABvAHMAaQB0AGkAbwBuACAAZQBtAGkAcwBzAGkAbwBuAHMAIABmAHIAbwBtACAAbQBhAG4AdQByAGUAIABtAGEAbgBhAGcAZQBtAGUAbgB0AFwAbgBFAF8ATgAyAE8AYQBkAFwAbgB0ACAATgAyAE8AXABuAEUAXwB7AE4AMgBPACwAYQBkAH0APQAoAE0ATQBTAF8AewBBAFQATQBPAFMAfQBcAFwAdABpAG0AZQBzACAARQBGAF8AewBOADIATwB9AFwAXAB0AGkAbQBlAHMAIABDAF8AewBOADIATwB9ACkAXABcAHQAaQBtAGUAcwAxADAAXgB7AC0AMwB9AFwAbgBNAE0AUwBfAEEAVABNAE8AUwAgAD0AIABtAGEAcwBzACAAbwBmACAATgAgAHYAbwBsAGEAdABpAGwAaQBzAGUAZAAgAGYAcgBvAG0AIABNAE0AUwAgADoAIABrAGcAIABOAFwAbgBFAEYAXwBOADIATwAgAD0AIABuAGkAdAByAG8AdQBzACAAbwB4AGkAZABlACAAZQBtAGkAcwBzAGkAbwBuACAAZgBhAGMAdABvAHIAIABmAG8AcgAgAGEAdABtAG8AcwBwAGgAZQByAGkAYwAgAGQAZQBwAG8AcwBpAHQAaQBvAG4AIAA6ACAAawBnACAATgAyAE8ALQBOAC8AawBnACAATgBcAG4AQwBfAE4AMgBPACAAPQAgAGYAYQBjAHQAbwByACAAdABvACAAYwBvAG4AdgBlAHIAdAAgAGUAbABlAG0AZQBuAHQAYQBsACAAbQBhAHMAcwAgAG8AZgAgAG4AaQB0AHIAbwB1AHMAIABvAHgAaQBkAGUAIAB0AG8AIABtAG8AbABlAGMAdQBsAGEAcgAgAG0AYQBzAHMAIAA6ACAAcgBhAHQAaQBvAFwAbgAtAC0ALQAtAC0ALQAtAC0ALQAtAC0ALQAtAC0ALQAtAC0ALQAtAC0ALQAtAC0ALQAtAC0ALQAtAC0ALQAtAC0ALQAtAC0ALQAtAC0AXABuACoALwBcAG4AXABuAFYARQBFAFIARwBfADQAXwA2AF8AMQBfADUAXwBfADEAXwBUAG8AdABhAGwAQQBuAG4AdQBhAGwAQQB0AG0AbwBzAHAAaABlAHIAaQBjAEQAZQBwAG8AcwBpAHQAaQBvAG4ARQBtAGkAcwBzAGkAbwBuAHMARgByAG8AbQBNAE0AUwBcAG4AIAAgAD0ATABBAE0AQgBEAEEAKABcAG4AIAAgACAAIABNAE0AUwBfAEEAVABNAE8AUwAsACAARQBGAF8ATgAyAE8ALAAgAEMAXwBOADIATwAsAFwAbgAgACAAIAAgACgATQBNAFMAXwBBAFQATQBPAFMAIAAqACAARQBGAF8ATgAyAE8AIAAqACAAQwBfAE4AMgBPACkAIAAqACAAMQAwACAAXgAgAC0AMwBcAG4AIAAgACkAOwBcAG4AXABuAFYARQBFAFIARwBfADQAXwA2AF8AMQBfADUAXwBfADEAXwBUAG8AdABhAGwAQQBuAG4AdQBhAGwAQQB0AG0AbwBzAHAAaABlAHIAaQBjAEQAZQBwAG8AcwBpAHQAaQBvAG4ARQBtAGkAcwBzAGkAbwBuAHMARgByAG8AbQBNAE0AUwBfAFQAaQB0AGwAZQBcAG4AIAAgAD0ATABBAE0AQgBEAEEAKABcACIAVABvAHQAYQBsACAAYQBuAG4AdQBhAGwAIABhAHQAbQBvAHMAcABoAGUAcgBpAGMAIABkAGUAcABvAHMAaQB0AGkAbwBuACAAZQBtAGkAcwBzAGkAbwBuAHMAIABmAHIAbwBtACAAbQBhAG4AdQByAGUAIABtAGEAbgBhAGcAZQBtAGUAbgB0AFwAIgApADsAXABuAFwAbgBWAEUARQBSAEcAXwA0AF8ANgBfADEAXwA1AF8AXwAxAF8AVABvAHQAYQBsAEEAbgBuAHUAYQBsAEEAdABtAG8AcwBwAGgAZQByAGkAYwBEAGUAcABvAHMAaQB0AGkAbwBuAEUAbQBpAHMAcwBpAG8AbgBzAEYAcgBvAG0ATQBNAFMAXwBWAGEAcgBpAGEAYgBsAGUAXABuACAAIAA9AEwAQQBNAEIARABBACgAXAAiAEUAXwBOADIATwBhAGQAXAAiACkAOwBcAG4AXABuAFYARQBFAFIARwBfADQAXwA2AF8AMQBfADUAXwBfADEAXwBUAG8AdABhAGwAQQBuAG4AdQBhAGwAQQB0AG0AbwBzAHAAaABlAHIAaQBjAEQAZQBwAG8AcwBpAHQAaQBvAG4ARQBtAGkAcwBzAGkAbwBuAHMARgByAG8AbQBNAE0AUwBfAFUAbgBpAHQAXABuACAAIAA9AEwAQQBNAEIARABBACgAXAAiAHQAIABOADIATwBcACIAKQA7AFwAbgBcAG4AVgBFAEUAUgBHAF8ANABfADYAXwAxAF8ANQBfAF8AMQBfAFQAbwB0AGEAbABBAG4AbgB1AGEAbABBAHQAbQBvAHMAcABoAGUAcgBpAGMARABlAHAAbwBzAGkAdABpAG8AbgBFAG0AaQBzAHMAaQBvAG4AcwBGAHIAbwBtAE0ATQBTAF8AUwBvAHUAcgBjAGUAXABuACAAIAA9AEwAQQBNAEIARABBACgAXAAiAFYARQBFAFIARwAgADIAMAAyADYAOgAgADQALgA2AC4AMQAuADUALAAgAEUAcQB1AGEAdABpAG8AbgAgACgAMQApAFwAIgApADsAXABuAFwAbgBWAEUARQBSAEcAXwA0AF8ANgBfADEAXwA1AF8AXwAxAF8AVABvAHQAYQBsAEEAbgBuAHUAYQBsAEEAdABtAG8AcwBwAGgAZQByAGkAYwBEAGUAcABvAHMAaQB0AGkAbwBuAEUAbQBpAHMAcwBpAG8AbgBzAEYAcgBvAG0ATQBNAFMAXwBOAEkAUgBSAGUAZgBlAHIAZQBuAGMAZQBcAG4AIAAgAD0ATABBAE0AQgBEAEEAKABcACIAXAAiACkAOwBcAG4AXABuAFYARQBFAFIARwBfADQAXwA2AF8AMQBfADUAXwBfADEAXwBUAG8AdABhAGwAQQBuAG4AdQBhAGwAQQB0AG0AbwBzAHAAaABlAHIAaQBjAEQAZQBwAG8AcwBpAHQAaQBvAG4ARQBtAGkAcwBzAGkAbwBuAHMARgByAG8AbQBNAE0AUwBfAEwAYQB0AGUAeABFAHEAdQBhAHQAaQBvAG4AXABuACAAIAA9AEwAQQBNAEIARABBACgAXAAiAEUAXwB7AE4AMgBPACwAYQBkAH0APQAoAE0ATQBTAF8AewBBAFQATQBPAFMAfQBcAFwAdABpAG0AZQBzACAARQBGAF8AewBOADIATwB9AFwAXAB0AGkAbQBlAHMAIABDAF8AewBOADIATwB9ACkAXABcAHQAaQBtAGUAcwAxADAAXgB7AC0AMwB9AFwAIgApADsAXABuAFwAbgBWAEUARQBSAEcAXwA0AF8ANgBfADEAXwA1AF8AXwAxAF8AVABvAHQAYQBsAEEAbgBuAHUAYQBsAEEAdABtAG8AcwBwAGgAZQByAGkAYwBEAGUAcABvAHMAaQB0AGkAbwBuAEUAbQBpAHMAcwBpAG8AbgBzAEYAcgBvAG0ATQBNAFMAXwBBAHIAZwB1AG0AZQBuAHQAcwBcAG4AIAAgAD0ATABBAE0AQgBEAEEAKABcAG4AIAAgACAAIABNAEEASwBFAEEAUgBSAEEAWQAoADYALAAgADQALABcAG4AIAAgACAAIAAgACAATABBAE0AQgBEAEEAKAByACwAYwAsAFwAbgAgACAAIAAgACAAIAAgACAASQBOAEQARQBYACgAewBcAG4AIAAgACAAIAAgACAAIAAgACAAIABcACIATQBNAFMAXwBBAFQATQBPAFMAXAAiACwAXAAiAG0AYQBzAHMAIABvAGYAIABOACAAdgBvAGwAYQB0AGkAbABpAHMAZQBkACAAZgByAG8AbQAgAE0ATQBTAFwAIgAsACAAXAAiAGsAZwAgAE4AXAAiACwAIABcACIAQwBhAGwAYwB1AGwAYQB0AGUAZAAgAGYAcgBvAG0AIAA0AC4ANgAuADEALgA1ACAAKAAyACkAXAAiADsAXABuACAAIAAgACAAIAAgACAAIAAgACAAXAAiAEUARgBfAE4AMgBPAFwAIgAsAFwAIgBuAGkAdAByAG8AdQBzACAAbwB4AGkAZABlACAAZQBtAGkAcwBzAGkAbwBuACAAZgBhAGMAdABvAHIAIABmAG8AcgAgAGEAdABtAG8AcwBwAGgAZQByAGkAYwAgAGQAZQBwAG8AcwBpAHQAaQBvAG4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yAGEAdABpAG8AXAAiACwAIABcACIAQwBvAG4AcwB0AGEAbgB0AFwAIgA7AFwAbgAgACAAIAAgACAAIAAgACAAIAAgAFwAIgBqAFwAIgAsACAAXAAiAHAAcgBvAGQAdQBjAHQAaQBvAG4AIABzAHkAcwB0AGUAbQBcACIALAAgAFwAIgBcACIALAAgAFwAIgBJAG4AcAB1AHQAXAAiADsAXABuACAAIAAgACAAIAAgACAAIAAgACAAXAAiAGkAcgBcACIALAAgAFwAIgBpAHIAcgBpAGcAYQB0AGkAbwBuACAAbQBlAHQAaABvAGQAXAAiACwAIABcACIAXAAiACwAIABcACIASQBuAHAAdQB0AFwAIgA7AFwAbgAgACAAIAAgACAAIAAgACAAIAAgAFwAIgByAFwAIgAsACAAXAAiAHIAYQBpAG4AZgBhAGwAbAAgAHIAZQBnAGkAbwBu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0AF8ANgBfADEAXwA1AF8AXwAyAF8AVABvAHQAYQBsAE4AaQB0AHIAbwBnAGUAbgBWAG8AbABhAHQAaQBsAGkAcwBlAGQARgByAG8AbQBNAE0AUwBcAG4AVABvAHQAYQBsACAAbgBpAHQAcgBvAGcAZQBuACAAdgBvAGwAYQB0AGkAbABpAHMAZQBkACAAZgByAG8AbQAgAG0AYQBuAHUAcgBlACAAbQBhAG4AYQBnAGUAbQBlAG4AdAAgAHMAeQBzAHQAZQBtAHMAXABuAE0ATQBTAF8AQQBUAE0ATwBTAFwAbgBrAGcAIABOAFwAbgBNAE0AUwBfAHsAQQBUAE0ATwBTAH0APQBcAFwAcwB1AG0AXwB7AGoAfQBcAFwAcwB1AG0AXwB7AGsAfQBcAFwAcwB1AG0AXwB7AG0AfQBcAFwAcwB1AG0AXwB7AFQAfQAoAE0ATgBfAHsAagBrAG0AVAB9AFwAXAB0AGkAbQBlAHMAIABGAHIAYQBjAEcAQQBTAE0AXwB7AG0AVAB9ACkAXABuAE0ATgBfAGoAawBtAFQAIAA9ACAAbgBpAHQAcgBvAGcAZQBuACAAaQBuACAAZQBhAGMAaAAgAHQAcgBlAGEAdABtAGUAbgB0ACAAcwB0AGEAZwBlACAATQBNAFMAIAAoAGUAeABjAGwAdQBkAGkAbgBnACAATQBOAF8AagBrAG0AMQAzAFQAMgApACAAOgAgAGsAZwAgAE4AXABuAEYAcgBhAGMARwBBAFMATQBfAG0AVAAgAD0AIABmAHIAYQBjAHQAaQBvAG4AIABvAGYAIABOACAAdgBvAGwAYQB0AGkAbABpAHMAZQBkACAAaQBuACAAZQBhAGMAaAAgAE0ATQBTACAAOgAgACgAawBnACAATgBIADMALQBOACAAKwAgAE4ATwB4AC0ATgApAC8AawBnACAATgBcAG4ALQAtAC0ALQAtAC0ALQAtAC0ALQAtAC0ALQAtAC0ALQAtAC0ALQAtAC0ALQAtAC0ALQAtAC0ALQAtAC0ALQAtAC0ALQAtAC0ALQAtAFwAbgAqAC8AXABuAFwAbgBWAEUARQBSAEcAXwA0AF8ANgBfADEAXwA1AF8AXwAyAF8AVABvAHQAYQBsAE4AaQB0AHIAbwBnAGUAbgBWAG8AbABhAHQAaQBsAGkAcwBlAGQARgByAG8AbQBNAE0AUwBcAG4AIAAgAD0ATABBAE0AQgBEAEEAKABcAG4AIAAgACAAIABNAE4AXwBqAGsAbQBUACwAIABGAHIAYQBjAEcAQQBTAE0AXwBtAFQALABcAG4AIAAgACAAIABNAE4AXwBqAGsAbQBUACAAKgAgAEYAcgBhAGMARwBBAFMATQBfAG0AVABcAG4AIAAgACkAOwBcAG4AXABuAFYARQBFAFIARwBfADQAXwA2AF8AMQBfADUAXwBfADIAXwBUAG8AdABhAGwATgBpAHQAcgBvAGcAZQBuAFYAbwBsAGEAdABpAGwAaQBzAGUAZABGAHIAbwBtAE0ATQBTAF8AVABpAHQAbABlAFwAbgAgACAAPQBMAEEATQBCAEQAQQAoAFwAIgBUAG8AdABhAGwAIABuAGkAdAByAG8AZwBlAG4AIAB2AG8AbABhAHQAaQBsAGkAcwBlAGQAIABmAHIAbwBtACAAbQBhAG4AdQByAGUAIABtAGEAbgBhAGcAZQBtAGUAbgB0ACAAcwB5AHMAdABlAG0AcwBcACIAKQA7AFwAbgBcAG4AVgBFAEUAUgBHAF8ANABfADYAXwAxAF8ANQBfAF8AMgBfAFQAbwB0AGEAbABOAGkAdAByAG8AZwBlAG4AVgBvAGwAYQB0AGkAbABpAHMAZQBkAEYAcgBvAG0ATQBNAFMAXwBWAGEAcgBpAGEAYgBsAGUAXABuACAAIAA9AEwAQQBNAEIARABBACgAXAAiAE0ATQBTAF8AQQBUAE0ATwBTAFwAIgApADsAXABuAFwAbgBWAEUARQBSAEcAXwA0AF8ANgBfADEAXwA1AF8AXwAyAF8AVABvAHQAYQBsAE4AaQB0AHIAbwBnAGUAbgBWAG8AbABhAHQAaQBsAGkAcwBlAGQARgByAG8AbQBNAE0AUwBfAFUAbgBpAHQAXABuACAAIAA9AEwAQQBNAEIARABBACgAXAAiAGsAZwAgAE4AXAAiACkAOwBcAG4AXABuAFYARQBFAFIARwBfADQAXwA2AF8AMQBfADUAXwBfADIAXwBUAG8AdABhAGwATgBpAHQAcgBvAGcAZQBuAFYAbwBsAGEAdABpAGwAaQBzAGUAZABGAHIAbwBtAE0ATQBTAF8AUwBvAHUAcgBjAGUAXABuACAAIAA9AEwAQQBNAEIARABBACgAXAAiAFYARQBFAFIARwAgADIAMAAyADYAOgAgADQALgA2AC4AMQAuADUALAAgAEUAcQB1AGEAdABpAG8AbgAgACgAMgApAFwAIgApADsAXABuAFwAbgBWAEUARQBSAEcAXwA0AF8ANgBfADEAXwA1AF8AXwAyAF8AVABvAHQAYQBsAE4AaQB0AHIAbwBnAGUAbgBWAG8AbABhAHQAaQBsAGkAcwBlAGQARgByAG8AbQBNAE0AUwBfAE4ASQBSAFIAZQBmAGUAcgBlAG4AYwBlAFwAbgAgACAAPQBMAEEATQBCAEQAQQAoAFwAIgBcACIAKQA7AFwAbgBcAG4AVgBFAEUAUgBHAF8ANABfADYAXwAxAF8ANQBfAF8AMgBfAFQAbwB0AGEAbABOAGkAdAByAG8AZwBlAG4AVgBvAGwAYQB0AGkAbABpAHMAZQBkAEYAcgBvAG0ATQBNAFMAXwBMAGEAdABlAHgARQBxAHUAYQB0AGkAbwBuAFwAbgAgACAAPQBMAEEATQBCAEQAQQAoAFwAIgBNAE0AUwBfAHsAQQBUAE0ATwBTAH0APQBcAFwAcwB1AG0AXwB7AGoAfQBcAFwAcwB1AG0AXwB7AGsAfQBcAFwAcwB1AG0AXwB7AG0AfQBcAFwAcwB1AG0AXwB7AFQAfQAoAE0ATgBfAHsAagBrAG0AVAB9AFwAXAB0AGkAbQBlAHMAIABGAHIAYQBjAEcAQQBTAE0AXwB7AG0AVAB9ACkAXAAiACkAOwBcAG4AXABuAFYARQBFAFIARwBfADQAXwA2AF8AMQBfADUAXwBfADIAXwBUAG8AdABhAGwATgBpAHQAcgBvAGcAZQBuAFYAbwBsAGEAdABpAGwAaQBzAGUAZABGAHIAbwBtAE0ATQBTAF8AQQByAGcAdQBtAGUAbgB0AHMAXABuACAAIAA9AEwAQQBNAEIARABBACgAXABuACAAIAAgACAATQBBAEsARQBBAFIAUgBBAFkAKAAyACwAIAA0ACwAXABuACAAIAAgACAAIAAgAEwAQQBNAEIARABBACgAcgAsAGMALABcAG4AIAAgACAAIAAgACAAIAAgAEkATgBEAEUAWAAoAHsAXABuACAAIAAgACAAIAAgACAAIAAgACAAXAAiAE0ATgBfAGoAawBtAFQAXAAiACwAXAAiAG4AaQB0AHIAbwBnAGUAbgAgAGkAbgAgAGUAYQBjAGgAIAB0AHIAZQBhAHQAbQBlAG4AdAAgAHMAdABhAGcAZQAgAE0ATQBTACAAKABlAHgAYwBsAHUAZABpAG4AZwAgAE0ATgBfAGoAawBtADEAMwBUADIAKQBcACIALAAgAFwAIgBrAGcAIABOAFwAIgAsACAAXAAiAEMAYQBsAGMAdQBsAGEAdABlAGQAIABmAHIAbwBtACAANAAuADYALgAxAC4AMwAgACgAMgApACgANgApAFwAIgA7AFwAbgAgACAAIAAgACAAIAAgACAAIAAgAFwAIgBGAHIAYQBjAEcAQQBTAE0AXwBtAFQAXAAiACwAXAAiAGYAcgBhAGMAdABpAG8AbgAgAG8AZgAgAE4AIAB2AG8AbABhAHQAaQBsAGkAcwBlAGQAIABpAG4AIABlAGEAYwBoACAATQBNAFMAXAAiACwAIABcACIAKABrAGcAIABOAEgAMwAtAE4AIAArACAATgBPAHgALQBOACkALwBrAGcAIABOAFwAIgAsACAAXAAiAEMAbwBuAHMAdABhAG4AdABcACIAXABuACAAIAAgACAAIAAgACAAIAB9ACwAIAByACwAIABjACkAXABuACAAIAAgACAAIAAgACkAXABuACAAIAAgACAAKQBcAG4AIAAgACkAOwBcAG4AIgB9ACwAewAiAHAAYQB0AGgAIgA6ACIALwBwAHIAbwBqAGUAYwB0AHMALwBNAE0AUwBfAFAAbwB1AGwAdAByAHk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cAIABNAGUAdABoAG8AZAAgADEAIAAtACAATQBhAG4AdQByAGUAIABMAGUAYQBjAGgAaQBuAGcAIABhAG4AZAAgAFIAdQBuAG8AZgBmACAATgAyAE8AIABQAG8AdQBsAHQAcgB5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YAXwAxAF8ANwBfAF8AMQBfAEEAbgBuAHUAYQBsAEUAbQBpAHMAcwBpAG8AbgBzAEYAcgBvAG0ATABlAGEAYwBoAGkAbgBnAEEAbgBkAFIAdQBuAG8AZgBmAEYAcgBvAG0ATQBNAFMAXABuAEEAbgBuAHUAYQBsACAAZQBtAGkAcwBzAGkAbwBuAHMAIABmAHIAbwBtACAAbABlAGEAYwBoAGkAbgBnACAAYQBuAGQAIAByAHUAbgBvAGYAZgAgAGYAcgBvAG0AIABlAGEAYwBoACAATQBNAFMAXABuAEUAXwBOADIATwBsAGUAYQBjAGgAXABuAHQAIABOADIATwBcAG4ARQBfAHsATgAyAE8ALABsAGUAYQBjAGgAfQA9AE0ATgBMAGUAYQBjAGgAXwB7AGoAawBtAD0ANAB9AFwAXAB0AGkAbQBlAHMAIABFAEYAXwB7AGwAZQBhAGMAaAB9AFwAXAB0AGkAbQBlAHMAIABDAF8AewBOADIATwB9AFwAXAB0AGkAbQBlAHMAMQAwAF4AewAtADMAfQBcAG4ATQBOAEwAZQBhAGMAaABfAGoAawBtADQAIAA9ACAAbQBhAHMAcwAgAG8AZgAgAE4AIABsAG8AcwB0ACAAdABoAHIAbwB1AGcAaAAgAGwAZQBhAGMAaABpAG4AZwAgAGEAbgBkACAAcgB1AG4AbwBmAGYAIABmAHIAbwBtACAAZQBhAGMAaAAgAE0ATQBTACAAOgAgAGsAZwAgAE4AXABuAEUARgBfAGwAZQBhAGMAaAAgAD0AIABlAG0AaQBzAHMAaQBvAG4AIABmAGEAYwB0AG8AcgAgAGYAbwByACAAbABlAGEAYwBoAGkAbgBnACAAYQBuAGQAIAByAHUAbgBvAGYAZgAgADoAIABrAGcAIABOADIATwAtAE4ALwBrAGcAIABOAFwAbgBDAF8ATgAyAE8AIAA9ACAAZgBhAGMAdABvAHIAIAB0AG8AIABjAG8AbgB2AGUAcgB0ACAAZQBsAGUAbQBlAG4AdABhAGwAIABtAGEAcwBzACAAbwBmACAATgAyAE8AIAB0AG8AIABtAG8AbABlAGMAdQBsAGEAcgAgAG0AYQBzAHMAIAA6ACAAcgBhAHQAaQBvAFwAbgBWAEEAUgBJAEEAVABJAE8ATgAgAE8ARgAgAFMATwBVAFIAQwBFADoAIABGAG8AcgAgAE0AZQB0AGgAbwBkACAAMQAsACAAZQBtAGkAcwBzAGkAbwBuAHMAIABhAHIAZQAgAGUAcwB0AGkAbQBhAHQAZQBkACAAZgBvAHIAIABzAG8AbABpAGQAIABzAHQAbwByAGEAZwBlACAAKABtAD0ANAApAC4AXABuAC0ALQAtAC0ALQAtAC0ALQAtAC0ALQAtAC0ALQAtAC0ALQAtAC0ALQAtAC0ALQAtAC0ALQAtAC0ALQAtAC0ALQAtAC0ALQAtAC0ALQBcAG4AKgAvAFwAbgBcAG4AVgBFAEUAUgBHAF8ANABfADYAXwAxAF8ANwBfAF8AMQBfAEEAbgBuAHUAYQBsAEUAbQBpAHMAcwBpAG8AbgBzAEYAcgBvAG0ATABlAGEAYwBoAGkAbgBnAEEAbgBkAFIAdQBuAG8AZgBmAEYAcgBvAG0ATQBNAFMAXABuACAAIAA9AEwAQQBNAEIARABBACgAXABuACAAIAAgACAATQBOAEwAZQBhAGMAaABfAGoAawBtADQALAAgAEUARgBfAGwAZQBhAGMAaAAsACAAQwBfAE4AMgBPACwAXABuACAAIAAgACAAKABNAE4ATABlAGEAYwBoAF8AagBrAG0ANAAgACoAIABFAEYAXwBsAGUAYQBjAGgAIAAqACAAQwBfAE4AMgBPACkAIAAqACAAMQAwACAAXgAgAC0AMwBcAG4AIAAgACkAOwBcAG4AXABuAFYARQBFAFIARwBfADQAXwA2AF8AMQBfADcAXwBfADEAXwBBAG4AbgB1AGEAbABFAG0AaQBzAHMAaQBvAG4AcwBGAHIAbwBtAEwAZQBhAGMAaABpAG4AZwBBAG4AZABSAHUAbgBvAGYAZgBGAHIAbwBtAE0ATQBTAF8AVABpAHQAbABlAFwAbgAgACAAPQBMAEEATQBCAEQAQQAoAFwAIgBBAG4AbgB1AGEAbAAgAGUAbQBpAHMAcwBpAG8AbgBzACAAZgByAG8AbQAgAGwAZQBhAGMAaABpAG4AZwAgAGEAbgBkACAAcgB1AG4AbwBmAGYAIABmAHIAbwBtACAAZQBhAGMAaAAgAE0ATQBTAFwAIgApADsAXABuAFwAbgBWAEUARQBSAEcAXwA0AF8ANgBfADEAXwA3AF8AXwAxAF8AQQBuAG4AdQBhAGwARQBtAGkAcwBzAGkAbwBuAHMARgByAG8AbQBMAGUAYQBjAGgAaQBuAGcAQQBuAGQAUgB1AG4AbwBmAGYARgByAG8AbQBNAE0AUwBfAFYAYQByAGkAYQBiAGwAZQBcAG4AIAAgAD0ATABBAE0AQgBEAEEAKABcACIARQBfAE4AMgBPAGwAZQBhAGMAaABcACIAKQA7AFwAbgBcAG4AVgBFAEUAUgBHAF8ANABfADYAXwAxAF8ANwBfAF8AMQBfAEEAbgBuAHUAYQBsAEUAbQBpAHMAcwBpAG8AbgBzAEYAcgBvAG0ATABlAGEAYwBoAGkAbgBnAEEAbgBkAFIAdQBuAG8AZgBmAEYAcgBvAG0ATQBNAFMAXwBVAG4AaQB0AFwAbgAgACAAPQBMAEEATQBCAEQAQQAoAFwAIgB0ACAATgAyAE8AXAAiACkAOwBcAG4AXABuAFYARQBFAFIARwBfADQAXwA2AF8AMQBfADcAXwBfADEAXwBBAG4AbgB1AGEAbABFAG0AaQBzAHMAaQBvAG4AcwBGAHIAbwBtAEwAZQBhAGMAaABpAG4AZwBBAG4AZABSAHUAbgBvAGYAZgBGAHIAbwBtAE0ATQBTAF8AUwBvAHUAcgBjAGUAXABuACAAIAA9AEwAQQBNAEIARABBACgAXAAiAFYARQBFAFIARwAgADIAMAAyADYAOgAgADQALgA2AC4AMQAuADcALAAgAEUAcQB1AGEAdABpAG8AbgAgACgAMQApAFwAIgApADsAXABuAFwAbgBWAEUARQBSAEcAXwA0AF8ANgBfADEAXwA3AF8AXwAxAF8AQQBuAG4AdQBhAGwARQBtAGkAcwBzAGkAbwBuAHMARgByAG8AbQBMAGUAYQBjAGgAaQBuAGcAQQBuAGQAUgB1AG4AbwBmAGYARgByAG8AbQBNAE0AUwBfAE4ASQBSAFIAZQBmAGUAcgBlAG4AYwBlAFwAbgAgACAAPQBMAEEATQBCAEQAQQAoAFwAIgBcACIAKQA7AFwAbgBcAG4AVgBFAEUAUgBHAF8ANABfADYAXwAxAF8ANwBfAF8AMQBfAEEAbgBuAHUAYQBsAEUAbQBpAHMAcwBpAG8AbgBzAEYAcgBvAG0ATABlAGEAYwBoAGkAbgBnAEEAbgBkAFIAdQBuAG8AZgBmAEYAcgBvAG0ATQBNAFMAXwBMAGEAdABlAHgARQBxAHUAYQB0AGkAbwBuAFwAbgAgACAAPQBMAEEATQBCAEQAQQAoAFwAIgBFAF8AewBOADIATwAsAGwAZQBhAGMAaAB9AD0ATQBOAEwAZQBhAGMAaABfAHsAagBrAG0APQA0AH0AXABcAHQAaQBtAGUAcwAgAEUARgBfAHsAbABlAGEAYwBoAH0AXABcAHQAaQBtAGUAcwAgAEMAXwB7AE4AMgBPAH0AXABcAHQAaQBtAGUAcwAxADAAXgB7AC0AMwB9AFwAIgApADsAXABuAFwAbgBWAEUARQBSAEcAXwA0AF8ANgBfADEAXwA3AF8AXwAxAF8AQQBuAG4AdQBhAGwARQBtAGkAcwBzAGkAbwBuAHMARgByAG8AbQBMAGUAYQBjAGgAaQBuAGcAQQBuAGQAUgB1AG4AbwBmAGYARgByAG8AbQBNAE0AUwBfAEEAcgBnAHUAbQBlAG4AdABzAFwAbgAgACAAPQBMAEEATQBCAEQAQQAoAFwAbgAgACAAIAAgAE0AQQBLAEUAQQBSAFIAQQBZACgAMwAsACAANAAsAFwAbgAgACAAIAAgACAAIABMAEEATQBCAEQAQQAoAHIALABjACwAXABuACAAIAAgACAAIAAgACAAIABJAE4ARABFAFgAKAB7AFwAbgAgACAAIAAgACAAIAAgACAAIAAgAFwAIgBNAE4ATABlAGEAYwBoAF8AagBrAG0ANABcACIALABcACIAbQBhAHMAcwAgAG8AZgAgAE4AIABsAG8AcwB0ACAAdABoAHIAbwB1AGcAaAAgAGwAZQBhAGMAaABpAG4AZwAgAGEAbgBkACAAcgB1AG4AbwBmAGYAIABmAHIAbwBtACAAZQBhAGMAaAAgAE0ATQBTAFwAIgAsACAAXAAiAGsAZwAgAE4AXAAiACwAIABcACIAQwBhAGwAYwB1AGwAYQB0AGUAZAAgAGYAcgBvAG0AIAA0AC4ANgAuADEALgA3ACAAKAAyACkAXAAiADsAXABuACAAIAAgACAAIAAgACAAIAAgACAAXAAiAEUARgBfAGwAZQBhAGMAaABcACIALABcACIAZQBtAGkAcwBzAGkAbwBuACAAZgBhAGMAdABvAHIAIABmAG8AcgAgAGwAZQBhAGMAaABpAG4AZwAgAGEAbgBkACAAcgB1AG4AbwBmAGYAXAAiACwAIABcACIAawBnACAATgAyAE8ALQBOAC8AawBnACAATgBcACIALAAgAFwAIgBDAG8AbgBzAHQAYQBuAHQAXAAiADsAXABuACAAIAAgACAAIAAgACAAIAAgACAAXAAiAEMAXwBOADIATwBcACIAL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gBfADEAXwA3AF8AXwAyAF8ATQBhAHMAcwBPAGYATgBpAHQAcgBvAGcAZQBuAEwAbwBzAHQAVABvAEwAZQBhAGMAaABpAG4AZwBBAG4AZABSAHUAbgBvAGYAZgBGAHIAbwBtAFMAbwBsAGkAZABTAHQAbwByAGEAZwBlAFwAbgBNAGEAcwBzACAAbwBmACAAbgBpAHQAcgBvAGcAZQBuACAAbABvAHMAdAAgAHQAbwAgAGwAZQBhAGMAaABpAG4AZwAgAGEAbgBkACAAcgB1AG4AbwBmAGYAIABmAHIAbwBtACAAcwBvAGwAaQBkACAAcwB0AG8AcgBhAGcAZQAgAHMAeQBzAHQAZQBtAHMAXABuAE0ATgBMAGUAYQBjAGgAXwBqAGsAbQA0AFwAbgBrAGcAIABOAFwAbgBNAE4ATABlAGEAYwBoAF8AewBqAGsAbQA9ADQAfQA9AE0ATgBfAHsAagBrAG0APQA0ACwAVAA9ADEAfQBcAFwAdABpAG0AZQBzACAARgByAGEAYwBXAEUAVABcAFwAdABpAG0AZQBzACAARgByAGEAYwBMAEUAQQBDAEgAXwB7AE0AUwB9AFwAbgBNAE4AXwBqAGsAbQA0AFQAMQAgAD0AIABuAGkAdAByAG8AZwBlAG4AIABpAG4AIABzAG8AbABpAGQAIABzAHQAbwByAGEAZwBlACAATQBNAFMAIAB0AHIAZQBhAHQAbQBlAG4AdAAgAHMAdABhAGcAZQAgADEAIAA6ACAAawBnACAATgBcAG4ARgByAGEAYwBXAEUAVAAgAD0AIABmAHIAYQBjAHQAaQBvAG4AIABvAGYAIABOACAAYQB2AGEAaQBsAGEAYgBsAGUAIABmAG8AcgAgAGwAZQBhAGMAaABpAG4AZwAgAGEAbgBkACAAcgB1AG4AbwBmAGYAIAA6ACAAZgByAGEAYwB0AGkAbwBuAFwAbgBGAHIAYQBjAEwARQBBAEMASABfAE0AUwAgAD0AIABmAHIAYQBjAHQAaQBvAG4AIABvAGYAIABOACAAbABvAHMAdAAgAHQAaAByAG8AdQBnAGgAIABsAGUAYQBjAGgAaQBuAGcAIABhAG4AZAAgAHIAdQBuAG8AZgBmACAAOgAgAGYAcgBhAGMAdABpAG8AbgBcAG4ALQAtAC0ALQAtAC0ALQAtAC0ALQAtAC0ALQAtAC0ALQAtAC0ALQAtAC0ALQAtAC0ALQAtAC0ALQAtAC0ALQAtAC0ALQAtAC0ALQAtAFwAbgAqAC8AXABuAFwAbgBWAEUARQBSAEcAXwA0AF8ANgBfADEAXwA3AF8AXwAyAF8ATQBhAHMAcwBPAGYATgBpAHQAcgBvAGcAZQBuAEwAbwBzAHQAVABvAEwAZQBhAGMAaABpAG4AZwBBAG4AZABSAHUAbgBvAGYAZgBGAHIAbwBtAFMAbwBsAGkAZABTAHQAbwByAGEAZwBlAFwAbgAgACAAPQBMAEEATQBCAEQAQQAoAFwAbgAgACAAIAAgAE0ATgBfAGoAawBtADQAVAAyACwAIABGAHIAYQBjAFcARQBUACwAIABGAHIAYQBjAEwARQBBAEMASABfAE0AUwAsAFwAbgAgACAAIAAgAE0ATgBfAGoAawBtADQAVAAyACAAKgAgAEYAcgBhAGMAVwBFAFQAIAAqACAARgByAGEAYwBMAEUAQQBDAEgAXwBNAFMAXABuACAAIAApADsAXABuAFwAbgBWAEUARQBSAEcAXwA0AF8ANgBfADEAXwA3AF8AXwAyAF8ATQBhAHMAcwBPAGYATgBpAHQAcgBvAGcAZQBuAEwAbwBzAHQAVABvAEwAZQBhAGMAaABpAG4AZwBBAG4AZABSAHUAbgBvAGYAZgBGAHIAbwBtAFMAbwBsAGkAZABTAHQAbwByAGEAZwBlAF8AVABpAHQAbABlAFwAbgAgACAAPQBMAEEATQBCAEQAQQAoAFwAIgBNAGEAcwBzACAAbwBmACAAbgBpAHQAcgBvAGcAZQBuACAAbABvAHMAdAAgAHQAbwAgAGwAZQBhAGMAaABpAG4AZwAgAGEAbgBkACAAcgB1AG4AbwBmAGYAIABmAHIAbwBtACAAcwBvAGwAaQBkACAAcwB0AG8AcgBhAGcAZQAgAHMAeQBzAHQAZQBtAHMAXAAiACkAOwBcAG4AXABuAFYARQBFAFIARwBfADQAXwA2AF8AMQBfADcAXwBfADIAXwBNAGEAcwBzAE8AZgBOAGkAdAByAG8AZwBlAG4ATABvAHMAdABUAG8ATABlAGEAYwBoAGkAbgBnAEEAbgBkAFIAdQBuAG8AZgBmAEYAcgBvAG0AUwBvAGwAaQBkAFMAdABvAHIAYQBnAGUAXwBWAGEAcgBpAGEAYgBsAGUAXABuACAAIAA9AEwAQQBNAEIARABBACgAXAAiAE0ATgBMAGUAYQBjAGgAXwBqAGsAbQA0AFwAIgApADsAXABuAFwAbgBWAEUARQBSAEcAXwA0AF8ANgBfADEAXwA3AF8AXwAyAF8ATQBhAHMAcwBPAGYATgBpAHQAcgBvAGcAZQBuAEwAbwBzAHQAVABvAEwAZQBhAGMAaABpAG4AZwBBAG4AZABSAHUAbgBvAGYAZgBGAHIAbwBtAFMAbwBsAGkAZABTAHQAbwByAGEAZwBlAF8AVQBuAGkAdABcAG4AIAAgAD0ATABBAE0AQgBEAEEAKABcACIAawBnACAATgBcACIAKQA7AFwAbgBcAG4AVgBFAEUAUgBHAF8ANABfADYAXwAxAF8ANwBfAF8AMgBfAE0AYQBzAHMATwBmAE4AaQB0AHIAbwBnAGUAbgBMAG8AcwB0AFQAbwBMAGUAYQBjAGgAaQBuAGcAQQBuAGQAUgB1AG4AbwBmAGYARgByAG8AbQBTAG8AbABpAGQAUwB0AG8AcgBhAGcAZQBfAFMAbwB1AHIAYwBlAFwAbgAgACAAPQBMAEEATQBCAEQAQQAoAFwAIgBWAEUARQBSAEcAIAAyADAAMgA2ADoAIAA0AC4ANgAuADEALgA3ACwAIABFAHEAdQBhAHQAaQBvAG4AIAAoADIAKQBcACIAKQA7AFwAbgBcAG4AVgBFAEUAUgBHAF8ANABfADYAXwAxAF8ANwBfAF8AMgBfAE0AYQBzAHMATwBmAE4AaQB0AHIAbwBnAGUAbgBMAG8AcwB0AFQAbwBMAGUAYQBjAGgAaQBuAGcAQQBuAGQAUgB1AG4AbwBmAGYARgByAG8AbQBTAG8AbABpAGQAUwB0AG8AcgBhAGcAZQBfAE4ASQBSAFIAZQBmAGUAcgBlAG4AYwBlAFwAbgAgACAAPQBMAEEATQBCAEQAQQAoAFwAIgBcACIAKQA7AFwAbgBcAG4AVgBFAEUAUgBHAF8ANABfADYAXwAxAF8ANwBfAF8AMgBfAE0AYQBzAHMATwBmAE4AaQB0AHIAbwBnAGUAbgBMAG8AcwB0AFQAbwBMAGUAYQBjAGgAaQBuAGcAQQBuAGQAUgB1AG4AbwBmAGYARgByAG8AbQBTAG8AbABpAGQAUwB0AG8AcgBhAGcAZQBfAEwAYQB0AGUAeABFAHEAdQBhAHQAaQBvAG4AXABuACAAIAA9AEwAQQBNAEIARABBACgAXAAiAE0ATgBMAGUAYQBjAGgAXwB7AGoAawBtAD0ANAB9AD0ATQBOAF8AewBqAGsAbQA9ADQALABUAD0AMgB9AFwAXAB0AGkAbQBlAHMAIABGAHIAYQBjAFcARQBUAFwAXAB0AGkAbQBlAHMAIABGAHIAYQBjAEwARQBBAEMASABfAHsATQBTAH0AXAAiACkAOwBcAG4AXABuAFYARQBFAFIARwBfADQAXwA2AF8AMQBfADcAXwBfADIAXwBNAGEAcwBzAE8AZgBOAGkAdAByAG8AZwBlAG4ATABvAHMAdABUAG8ATABlAGEAYwBoAGkAbgBnAEEAbgBkAFIAdQBuAG8AZgBmAEYAcgBvAG0AUwBvAGwAaQBkAFMAdABvAHIAYQBnAGUAXwBBAHIAZwB1AG0AZQBuAHQAcwBcAG4AIAAgAD0ATABBAE0AQgBEAEEAKABcAG4AIAAgACAAIABNAEEASwBFAEEAUgBSAEEAWQAoADYALAAgADQALABcAG4AIAAgACAAIAAgACAATABBAE0AQgBEAEEAKAByACwAYwAsAFwAbgAgACAAIAAgACAAIAAgACAASQBOAEQARQBYACgAewBcAG4AIAAgACAAIAAgACAAIAAgACAAIABcACIATQBOAF8AagBrAG0ANABUADIAXAAiACwAXAAiAG4AaQB0AHIAbwBnAGUAbgAgAGkAbgAgAHMAbwBsAGkAZAAgAHMAdABvAHIAYQBnAGUAIABNAE0AUwAgAHQAcgBlAGEAdABtAGUAbgB0ACAAcwB0AGEAZwBlACAAMgBcACIALAAgAFwAIgBrAGcAIABOAFwAIgAsACAAXAAiAEMAYQBsAGMAdQBsAGEAdABlAGQAIABmAHIAbwBtACAANAAuADYALgAxAC4AMwAgACgANgApAFwAIgA7AFwAbgAgACAAIAAgACAAIAAgACAAIAAgAFwAIgBGAHIAYQBjAFcARQBU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XAAiAGYAcgBhAGMAdABpAG8AbgAgAG8AZgAgAE4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NAE0AUwBfAFAAbwB1AGwAdAByAHkAXwBNAGEAbgB1AHIAZQBBAHAAcABsAGkAZQBkAFQAbwBTAG8AaQBsAHM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kAIABNAGEAbgB1AHIAZQAgAEEAcABwAGwAaQBlAGQAIAB0AG8AIABTAG8AaQBsAHM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gBfADEAXwA5AF8AXwAxAF8ATQBhAHMAcwBPAGYATgBpAHQAcgBvAGcAZQBuAEEAcABwAGwAaQBlAGQAVABvAFMAbwBpAGwAcwBTAGMAbwBwAGUAMQBcAG4ATQBhAHMAcwAgAG8AZgAgAG4AaQB0AHIAbwBnAGUAbgAgAGEAcABwAGwAaQBlAGQAIAB0AG8AIABzAG8AaQBsAHMAIABmAG8AcgAgAHMAYwBvAHAAZQAgADEAIABlAG0AaQBzAHMAaQBvAG4AcwBcAG4ATQBOAFMAbwBpAGwAXwBzAGMAbwBwAGUAMQBcAG4AawBnACAATgBcAG4ATQBOAFMAbwBpAGwAXwB7AHMAYwBvAHAAZQAxAH0APQBcAFwAcwB1AG0AXwB7AGoAfQBcAFwAcwB1AG0AXwB7AG0AfQAoAE0ATgBfAHsAagBtACwAVAA9ADIAfQBcAFwAdABpAG0AZQBzACgAMQAtAEUARgBfAHsAbQBUAD0AMgB9AC0ARgByAGEAYwBHAEEAUwBNAF8AewBtAFQAPQAyAH0AKQAtAE0ATgBMAGUAYQBjAGgAXwB7AE0ATQBTAH0AKQBcAFwAdABpAG0AZQBzACAAUABGAFwAbgBNAE4AXwBqAG0AVAAyACAAPQAgAG0AYQBzAHMAIABvAGYAIABOACAAaQBuACAAcwBlAGMAbwBuAGQAYQByAHkAIAB0AHIAZQBhAHQAbQBlAG4AdAAgAHMAdABhAGcAZQAgAGEAcwAgAGMAYQBsAGMAdQBsAGEAdABlAGQAIABmAG8AcgAgAG0AYQBuAHUAcgBlACAAbQBhAG4AYQBnAGUAbQBlAG4AdAAgADoAIABrAGcAIABOAFwAbgBFAEYAXwBtAFQAMgAgAD0AIABuAGkAdAByAG8AdQBzACAAbwB4AGkAZABlACAAZQBtAGkAcwBzAGkAbwBuACAAZgBhAGMAdABvAHIAIABmAG8AcgAgAGUAYQBjAGgAIABNAE0AUwAgADoAIABrAGcAIABOADIATwAtAE4ALwBrAGcAIABOAFwAbgBGAHIAYQBjAEcAQQBTAE0AXwBtAFQAMgAgAD0AIABmAHIAYQBjAHQAaQBvAG4AIABvAGYAIABhAG4AaQBtAGEAbAAgAHcAYQBzAHQAZQAgAE4AIAB2AG8AbABhAHQAaQBsAGkAcwBlAGQAIABpAG4AIABlAGEAYwBoACAATQBNAFMAIAA6ACAAKABrAGcAIABOAEgAMwAtAE4AIAArACAATgBPAHgALQBOACkALwBrAGcAIABOAFwAbgBNAE4ATABlAGEAYwBoAF8ATQBNAFMAIAA9ACAAbQBhAHMAcwAgAG8AZgAgAE4AIABsAG8AcwB0ACAAdABoAHIAbwB1AGcAaAAgAGwAZQBhAGMAaABpAG4AZwAgAGEAbgBkACAAcgB1AG4AbwBmAGYAIABmAHIAbwBtACAATQBNAFMAIAA6ACAAawBnACAATgBcAG4AUABGACAAPQAgAGYAcgBhAGMAdABpAG8AbgAgAG8AZgAgAG0AYQBuAHUAcgBlACAAYQBwAHAAbABpAGUAZAAgAHQAbwAgAHMAbwBpAGwAIAB3AGkAdABoAGkAbgAgAHQAaABlACAAZgBhAHIAbQAgAGIAbwB1AG4AZABhAHIAeQAgADoAIABmAHIAYQBjAHQAaQBvAG4AXABuAC0ALQAtAC0ALQAtAC0ALQAtAC0ALQAtAC0ALQAtAC0ALQAtAC0ALQAtAC0ALQAtAC0ALQAtAC0ALQAtAC0ALQAtAC0ALQAtAC0ALQBcAG4AKgAvAFwAbgBcAG4AVgBFAEUAUgBHAF8ANABfADYAXwAxAF8AOQBfAF8AMQBfAE0AYQBzAHMATwBmAE4AaQB0AHIAbwBnAGUAbgBBAHAAcABsAGkAZQBkAFQAbwBTAG8AaQBsAHMAUwBjAG8AcABlADEAXABuACAAIAA9AEwAQQBNAEIARABBACgAXABuACAAIAAgACAATQBOAF8AagBtAFQAMgAsACAARQBGAF8AbQBUADIALAAgAEYAcgBhAGMARwBBAFMATQBfAG0AVAAyACwAIABNAE4ATABlAGEAYwBoAF8ATQBNAFMALAAgAFAARgAsAFwAbgAgACAAIAAgACgATQBOAF8AagBtAFQAMgAgACoAIAAoADEAIAAtACAARQBGAF8AbQBUADIAIAAtACAARgByAGEAYwBHAEEAUwBNAF8AbQBUADIAKQAgAC0AIABNAE4ATABlAGEAYwBoAF8ATQBNAFMAKQAgACoAIABQAEYAXABuACAAIAApADsAXABuAFwAbgBWAEUARQBSAEcAXwA0AF8ANgBfADEAXwA5AF8AXwAxAF8ATQBhAHMAcwBPAGYATgBpAHQAcgBvAGcAZQBuAEEAcABwAGwAaQBlAGQAVABvAFMAbwBpAGwAcwBTAGMAbwBwAGUAMQBfAFQAaQB0AGwAZQBcAG4AIAAgAD0ATABBAE0AQgBEAEEAKABcACIATQBhAHMAcwAgAG8AZgAgAG4AaQB0AHIAbwBnAGUAbgAgAGEAcABwAGwAaQBlAGQAIAB0AG8AIABzAG8AaQBsAHMAIABmAG8AcgAgAHMAYwBvAHAAZQAgADEAIABlAG0AaQBzAHMAaQBvAG4AcwBcACIAKQA7AFwAbgBcAG4AVgBFAEUAUgBHAF8ANABfADYAXwAxAF8AOQBfAF8AMQBfAE0AYQBzAHMATwBmAE4AaQB0AHIAbwBnAGUAbgBBAHAAcABsAGkAZQBkAFQAbwBTAG8AaQBsAHMAUwBjAG8AcABlADEAXwBWAGEAcgBpAGEAYgBsAGUAXABuACAAIAA9AEwAQQBNAEIARABBACgAXAAiAE0ATgBTAG8AaQBsAF8AcwBjAG8AcABlADEAXAAiACkAOwBcAG4AXABuAFYARQBFAFIARwBfADQAXwA2AF8AMQBfADkAXwBfADEAXwBNAGEAcwBzAE8AZgBOAGkAdAByAG8AZwBlAG4AQQBwAHAAbABpAGUAZABUAG8AUwBvAGkAbABzAFMAYwBvAHAAZQAxAF8AVQBuAGkAdABcAG4AIAAgAD0ATABBAE0AQgBEAEEAKABcACIAawBnACAATgBcACIAKQA7AFwAbgBcAG4AVgBFAEUAUgBHAF8ANABfADYAXwAxAF8AOQBfAF8AMQBfAE0AYQBzAHMATwBmAE4AaQB0AHIAbwBnAGUAbgBBAHAAcABsAGkAZQBkAFQAbwBTAG8AaQBsAHMAUwBjAG8AcABlADEAXwBTAG8AdQByAGMAZQBcAG4AIAAgAD0ATABBAE0AQgBEAEEAKABcACIAVgBFAEUAUgBHACAAMgAwADIANgA6ACAANAAuADYALgAxAC4AOQAsACAARQBxAHUAYQB0AGkAbwBuACAAKAAxACkAXAAiACkAOwBcAG4AXABuAFYARQBFAFIARwBfADQAXwA2AF8AMQBfADkAXwBfADEAXwBNAGEAcwBzAE8AZgBOAGkAdAByAG8AZwBlAG4AQQBwAHAAbABpAGUAZABUAG8AUwBvAGkAbABzAFMAYwBvAHAAZQAxAF8ATgBJAFIAUgBlAGYAZQByAGUAbgBjAGUAXABuACAAIAA9AEwAQQBNAEIARABBACgAXAAiAFwAIgApADsAXABuAFwAbgBWAEUARQBSAEcAXwA0AF8ANgBfADEAXwA5AF8AXwAxAF8ATQBhAHMAcwBPAGYATgBpAHQAcgBvAGcAZQBuAEEAcABwAGwAaQBlAGQAVABvAFMAbwBpAGwAcwBTAGMAbwBwAGUAMQBfAEwAYQB0AGUAeABFAHEAdQBhAHQAaQBvAG4AXABuACAAIAA9AEwAQQBNAEIARABBACgAXAAiAE0ATgBTAG8AaQBsAF8AewBzAGMAbwBwAGUAMQB9AD0AXABcAHMAdQBtAF8AewBqAH0AXABcAHMAdQBtAF8AewBtAH0AKABNAE4AXwB7AGoAbQAsAFQAPQAyAH0AXABcAHQAaQBtAGUAcwAoADEALQBFAEYAXwB7AG0AVAA9ADIAfQAtAEYAcgBhAGMARwBBAFMATQBfAHsAbQBUAD0AMgB9ACkALQBNAE4ATABlAGEAYwBoAF8AewBNAE0AUwB9ACkAXABcAHQAaQBtAGUAcwAgAFAARgBcACIAKQA7AFwAbgBcAG4AVgBFAEUAUgBHAF8ANABfADYAXwAxAF8AOQBfAF8AMQBfAE0AYQBzAHMATwBmAE4AaQB0AHIAbwBnAGUAbgBBAHAAcABsAGkAZQBkAFQAbwBTAG8AaQBsAHMAUwBjAG8AcABlADEAXwBBAHIAZwB1AG0AZQBuAHQAcwBcAG4AIAAgAD0ATABBAE0AQgBEAEEAKABcAG4AIAAgACAAIABNAEEASwBFAEEAUgBSAEEAWQAoADUALAAgADQALABcAG4AIAAgACAAIAAgACAATABBAE0AQgBEAEEAKAByACwAYwAsAFwAbgAgACAAIAAgACAAIAAgACAASQBOAEQARQBYACgAewBcAG4AIAAgACAAIAAgACAAIAAgACAAIABcACIATQBOAF8AagBtAFQAMgBcACIALABcACIAbQBhAHMAcwAgAG8AZgAgAE4AIABpAG4AIABzAGUAYwBvAG4AZABhAHIAeQAgAHQAcgBlAGEAdABtAGUAbgB0ACAAcwB0AGEAZwBlACAAYQBzACAAYwBhAGwAYwB1AGwAYQB0AGUAZAAgAGYAbwByACAAbQBhAG4AdQByAGUAIABtAGEAbgBhAGcAZQBtAGUAbgB0AFwAIgAsACAAXAAiAGsAZwAgAE4AXAAiACwAIABcACIAQwBhAGwAYwB1AGwAYQB0AGUAZAAgAGYAcgBvAG0AIAA0AC4ANgAuADEALgAzACAAKAA2ACkAXAAiADsAXABuACAAIAAgACAAIAAgACAAIAAgACAAXAAiAEUARgBfAG0AVAAyAFwAIgAsAFwAIgBuAGkAdAByAG8AdQBzACAAbwB4AGkAZABlACAAZQBtAGkAcwBzAGkAbwBuACAAZgBhAGMAdABvAHIAIABmAG8AcgAgAGUAYQBjAGgAIABNAE0AUwBcACIALAAgAFwAIgBrAGcAIABOADIATwAtAE4ALwBrAGcAIABOAFwAIgAsACAAXAAiAEMAbwBuAHMAdABhAG4AdABcACIAOwBcAG4AIAAgACAAIAAgACAAIAAgACAAIABcACIARgByAGEAYwBHAEEAUwBNAF8AbQBUADIAXAAiACwAXAAiAGYAcgBhAGMAdABpAG8AbgAgAG8AZgAgAGEAbgBpAG0AYQBsACAAdwBhAHMAdABlACAATgAgAHYAbwBsAGEAdABpAGwAaQBzAGUAZAAgAGkAbgAgAGUAYQBjAGgAIABNAE0AUwBcACIALAAgAFwAIgAoAGsAZwAgAE4ASAAzAC0ATgAgACsAIABOAE8AeAAtAE4AKQAvAGsAZwAgAE4AXAAiACwAIABcACIAQwBvAG4AcwB0AGEAbgB0AFwAIgA7AFwAbgAgACAAIAAgACAAIAAgACAAIAAgAFwAIgBNAE4ATABlAGEAYwBoAF8ATQBNAFMAXAAiACwAXAAiAG0AYQBzAHMAIABvAGYAIABOACAAbABvAHMAdAAgAHQAaAByAG8AdQBnAGgAIABsAGUAYQBjAGgAaQBuAGcAIABhAG4AZAAgAHIAdQBuAG8AZgBmACAAZgByAG8AbQAgAE0ATQBTAFwAIgAsACAAXAAiAGsAZwAgAE4AXAAiACwAIABcACIAQwBhAGwAYwB1AGwAYQB0AGUAZAAgAGYAcgBvAG0AIAA0AC4ANgAuADEALgA3ACAAKAAyACkAXAAiADsAXABuACAAIAAgACAAIAAgACAAIAAgACAAXAAiAFAARgBcACIALABcACIAZgByAGEAYwB0AGkAbwBuACAAbwBmACAAbQBhAG4AdQByAGUAIABhAHAAcABsAGkAZQBkACAAdABvACAAcwBvAGkAbAAgAHcAaQB0AGgAaQBuACAAdABoAGUAIABmAGEAcgBtACAAYgBvAHUAbgBkAGEAcgB5AFwAIgAsACAAXAAiAGYAcgBhAGMAdABpAG8Ab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YAXwAxAF8AOQBfAF8AMgBfAE0AYQBzAHMATwBmAE4AaQB0AHIAbwBnAGUAbgBBAHAAcABsAGkAZQBkAFQAbwBTAG8AaQBsAHMAUwBjAG8AcABlADMAXABuAE0AYQBzAHMAIABvAGYAIABuAGkAdAByAG8AZwBlAG4AIABhAHAAcABsAGkAZQBkACAAdABvACAAcwBvAGkAbABzACAAZgBvAHIAIABzAGMAbwBwAGUAIAAzACAAZQBtAGkAcwBzAGkAbwBuAHMAXABuAE0ATgBTAG8AaQBsAF8AcwBjAG8AcABlADMAXABuAGsAZwAgAE4AXABuAE0ATgBTAG8AaQBsAF8AewBzAGMAbwBwAGUAMwB9AD0AXABcAHMAdQBtAF8AewBqAH0AXABcAHMAdQBtAF8AewBtAH0AKABNAE4AXwB7AGoAbQAsAFQAPQAyAH0AXABcAHQAaQBtAGUAcwAoADEALQBFAEYAXwB7AG0AVAA9ADIAfQAtAEYAcgBhAGMARwBBAFMATQBfAHsAbQBUAD0AMgB9ACkALQBNAE4ATABlAGEAYwBoAF8AewBNAE0AUwB9ACkAXABcAHQAaQBtAGUAcwAoADEALQBQAEYAKQBcAG4ATQBOAF8AagBtAFQAMgAgAD0AIABtAGEAcwBzACAAbwBmACAATgAgAGkAbgAgAHMAZQBjAG8AbgBkAGEAcgB5ACAAdAByAGUAYQB0AG0AZQBuAHQAIABzAHQAYQBnAGUAIABhAHMAIABjAGEAbABjAHUAbABhAHQAZQBkACAAZgBvAHIAIABtAGEAbgB1AHIAZQAgAG0AYQBuAGEAZwBlAG0AZQBuAHQAIAA6ACAAawBnACAATgBcAG4ARQBGAF8AbQBUADIAIAA9ACAAbgBpAHQAcgBvAHUAcwAgAG8AeABpAGQAZQAgAGUAbQBpAHMAcwBpAG8AbgAgAGYAYQBjAHQAbwByACAAZgBvAHIAIABlAGEAYwBoACAATQBNAFMAIAA6ACAAawBnACAATgAyAE8ALQBOAC8AawBnACAATgBcAG4ARgByAGEAYwBHAEEAUwBNAF8AbQBUADIAIAA9ACAAZgByAGEAYwB0AGkAbwBuACAAbwBmACAAYQBuAGkAbQBhAGwAIAB3AGEAcwB0AGUAIABOACAAdgBvAGwAYQB0AGkAbABpAHMAZQBkACAAaQBuACAAZQBhAGMAaAAgAE0ATQBTACAAOgAgACgAawBnACAATgBIADMALQBOACAAKwAgAE4ATwB4AC0ATgApAC8AawBnACAATgBcAG4ATQBOAEwAZQBhAGMAaABfAE0ATQBTACAAPQAgAG0AYQBzAHMAIABvAGYAIABOACAAbABvAHMAdAAgAHQAaAByAG8AdQBnAGgAIABsAGUAYQBjAGgAaQBuAGcAIABhAG4AZAAgAHIAdQBuAG8AZgBmACAAZgByAG8AbQAgAE0ATQBTACAAOgAgAGsAZwAgAE4AXABuAFAARgAgAD0AIABmAHIAYQBjAHQAaQBvAG4AIABvAGYAIABtAGEAbgB1AHIAZQAgAGEAcABwAGwAaQBlAGQAIAB0AG8AIABzAG8AaQBsACAAdwBpAHQAaABpAG4AIAB0AGgAZQAgAGYAYQByAG0AIABiAG8AdQBuAGQAYQByAHkAIAA6ACAAZgByAGEAYwB0AGkAbwBuAFwAbgAtAC0ALQAtAC0ALQAtAC0ALQAtAC0ALQAtAC0ALQAtAC0ALQAtAC0ALQAtAC0ALQAtAC0ALQAtAC0ALQAtAC0ALQAtAC0ALQAtAC0AXABuACoALwBcAG4AXABuAFYARQBFAFIARwBfADQAXwA2AF8AMQBfADkAXwBfADIAXwBNAGEAcwBzAE8AZgBOAGkAdAByAG8AZwBlAG4AQQBwAHAAbABpAGUAZABUAG8AUwBvAGkAbABzAFMAYwBvAHAAZQAzAFwAbgAgACAAPQBMAEEATQBCAEQAQQAoAFwAbgAgACAAIAAgAE0ATgBfAGoAbQBUADIALAAgAEUARgBfAG0AVAAyACwAIABGAHIAYQBjAEcAQQBTAE0AXwBtAFQAMgAsACAATQBOAEwAZQBhAGMAaABfAE0ATQBTACwAIABQAEYALABcAG4AIAAgACAAIAAoAE0ATgBfAGoAbQBUADIAIAAqACAAKAAxACAALQAgAEUARgBfAG0AVAAyACAALQAgAEYAcgBhAGMARwBBAFMATQBfAG0AVAAyACkAIAAtACAATQBOAEwAZQBhAGMAaABfAE0ATQBTACkAIAAqACAAKAAxACAALQAgAFAARgApAFwAbgAgACAAKQA7AFwAbgBcAG4AVgBFAEUAUgBHAF8ANABfADYAXwAxAF8AOQBfAF8AMgBfAE0AYQBzAHMATwBmAE4AaQB0AHIAbwBnAGUAbgBBAHAAcABsAGkAZQBkAFQAbwBTAG8AaQBsAHMAUwBjAG8AcABlADMAXwBUAGkAdABsAGUAXABuACAAIAA9AEwAQQBNAEIARABBACgAXAAiAE0AYQBzAHMAIABvAGYAIABuAGkAdAByAG8AZwBlAG4AIABhAHAAcABsAGkAZQBkACAAdABvACAAcwBvAGkAbABzACAAZgBvAHIAIABzAGMAbwBwAGUAIAAzACAAZQBtAGkAcwBzAGkAbwBuAHMAXAAiACkAOwBcAG4AXABuAFYARQBFAFIARwBfADQAXwA2AF8AMQBfADkAXwBfADIAXwBNAGEAcwBzAE8AZgBOAGkAdAByAG8AZwBlAG4AQQBwAHAAbABpAGUAZABUAG8AUwBvAGkAbABzAFMAYwBvAHAAZQAzAF8AVgBhAHIAaQBhAGIAbABlAFwAbgAgACAAPQBMAEEATQBCAEQAQQAoAFwAIgBNAE4AUwBvAGkAbABfAHMAYwBvAHAAZQAzAFwAIgApADsAXABuAFwAbgBWAEUARQBSAEcAXwA0AF8ANgBfADEAXwA5AF8AXwAyAF8ATQBhAHMAcwBPAGYATgBpAHQAcgBvAGcAZQBuAEEAcABwAGwAaQBlAGQAVABvAFMAbwBpAGwAcwBTAGMAbwBwAGUAMwBfAFUAbgBpAHQAXABuACAAIAA9AEwAQQBNAEIARABBACgAXAAiAGsAZwAgAE4AXAAiACkAOwBcAG4AXABuAFYARQBFAFIARwBfADQAXwA2AF8AMQBfADkAXwBfADIAXwBNAGEAcwBzAE8AZgBOAGkAdAByAG8AZwBlAG4AQQBwAHAAbABpAGUAZABUAG8AUwBvAGkAbABzAFMAYwBvAHAAZQAzAF8AUwBvAHUAcgBjAGUAXABuACAAIAA9AEwAQQBNAEIARABBACgAXAAiAFYARQBFAFIARwAgADIAMAAyADYAOgAgADQALgA2AC4AMQAuADkALAAgAEUAcQB1AGEAdABpAG8AbgAgACgAMgApAFwAIgApADsAXABuAFwAbgBWAEUARQBSAEcAXwA0AF8ANgBfADEAXwA5AF8AXwAyAF8ATQBhAHMAcwBPAGYATgBpAHQAcgBvAGcAZQBuAEEAcABwAGwAaQBlAGQAVABvAFMAbwBpAGwAcwBTAGMAbwBwAGUAMwBfAE4ASQBSAFIAZQBmAGUAcgBlAG4AYwBlAFwAbgAgACAAPQBMAEEATQBCAEQAQQAoAFwAIgBcACIAKQA7AFwAbgBcAG4AVgBFAEUAUgBHAF8ANABfADYAXwAxAF8AOQBfAF8AMgBfAE0AYQBzAHMATwBmAE4AaQB0AHIAbwBnAGUAbgBBAHAAcABsAGkAZQBkAFQAbwBTAG8AaQBsAHMAUwBjAG8AcABlADMAXwBMAGEAdABlAHgARQBxAHUAYQB0AGkAbwBuAFwAbgAgACAAPQBMAEEATQBCAEQAQQAoAFwAIgBNAE4AUwBvAGkAbABfAHsAcwBjAG8AcABlADMAfQA9AFwAXABzAHUAbQBfAHsAagB9AFwAXABzAHUAbQBfAHsAbQB9ACgATQBOAF8AewBqAG0ALABUAD0AMgB9AFwAXAB0AGkAbQBlAHMAKAAxAC0ARQBGAF8AewBtAFQAPQAyAH0ALQBGAHIAYQBjAEcAQQBTAE0AXwB7AG0AVAA9ADIAfQApAC0ATQBOAEwAZQBhAGMAaABfAHsATQBNAFMAfQApAFwAXAB0AGkAbQBlAHMAKAAxAC0AUABGACkAXAAiACkAOwBcAG4AXABuAFYARQBFAFIARwBfADQAXwA2AF8AMQBfADkAXwBfADIAXwBNAGEAcwBzAE8AZgBOAGkAdAByAG8AZwBlAG4AQQBwAHAAbABpAGUAZABUAG8AUwBvAGkAbABzAFMAYwBvAHAAZQAzAF8AQQByAGcAdQBtAGUAbgB0AHMAXABuACAAIAA9AEwAQQBNAEIARABBACgAXABuACAAIAAgACAATQBBAEsARQBBAFIAUgBBAFkAKAA1ACwAIAA0ACwAXABuACAAIAAgACAAIAAgAEwAQQBNAEIARABBACgAcgAsAGMALABcAG4AIAAgACAAIAAgACAAIAAgAEkATgBEAEUAWAAoAHsAXABuACAAIAAgACAAIAAgACAAIAAgACAAXAAiAE0ATgBfAGoAbQBUADIAXAAiACwAXAAiAG0AYQBzAHMAIABvAGYAIABOACAAaQBuACAAcwBlAGMAbwBuAGQAYQByAHkAIAB0AHIAZQBhAHQAbQBlAG4AdAAgAHMAdABhAGcAZQAgAGEAcwAgAGMAYQBsAGMAdQBsAGEAdABlAGQAIABmAG8AcgAgAG0AYQBuAHUAcgBlACAAbQBhAG4AYQBnAGUAbQBlAG4AdABcACIALAAgAFwAIgBrAGcAIABOAFwAIgAsACAAXAAiAEMAYQBsAGMAdQBsAGEAdABlAGQAIABmAHIAbwBtACAANAAuADYALgAxAC4AMwAgACgANgApAFwAIgA7AFwAbgAgACAAIAAgACAAIAAgACAAIAAgAFwAIgBFAEYAXwBtAFQAMgBcACIALABcACIAbgBpAHQAcgBvAHUAcwAgAG8AeABpAGQAZQAgAGUAbQBpAHMAcwBpAG8AbgAgAGYAYQBjAHQAbwByACAAZgBvAHIAIABlAGEAYwBoACAATQBNAFMAXAAiACwAIABcACIAawBnACAATgAyAE8ALQBOAC8AawBnACAATgBcACIALAAgAFwAIgBDAG8AbgBzAHQAYQBuAHQAXAAiADsAXABuACAAIAAgACAAIAAgACAAIAAgACAAXAAiAEYAcgBhAGMARwBBAFMATQBfAG0AVAAyAFwAIgAsAFwAIgBmAHIAYQBjAHQAaQBvAG4AIABvAGYAIABhAG4AaQBtAGEAbAAgAHcAYQBzAHQAZQAgAE4AIAB2AG8AbABhAHQAaQBsAGkAcwBlAGQAIABpAG4AIABlAGEAYwBoACAATQBNAFMAXAAiACwAIABcACIAKABrAGcAIABOAEgAMwAtAE4AIAArACAATgBPAHgALQBOACkALwBrAGcAIABOAFwAIgAsACAAXAAiAEMAbwBuAHMAdABhAG4AdABcACIAOwBcAG4AIAAgACAAIAAgACAAIAAgACAAIABcACIATQBOAEwAZQBhAGMAaABfAE0ATQBTAFwAIgAsAFwAIgBtAGEAcwBzACAAbwBmACAATgAgAGwAbwBzAHQAIAB0AGgAcgBvAHUAZwBoACAAbABlAGEAYwBoAGkAbgBnACAAYQBuAGQAIAByAHUAbgBvAGYAZgAgAGYAcgBvAG0AIABNAE0AUwBcACIALAAgAFwAIgBrAGcAIABOAFwAIgAsACAAXAAiAEMAYQBsAGMAdQBsAGEAdABlAGQAIABmAHIAbwBtACAANAAuADYALgAxAC4ANwAgACgAMgApAFwAIgA7AFwAbgAgACAAIAAgACAAIAAgACAAIAAgAFwAIgBQAEYAXAAiACwAXAAiAGYAcgBhAGMAdABpAG8AbgAgAG8AZgAgAG0AYQBuAHUAcgBlACAAYQBwAHAAbABpAGUAZAAgAHQAbwAgAHMAbwBpAGwAIAB3AGkAdABoAGkAbgAgAHQAaABlACAAZgBhAHIAbQAgAGIAbwB1AG4AZABhAHIAeQBcACIALAAgAFwAIgBmAHIAYQBjAHQAaQBvAG4AXAAiACwAIABcACIASQBuAHAAdQB0AFwAIgBcAG4AIAAgACAAIAAgACAAIAAgAH0ALAAgAHIALAAgAGMAKQBcAG4AIAAgACAAIAAgACAAKQBcAG4AIAAgACAAIAApAFwAbgAgACAAKQA7AFwAbgAiAH0ALAB7ACIAcABhAHQAaAAiADoAIgAvAHAAcgBvAGoAZQBjAHQAcwAvAE0ATQBTAF8AUABvAHUAbAB0AHIAeQBfAFMAbwBpAGwAXwBOADIATwBEAGkAcgBlAGMAdABfAEUAcQB1AGEAdABpAG8AbgBzACIALAAiAHQAZQB4AHQAIgA6ACIALwAqAFwAbgA9AD0APQA9AD0APQA9AD0APQA9AD0APQA9AD0APQA9AD0APQA9AD0APQA9AD0APQA9AD0APQA9AD0APQA9AD0APQA9AD0APQA9AD0APQA9AD0APQA9AD0APQA9AD0APQA9AD0APQA9AD0APQA9AD0APQA9AD0APQA9AD0APQA9AD0APQA9AD0APQA9AD0APQA9AD0APQA9AFwAbgA0AC4ANgA6ACAAUABvAHUAbAB0AHIAeQBcAG4APQA9AD0APQA9AD0APQA9AD0APQA9AD0APQA9AD0APQA9AD0APQA9AD0APQA9AD0APQA9AD0APQA9AD0APQA9AD0APQA9AD0APQA9AD0APQA9AD0APQA9AD0APQA9AD0APQA9AD0APQA9AD0APQA9AD0APQA9AD0APQA9AD0APQA9AD0APQA9AD0APQA9AD0APQA9AD0APQBcAG4ANAAuADYALgAxAC4AMQAwACAATQBlAHQAaABvAGQAIAAxACAALQAgAFMAbwBpAGwAIABEAGkAcgBlAGMAdA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ABfAF8AMQBfAEQAaQByAGUAYwB0AE4AaQB0AHIAbwB1AHMATwB4AGkAZABlAEUAbQBpAHMAcwBpAG8AbgBzAEYAcgBvAG0AUABvAHUAbAB0AHIAeQBNAGEAbgB1AHIAZQBcAG4ARABpAHIAZQBjAHQAIABuAGkAdAByAG8AdQBzACAAbwB4AGkAZABlACAAZQBtAGkAcwBzAGkAbwBuAHMAIABmAHIAbwBtACAAcABvAHUAbAB0AHIAeQAgAG0AYQBuAHUAcgBlACAAbwBuACAAcABhAHMAdAB1AHIAZQBcAG4ARQBNAF8ATgAyAE8AUABSAFAAZABpAHIAXABuAHQAIABOADIATwBcAG4ARQBNAF8AewBOADIATwAsAFAAUgBQACwAZABpAHIAfQA9AFwAXABzAHUAbQBfAHsAagB9AFwAXABzAHUAbQBfAHsAawB9ACgATQBOAF8AewBqAGsAbQA9ADEANAAsAFQAPQAxAH0AXABcAHQAaQBtAGUAcwAgAEUARgBfAHsAUABSAFAAfQBcAFwAdABpAG0AZQBzACAAQwBfAHsATgAyAE8AfQApAFwAXAB0AGkAbQBlAHMAIAAxADAAXgB7AC0AMwB9AFwAbgBNAE4AXwBqAGsAbQAxADQAVAAxACAAPQAgAG0AYQBzAHMAIABvAGYAIABuAGkAdAByAG8AZwBlAG4AIABlAHgAYwByAGUAdABlAGQAIABkAGkAcgBlAGMAdABsAHkAIABvAG4AIABwAGEAcwB0AHUAcgBlACAAYgB5ACAAcABvAHUAbAB0AHIAeQAgAGMAbABhAHMAcwAgAGEAbgBkACAAcwB1AGIAYwBsAGEAcwBzACAAKABrAGcAIABOACkAXABuAEUARgBfAFAAUgBQACAAPQAgAG4AaQB0AHIAbwB1AHMAIABvAHgAaQBkAGUAIABlAG0AaQBzAHMAaQBvAG4AIABmAGEAYwB0AG8AcgAgAGYAbwByACAAbQBhAG4AdQByAGUAIABkAGUAcABvAHMAaQB0AGUAZAAgAG8AbgAgAHAAYQBzAHQAdQByAGUAIAAoAGsAZwAgAE4AMgBPAC0ATgAvAGsAZwAgAE4AIABkAGUAcABvAHMAaQB0AGUAZA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wAF8AXwAxAF8ARABpAHIAZQBjAHQATgBpAHQAcgBvAHUAcwBPAHgAaQBkAGUARQBtAGkAcwBzAGkAbwBuAHMARgByAG8AbQBQAG8AdQBsAHQAcgB5AE0AYQBuAHUAcgBlAFwAbgAgACAAPQBMAEEATQBCAEQAQQAoAFwAbgAgACAAIAAgAE0ATgBfAGoAawBtADEANABUADEALAAgAEUARgBfAFAAUgBQACwAIABDAF8ATgAyAE8ALABcAG4AIAAgACAAIABNAE4AXwBqAGsAbQAxADQAVAAxACAAKgAgAEUARgBfAFAAUgBQACAAKgAgAEMAXwBOADIATwAgACoAIAAxADAAIABeACAALQAzAFwAbgAgACAAKQA7AFwAbgBcAG4AVgBFAEUAUgBHAF8ANABfADYAXwAxAF8AMQAwAF8AXwAxAF8ARABpAHIAZQBjAHQATgBpAHQAcgBvAHUAcwBPAHgAaQBkAGUARQBtAGkAcwBzAGkAbwBuAHMARgByAG8AbQBQAG8AdQBsAHQAcgB5AE0AYQBuAHUAcgBlAF8AVABpAHQAbABlAFwAbgAgACAAPQBMAEEATQBCAEQAQQAoAFwAIgBEAGkAcgBlAGMAdAAgAG4AaQB0AHIAbwB1AHMAIABvAHgAaQBkAGUAIABlAG0AaQBzAHMAaQBvAG4AcwAgAGYAcgBvAG0AIABwAG8AdQBsAHQAcgB5ACAAbQBhAG4AdQByAGUAIABvAG4AIABwAGEAcwB0AHUAcgBlAFwAIgApADsAXABuAFwAbgBWAEUARQBSAEcAXwA0AF8ANgBfADEAXwAxADAAXwBfADEAXwBEAGkAcgBlAGMAdABOAGkAdAByAG8AdQBzAE8AeABpAGQAZQBFAG0AaQBzAHMAaQBvAG4AcwBGAHIAbwBtAFAAbwB1AGwAdAByAHkATQBhAG4AdQByAGUAXwBWAGEAcgBpAGEAYgBsAGUAXABuACAAIAA9AEwAQQBNAEIARABBACgAXAAiAEUATQBfAE4AMgBPAFAAUgBQAGQAaQByAFwAIgApADsAXABuAFwAbgBWAEUARQBSAEcAXwA0AF8ANgBfADEAXwAxADAAXwBfADEAXwBEAGkAcgBlAGMAdABOAGkAdAByAG8AdQBzAE8AeABpAGQAZQBFAG0AaQBzAHMAaQBvAG4AcwBGAHIAbwBtAFAAbwB1AGwAdAByAHkATQBhAG4AdQByAGUAXwBVAG4AaQB0AFwAbgAgACAAPQBMAEEATQBCAEQAQQAoAFwAIgB0ACAATgAyAE8AXAAiACkAOwBcAG4AXABuAFYARQBFAFIARwBfADQAXwA2AF8AMQBfADEAMABfAF8AMQBfAEQAaQByAGUAYwB0AE4AaQB0AHIAbwB1AHMATwB4AGkAZABlAEUAbQBpAHMAcwBpAG8AbgBzAEYAcgBvAG0AUABvAHUAbAB0AHIAeQBNAGEAbgB1AHIAZQBfAFMAbwB1AHIAYwBlAFwAbgAgACAAPQBMAEEATQBCAEQAQQAoAFwAIgBWAEUARQBSAEcAIAAyADAAMgA2ADoAIAA0AC4ANgAuADEALgAxADAALAAgAEUAcQB1AGEAdABpAG8AbgAgACgAMQApAFwAIgApADsAXABuAFwAbgBWAEUARQBSAEcAXwA0AF8ANgBfADEAXwAxADAAXwBfADEAXwBEAGkAcgBlAGMAdABOAGkAdAByAG8AdQBzAE8AeABpAGQAZQBFAG0AaQBzAHMAaQBvAG4AcwBGAHIAbwBtAFAAbwB1AGwAdAByAHkATQBhAG4AdQByAGUAXwBOAEkAUgBSAGUAZgBlAHIAZQBuAGMAZQBcAG4AIAAgAD0ATABBAE0AQgBEAEEAKABcACIAXAAiACkAOwBcAG4AXABuAFYARQBFAFIARwBfADQAXwA2AF8AMQBfADEAMABfAF8AMQBfAEQAaQByAGUAYwB0AE4AaQB0AHIAbwB1AHMATwB4AGkAZABlAEUAbQBpAHMAcwBpAG8AbgBzAEYAcgBvAG0AUABvAHUAbAB0AHIAeQBNAGEAbgB1AHIAZQBfAEwAYQB0AGUAeABFAHEAdQBhAHQAaQBvAG4AXABuACAAIAA9AEwAQQBNAEIARABBACgAXAAiAEUATQBfAHsATgAyAE8ALABQAFIAUAAsAGQAaQByAH0APQBcAFwAcwB1AG0AXwB7AGoAfQBcAFwAcwB1AG0AXwB7AGsAfQAoAE0ATgBfAHsAagBrAG0APQAxADQALABUAD0AMQB9AFwAXAB0AGkAbQBlAHMAIABFAEYAXwB7AFAAUgBQAH0AXABcAHQAaQBtAGUAcwAgAEMAXwB7AE4AMgBPAH0AKQBcAFwAdABpAG0AZQBzACAAMQAwAF4AewAtADMAfQBcACIAKQA7AFwAbgBcAG4AVgBFAEUAUgBHAF8ANABfADYAXwAxAF8AMQAwAF8AXwAxAF8ARABpAHIAZQBjAHQATgBpAHQAcgBvAHUAcwBPAHgAaQBkAGUARQBtAGkAcwBzAGkAbwBuAHMARgByAG8AbQBQAG8AdQBsAHQAcgB5AE0AYQBuAHUAcgBlAF8AQQByAGcAdQBtAGUAbgB0AHMAXABuACAAIAA9AEwAQQBNAEIARABBACgAXABuACAAIAAgACAATQBBAEsARQBBAFIAUgBBAFkAKAAz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QBGAF8AUABSAFAAXAAiACwAIABcACIAbgBpAHQAcgBvAHUAcwAgAG8AeABpAGQAZQAgAGUAbQBpAHMAcwBpAG8AbgAgAGYAYQBjAHQAbwByACAAZgBvAHIAIABtAGEAbgB1AHIAZQAgAGQAZQBwAG8AcwBpAHQAZQBkACAAbwBuACAAcABhAHMAdAB1AHIAZQBcACIALAAgAFwAIgBrAGcAIABOADIATwAtAE4ALwBrAGcAIABOACAAZABlAHAAbwBzAGkAdABlAGQAXAAiACwAIABcACIAQwBvAG4AcwB0AGEAbgB0AFwAIgA7AFwAbgAgACAAIAAgACAAIAAgACAAIAAgAFwAIgBDAF8ATgAyAE8AXAAiACwAIABcACIAZgBhAGMAdABvAHIAIAB0AG8AIABjAG8AbgB2AGUAcgB0ACAAZQBsAGUAbQBlAG4AdABhAGwAIABtAGEAcwBzACAAbwBmACAATgAyAE8AIAB0AG8AIABtAG8AbABlAGMAdQBsAGEAcgAgAG0AYQBzAHMAXAAiACwAIABcACIAcgBhAHQAaQBvAFwAIgAsACAAXAAiAEMAbwBuAHMAdABhAG4AdABcACIAXABuACAAIAAgACAAIAAgACAAIAB9ACwAIAByACwAIABjACkAXABuACAAIAAgACAAIAAgACkAXABuACAAIAAgACAAKQBcAG4AIAAgACkAOwBcAG4AIgB9ACwAewAiAHAAYQB0AGgAIgA6ACIALwBwAHIAbwBqAGUAYwB0AHMALwBNAE0AUwBfAFAAbwB1AGwAdAByAHkAXwBTAG8AaQBsAF8AQQB0AG0AbwBzAHAAaABlAHIAaQBjAEQAZQBwAG8AcwBpAHQAaQBvAG4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MgAgAE0AZQB0AGgAbwBkACAAMQAgAC0AIABTAG8AaQBsACAAQQB0AG0AbwBzAHAAaABlAHIAaQBjACAARABlAHAAbwBzAGkAdABpAG8Ab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MgBfAF8AMQBfAEEAdABtAG8AcwBwAGgAZQByAGkAYwBEAGUAcABvAHMAaQB0AGkAbwBuAEUAbQBpAHMAcwBpAG8AbgBzAEYAcgBvAG0AUABvAHUAbAB0AHIAeQBNAGEAbgB1AHIAZQBPAG4AUABhAHMAdAB1AHIAZQBcAG4AQQB0AG0AbwBzAHAAaABlAHIAaQBjACAAZABlAHAAbwBzAGkAdABpAG8AbgAgAGUAbQBpAHMAcwBpAG8AbgBzACAAZgByAG8AbQAgAHAAbwB1AGwAdAByAHkAIABtAGEAbgB1AHIAZQAgAGQAZQBwAG8AcwBpAHQAZQBkACAAbwBuACAAcABhAHMAdAB1AHIAZQBcAG4ARQBfAE4AMgBPAGEAZABcAG4AdAAgAE4AMgBPAFwAbgBFAF8AewBOADIATwAsAGEAZAB9AD0ATQBfAHsAdgBvAGwALABtAD0AMQA0AH0AXABcAHQAaQBtAGUAcwAgAEUARgBfAHsATgAyAE8AfQBcAFwAdABpAG0AZQBzACAAQwBfAHsATgAyAE8AfQBcAFwAdABpAG0AZQBzACAAMQAwAF4AewAtADMAfQBcAG4ATQBfAHYAbwBsAF8AbQAxADQAIAA9ACAAbQBhAHMAcwAgAG8AZgAgAG4AaQB0AHIAbwBnAGUAbgAgAHYAbwBsAGEAdABpAGwAaQBzAGUAZAAgAGYAcgBvAG0AIABtAGEAbgB1AHIAZQAgAGQAZQBwAG8AcwBpAHQAZQBkACAAbwBuACAAcABhAHMAdAB1AHIAZQAgACgAawBnACAATgApAFwAbgBFAEYAXwBOADIATwAgAD0AIABlAG0AaQBzAHMAaQBvAG4AIABmAGEAYwB0AG8AcgAgAGYAbwByACAAYQB0AG0AbwBzAHAAaABlAHIAaQBjACAAZABlAHAAbwBzAGkAdABpAG8AbgAgACgAawBnACAATgAyAE8ALQBOAC8AawBnACAATgApAFwAbgBDAF8ATgAyAE8AIAA9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VgBFAEUAUgBHAF8ANABfADYAXwAxAF8AMQAyAF8AXwAxAF8AQQB0AG0AbwBzAHAAaABlAHIAaQBjAEQAZQBwAG8AcwBpAHQAaQBvAG4ARQBtAGkAcwBzAGkAbwBuAHMARgByAG8AbQBQAG8AdQBsAHQAcgB5AE0AYQBuAHUAcgBlAE8AbgBQAGEAcwB0AHUAcgBlAFwAbgAgACAAPQBMAEEATQBCAEQAQQAoAFwAbgAgACAAIAAgAE0AXwB2AG8AbABfAG0AMQA0ACwAIABFAEYAXwBOADIATwAsACAAQwBfAE4AMgBPACwAXABuACAAIAAgACAATQBfAHYAbwBsAF8AbQAxADQAIAAqACAARQBGAF8ATgAyAE8AIAAqACAAQwBfAE4AMgBPACAAKgAgADEAMAAgAF4AIAAtADMAXABuACAAIAApADsAXABuAFwAbgBWAEUARQBSAEcAXwA0AF8ANgBfADEAXwAxADIAXwBfADEAXwBBAHQAbQBvAHMAcABoAGUAcgBpAGMARABlAHAAbwBzAGkAdABpAG8AbgBFAG0AaQBzAHMAaQBvAG4AcwBGAHIAbwBtAFAAbwB1AGwAdAByAHkATQBhAG4AdQByAGUATwBuAFAAYQBzAHQAdQByAGUAXwBUAGkAdABsAGUAXABuACAAIAA9AEwAQQBNAEIARABBACgAXAAiAEEAdABtAG8AcwBwAGgAZQByAGkAYwAgAGQAZQBwAG8AcwBpAHQAaQBvAG4AIABlAG0AaQBzAHMAaQBvAG4AcwAgAGYAcgBvAG0AIABwAG8AdQBsAHQAcgB5ACAAbQBhAG4AdQByAGUAIABkAGUAcABvAHMAaQB0AGUAZAAgAG8AbgAgAHAAYQBzAHQAdQByAGUAXAAiACkAOwBcAG4AXABuAFYARQBFAFIARwBfADQAXwA2AF8AMQBfADEAMgBfAF8AMQBfAEEAdABtAG8AcwBwAGgAZQByAGkAYwBEAGUAcABvAHMAaQB0AGkAbwBuAEUAbQBpAHMAcwBpAG8AbgBzAEYAcgBvAG0AUABvAHUAbAB0AHIAeQBNAGEAbgB1AHIAZQBPAG4AUABhAHMAdAB1AHIAZQBfAFYAYQByAGkAYQBiAGwAZQBcAG4AIAAgAD0ATABBAE0AQgBEAEEAKABcACIARQBfAE4AMgBPAGEAZABcACIAKQA7AFwAbgBcAG4AVgBFAEUAUgBHAF8ANABfADYAXwAxAF8AMQAyAF8AXwAxAF8AQQB0AG0AbwBzAHAAaABlAHIAaQBjAEQAZQBwAG8AcwBpAHQAaQBvAG4ARQBtAGkAcwBzAGkAbwBuAHMARgByAG8AbQBQAG8AdQBsAHQAcgB5AE0AYQBuAHUAcgBlAE8AbgBQAGEAcwB0AHUAcgBlAF8AVQBuAGkAdABcAG4AIAAgAD0ATABBAE0AQgBEAEEAKABcACIAdAAgAE4AMgBPAFwAIgApADsAXABuAFwAbgBWAEUARQBSAEcAXwA0AF8ANgBfADEAXwAxADIAXwBfADEAXwBBAHQAbQBvAHMAcABoAGUAcgBpAGMARABlAHAAbwBzAGkAdABpAG8AbgBFAG0AaQBzAHMAaQBvAG4AcwBGAHIAbwBtAFAAbwB1AGwAdAByAHkATQBhAG4AdQByAGUATwBuAFAAYQBzAHQAdQByAGUAXwBTAG8AdQByAGMAZQBcAG4AIAAgAD0ATABBAE0AQgBEAEEAKABcACIAVgBFAEUAUgBHACAAMgAwADIANgA6ACAANAAuADYALgAxAC4AMQAyACwAIABFAHEAdQBhAHQAaQBvAG4AIAAoADEAKQBcACIAKQA7AFwAbgBcAG4AVgBFAEUAUgBHAF8ANABfADYAXwAxAF8AMQAyAF8AXwAxAF8AQQB0AG0AbwBzAHAAaABlAHIAaQBjAEQAZQBwAG8AcwBpAHQAaQBvAG4ARQBtAGkAcwBzAGkAbwBuAHMARgByAG8AbQBQAG8AdQBsAHQAcgB5AE0AYQBuAHUAcgBlAE8AbgBQAGEAcwB0AHUAcgBlAF8ATgBJAFIAUgBlAGYAZQByAGUAbgBjAGUAXABuACAAIAA9AEwAQQBNAEIARABBACgAXAAiAFwAIgApADsAXABuAFwAbgBWAEUARQBSAEcAXwA0AF8ANgBfADEAXwAxADIAXwBfADEAXwBBAHQAbQBvAHMAcABoAGUAcgBpAGMARABlAHAAbwBzAGkAdABpAG8AbgBFAG0AaQBzAHMAaQBvAG4AcwBGAHIAbwBtAFAAbwB1AGwAdAByAHkATQBhAG4AdQByAGUATwBuAFAAYQBzAHQAdQByAGUAXwBMAGEAdABlAHgARQBxAHUAYQB0AGkAbwBuAFwAbgAgACAAPQBMAEEATQBCAEQAQQAoAFwAIgBFAF8AewBOADIATwAsAGEAZAB9AD0ATQBfAHsAdgBvAGwALABtAD0AMQA0AH0AXABcAHQAaQBtAGUAcwAgAEUARgBfAHsATgAyAE8AfQBcAFwAdABpAG0AZQBzACAAQwBfAHsATgAyAE8AfQBcAFwAdABpAG0AZQBzACAAMQAwAF4AewAtADMAfQBcACIAKQA7AFwAbgBcAG4AVgBFAEUAUgBHAF8ANABfADYAXwAxAF8AMQAyAF8AXwAxAF8AQQB0AG0AbwBzAHAAaABlAHIAaQBjAEQAZQBwAG8AcwBpAHQAaQBvAG4ARQBtAGkAcwBzAGkAbwBuAHM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XwB2AG8AbABfAG0AMQA0AFwAIgAsACAAXAAiAG0AYQBzAHMAIABvAGYAIABuAGkAdAByAG8AZwBlAG4AIAB2AG8AbABhAHQAaQBsAGkAcwBlAGQAIABmAHIAbwBtACAAbQBhAG4AdQByAGUAIABkAGUAcABvAHMAaQB0AGUAZAAgAG8AbgAgAHAAYQBzAHQAdQByAGUAXAAiACwAXAAiAGsAZwAgAE4AXAAiACwAIABcACIAQwBhAGwAYwB1AGwAYQB0AGUAZAAgAGYAcgBvAG0AIAA0AC4ANgAuADEALgAxADIAIAAoADIAKQBcACIAOwBcAG4AIAAgACAAIAAgACAAIAAgACAAIABcACIARQBGAF8ATgAyAE8AXAAiACwAIABcACIAZQBtAGkAcwBzAGkAbwBuACAAZgBhAGMAdABvAHIAIABmAG8AcgAgAGEAdABtAG8AcwBwAGgAZQByAGkAYwAgAGQAZQBwAG8AcwBpAHQAaQBvAG4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DsAXABuACAAIAAgACAAIAAgACAAIAAgACAAXAAiAHIAXAAiACwAIABcACIAcgBhAGkAbgBmAGEAbABsACAAcgBlAGcAaQBvAG4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2AF8AMQBfADEAMgBfAF8AMgBfAE0AYQBzAHMATwBmAE4AaQB0AHIAbwBnAGUAbgBWAG8AbABhAHQAaQBsAGkAcwBlAGQARgByAG8AbQBQAG8AdQBsAHQAcgB5AE0AYQBuAHUAcgBlAE8AbgBQAGEAcwB0AHUAcgBlAFwAbgBNAGEAcwBzACAAbwBmACAAbgBpAHQAcgBvAGcAZQBuACAAdgBvAGwAYQB0AGkAbABpAHMAZQBkACAAZgByAG8AbQAgAHAAbwB1AGwAdAByAHkAIABtAGEAbgB1AHIAZQAgAGQAZQBwAG8AcwBpAHQAZQBkACAAbwBuACAAcABhAHMAdAB1AHIAZQBcAG4ATQBfAHYAbwBsAF8AbQAxADQAXABuAGsAZwAgAE4AXABuAE0AXwB7AHYAbwBsACwAbQA9ADEANAB9AD0ATQBOAF8AewBqAGsAbQA9ADEANAAsAFQAPQAxAH0AXABcAHQAaQBtAGUAcwAgAEYAcgBhAGMARwBBAFMATQBzAG8AaQBsAFwAbgBNAE4AXwBqAGsAbQAxADQAVAAxACAAPQAgAG0AYQBzAHMAIABvAGYAIABuAGkAdAByAG8AZwBlAG4AIABlAHgAYwByAGUAdABlAGQAIABkAGkAcgBlAGMAdABsAHkAIABvAG4AIABwAGEAcwB0AHUAcgBlACAAYgB5ACAAcABvAHUAbAB0AHIAeQAgAGMAbABhAHMAcwAgAGEAbgBkACAAcwB1AGIAYwBsAGEAcwBzACAAKABrAGcAIABOACkAXABuAEYAcgBhAGMARwBBAFMATQBzAG8AaQBsACAAPQAgAGYAcgBhAGMAdABpAG8AbgAgAG8AZgAgAG4AaQB0AHIAbwBnAGUAbgAgAHYAbwBsAGEAdABpAGwAaQBzAGUAZAAgAGYAcgBvAG0AIABtAGEAbgB1AHIAZQAgAGQAZQBwAG8AcwBpAHQAZQBkACAAbwBuACAAcABhAHMAdAB1AHIAZQAgACgAKABrAGcAIABOAEgAMwAtAE4AIAArACAATgBPAHgALQBOACkALwBrAGcAIABOACkAXABuAC0ALQAtAC0ALQAtAC0ALQAtAC0ALQAtAC0ALQAtAC0ALQAtAC0ALQAtAC0ALQAtAC0ALQAtAC0ALQAtAC0ALQAtAC0ALQAtAC0ALQBcAG4AKgAvAFwAbgBcAG4AVgBFAEUAUgBHAF8ANABfADYAXwAxAF8AMQAyAF8AXwAyAF8ATQBhAHMAcwBPAGYATgBpAHQAcgBvAGcAZQBuAFYAbwBsAGEAdABpAGwAaQBzAGUAZABGAHIAbwBtAFAAbwB1AGwAdAByAHkATQBhAG4AdQByAGUATwBuAFAAYQBzAHQAdQByAGUAXABuACAAIAA9AEwAQQBNAEIARABBACgAXABuACAAIAAgACAATQBOAF8AagBrAG0AMQA0AFQAMQAsACAARgByAGEAYwBHAEEAUwBNAHMAbwBpAGwALABcAG4AIAAgACAAIABNAE4AXwBqAGsAbQAxADQAVAAxACAAKgAgAEYAcgBhAGMARwBBAFMATQBzAG8AaQBsAFwAbgAgACAAKQA7AFwAbgBcAG4AVgBFAEUAUgBHAF8ANABfADYAXwAxAF8AMQAyAF8AXwAyAF8ATQBhAHMAcwBPAGYATgBpAHQAcgBvAGcAZQBuAFYAbwBsAGEAdABpAGwAaQBzAGUAZABGAHIAbwBtAFAAbwB1AGwAdAByAHkATQBhAG4AdQByAGUATwBuAFAAYQBzAHQAdQByAGUAXwBUAGkAdABsAGUAXABuACAAIAA9AEwAQQBNAEIARABBACgAXAAiAE0AYQBzAHMAIABvAGYAIABuAGkAdAByAG8AZwBlAG4AIAB2AG8AbABhAHQAaQBsAGkAcwBlAGQAIABmAHIAbwBtACAAcABvAHUAbAB0AHIAeQAgAG0AYQBuAHUAcgBlACAAZABlAHAAbwBzAGkAdABlAGQAIABvAG4AIABwAGEAcwB0AHUAcgBlAFwAIgApADsAXABuAFwAbgBWAEUARQBSAEcAXwA0AF8ANgBfADEAXwAxADIAXwBfADIAXwBNAGEAcwBzAE8AZgBOAGkAdAByAG8AZwBlAG4AVgBvAGwAYQB0AGkAbABpAHMAZQBkAEYAcgBvAG0AUABvAHUAbAB0AHIAeQBNAGEAbgB1AHIAZQBPAG4AUABhAHMAdAB1AHIAZQBfAFYAYQByAGkAYQBiAGwAZQBcAG4AIAAgAD0ATABBAE0AQgBEAEEAKABcACIATQBfAHYAbwBsAF8AbQAxADQAXAAiACkAOwBcAG4AXABuAFYARQBFAFIARwBfADQAXwA2AF8AMQBfADEAMgBfAF8AMgBfAE0AYQBzAHMATwBmAE4AaQB0AHIAbwBnAGUAbgBWAG8AbABhAHQAaQBsAGkAcwBlAGQARgByAG8AbQBQAG8AdQBsAHQAcgB5AE0AYQBuAHUAcgBlAE8AbgBQAGEAcwB0AHUAcgBlAF8AVQBuAGkAdABcAG4AIAAgAD0ATABBAE0AQgBEAEEAKABcACIAawBnACAATgBcACIAKQA7AFwAbgBcAG4AVgBFAEUAUgBHAF8ANABfADYAXwAxAF8AMQAyAF8AXwAyAF8ATQBhAHMAcwBPAGYATgBpAHQAcgBvAGcAZQBuAFYAbwBsAGEAdABpAGwAaQBzAGUAZABGAHIAbwBtAFAAbwB1AGwAdAByAHkATQBhAG4AdQByAGUATwBuAFAAYQBzAHQAdQByAGUAXwBTAG8AdQByAGMAZQBcAG4AIAAgAD0ATABBAE0AQgBEAEEAKABcACIAVgBFAEUAUgBHACAAMgAwADIANgA6ACAANAAuADYALgAxAC4AMQAyACwAIABFAHEAdQBhAHQAaQBvAG4AIAAoADIAKQBcACIAKQA7AFwAbgBcAG4AVgBFAEUAUgBHAF8ANABfADYAXwAxAF8AMQAyAF8AXwAyAF8ATQBhAHMAcwBPAGYATgBpAHQAcgBvAGcAZQBuAFYAbwBsAGEAdABpAGwAaQBzAGUAZABGAHIAbwBtAFAAbwB1AGwAdAByAHkATQBhAG4AdQByAGUATwBuAFAAYQBzAHQAdQByAGUAXwBOAEkAUgBSAGUAZgBlAHIAZQBuAGMAZQBcAG4AIAAgAD0ATABBAE0AQgBEAEEAKABcACIAXAAiACkAOwBcAG4AXABuAFYARQBFAFIARwBfADQAXwA2AF8AMQBfADEAMgBfAF8AMgBfAE0AYQBzAHMATwBmAE4AaQB0AHIAbwBnAGUAbgBWAG8AbABhAHQAaQBsAGkAcwBlAGQARgByAG8AbQBQAG8AdQBsAHQAcgB5AE0AYQBuAHUAcgBlAE8AbgBQAGEAcwB0AHUAcgBlAF8ATABhAHQAZQB4AEUAcQB1AGEAdABpAG8AbgBcAG4AIAAgAD0ATABBAE0AQgBEAEEAKABcACIATQBfAHsAdgBvAGwALABtAD0AMQA0AH0APQBcAFwAcwB1AG0AXwB7AGoAfQBcAFwAcwB1AG0AXwB7AGsAfQAoAE0ATgBfAHsAagBrAG0APQAxADQALABUAD0AMQB9AFwAXAB0AGkAbQBlAHMAIABGAHIAYQBjAEcAQQBTAE0AcwBvAGkAbAApAFwAIgApADsAXABuAFwAbgBWAEUARQBSAEcAXwA0AF8ANgBfADEAXwAxADIAXwBfADIAXwBNAGEAcwBzAE8AZgBOAGkAdAByAG8AZwBlAG4AVgBvAGwAYQB0AGkAbABpAHMAZQBkAEYAcgBvAG0AUABvAHUAbAB0AHIAeQBNAGEAbgB1AHIAZQBPAG4AUABhAHMAdAB1AHIAZQBfAEEAcgBnAHUAbQBlAG4AdABzAFwAbgAgACAAPQBMAEEATQBCAEQAQQAoAFwAbgAgACAAIAAgAE0AQQBLAEUAQQBSAFIAQQBZACgAMgAsACAANAAsAFwAbgAgACAAIAAgACAAIABMAEEATQBCAEQAQQAoAHIALABjACwAXABuACAAIAAgACAAIAAgACAAIABJAE4ARABFAFgAKAB7AFwAbgAgACAAIAAgACAAIAAgACAAIAAgAFwAIgBNAE4AXwBqAGsAbQAxADQAVAAxAFwAIgAsACAAXAAiAG0AYQBzAHMAIABvAGYAIABuAGkAdAByAG8AZwBlAG4AIABlAHgAYwByAGUAdABlAGQAIABkAGkAcgBlAGMAdABsAHkAIABvAG4AIABwAGEAcwB0AHUAcgBlACAAYgB5ACAAcABvAHUAbAB0AHIAeQAgAGMAbABhAHMAcwAgAGEAbgBkACAAcwB1AGIAYwBsAGEAcwBzAFwAIgAsACAAXAAiAGsAZwAgAE4AXAAiACwAIABcACIAQwBhAGwAYwB1AGwAYQB0AGUAZAAgAGYAcgBvAG0AIAA0AC4ANgAuADEALgAzACAAKAAyACkAXAAiADsAXABuACAAIAAgACAAIAAgACAAIAAgACAAXAAiAEYAcgBhAGMARwBBAFMATQBzAG8AaQBsAFwAIgAsACAAXAAiAGYAcgBhAGMAdABpAG8AbgAgAG8AZgAgAG4AaQB0AHIAbwBnAGUAbgAgAHYAbwBsAGEAdABpAGwAaQBzAGUAZAAgAGYAcgBvAG0AIABtAGEAbgB1AHIAZQ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UABvAHUAbAB0AHIAeQBfAFMAbwBpAGwAXwBMAGUAYQBjAGgAaQBuAGcAQQBuAGQAUgB1AG4AbwBmAGYAXwBFAHEAdQBhAHQAaQBvAG4AcwAiACwAIgB0AGUAeAB0ACIAOgAiAC8AKgBcAG4APQA9AD0APQA9AD0APQA9AD0APQA9AD0APQA9AD0APQA9AD0APQA9AD0APQA9AD0APQA9AD0APQA9AD0APQA9AD0APQA9AD0APQA9AD0APQA9AD0APQA9AD0APQA9AD0APQA9AD0APQA9AD0APQA9AD0APQA9AD0APQA9AD0APQA9AD0APQA9AD0APQA9AD0APQA9AD0APQBcAG4ANAAuADYAOgAgAFAAbwB1AGwAdAByAHkAXABuAD0APQA9AD0APQA9AD0APQA9AD0APQA9AD0APQA9AD0APQA9AD0APQA9AD0APQA9AD0APQA9AD0APQA9AD0APQA9AD0APQA9AD0APQA9AD0APQA9AD0APQA9AD0APQA9AD0APQA9AD0APQA9AD0APQA9AD0APQA9AD0APQA9AD0APQA9AD0APQA9AD0APQA9AD0APQA9AD0AXABuADQALgA2AC4AMQAuADEANAAgAE0AZQB0AGgAbwBkACAAMQAgAC0AIABTAG8AaQBsACAATABlAGEAYwBoAGkAbgBnACAAQQBuAGQAIABSAHUAbgBvAGYAZgAgAE4AMgBPACAAUABvAHUAbAB0AHIAeQ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2AF8AMQBfADEANABfAF8AMQBfAEwAZQBhAGMAaABpAG4AZwBBAG4AZABSAHUAbgBvAGYAZgBFAG0AaQBzAHMAaQBvAG4AcwBGAHIAbwBtAFAAbwB1AGwAdAByAHkATQBhAG4AdQByAGUATwBuAFAAYQBzAHQAdQByAGUAXABuAEwAZQBhAGMAaABpAG4AZwAgAGEAbgBkACAAcgB1AG4AbwBmAGYAIABlAG0AaQBzAHMAaQBvAG4AcwAgAGYAcgBvAG0AIABwAG8AdQBsAHQAcgB5ACAAbQBhAG4AdQByAGUAIABkAGUAcABvAHMAaQB0AGUAZAAgAG8AbgAgAHAAYQBzAHQAdQByAGUAXABuAEUAXwBOADIATwBsAGUAYQBjAGgAXABuAHQAIABOADIATwBcAG4ARQBfAHsATgAyAE8ALABsAGUAYQBjAGgAfQA9AE0AXwB7AGwAZQBhAGMAaAAsAG0APQAxADQAfQBcAFwAdABpAG0AZQBzACAARQBGAF8AewBsAGUAYQBjAGgAfQBcAFwAdABpAG0AZQBzACAAQwBfAHsATgAyAE8AfQBcAFwAdABpAG0AZQBzACAAMQAwAF4AewAtADMAfQBcAG4ATQBfAGwAZQBhAGMAaABfAG0AMQA0ACAAPQAgAG0AYQBzAHMAIABvAGYAIABuAGkAdAByAG8AZwBlAG4AIABsAG8AcwB0ACAAdABvACAAbABlAGEAYwBoAGkAbgBnACAAYQBuAGQAIAByAHUAbgBvAGYAZgAgAGYAcgBvAG0AIABwAG8AdQBsAHQAcgB5ACAAbQBhAG4AdQByAGUAIABkAGUAcABvAHMAaQB0AGUAZAAgAG8AbgAgAHAAYQBzAHQAdQByAGUAIAAoAGsAZwAgAE4AKQBcAG4ARQBGAF8AbABlAGEAYwBoACAAPQAgAGUAbQBpAHMAcwBpAG8AbgAgAGYAYQBjAHQAbwByACAAZgBvAHIAIABsAGUAYQBjAGgAaQBuAGcAIABhAG4AZAAgAHIAdQBuAG8AZgBmACAAKABrAGcAIABOADIATwAtAE4ALwBrAGcAIABOACkAXABuAEMAXwBOADIATwAgAD0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WAEUARQBSAEcAXwA0AF8ANgBfADEAXwAxADQAXwBfADEAXwBMAGUAYQBjAGgAaQBuAGcAQQBuAGQAUgB1AG4AbwBmAGYARQBtAGkAcwBzAGkAbwBuAHMARgByAG8AbQBQAG8AdQBsAHQAcgB5AE0AYQBuAHUAcgBlAE8AbgBQAGEAcwB0AHUAcgBlAFwAbgAgACAAPQBMAEEATQBCAEQAQQAoAFwAbgAgACAAIAAgAE0AXwBsAGUAYQBjAGgAXwBtADEANAAsACAARQBGAF8AbABlAGEAYwBoACwAIABDAF8ATgAyAE8ALABcAG4AIAAgACAAIABNAF8AbABlAGEAYwBoAF8AbQAxADQAIAAqACAARQBGAF8AbABlAGEAYwBoACAAKgAgAEMAXwBOADIATwAgACoAIAAxADAAIABeACAALQAzAFwAbgAgACAAKQA7AFwAbgBcAG4AVgBFAEUAUgBHAF8ANABfADYAXwAxAF8AMQA0AF8AXwAxAF8ATABlAGEAYwBoAGkAbgBnAEEAbgBkAFIAdQBuAG8AZgBmAEUAbQBpAHMAcwBpAG8AbgBzAEYAcgBvAG0AUABvAHUAbAB0AHIAeQBNAGEAbgB1AHIAZQBPAG4AUABhAHMAdAB1AHIAZQBfAFQAaQB0AGwAZQBcAG4AIAAgAD0ATABBAE0AQgBEAEEAKABcACIATABlAGEAYwBoAGkAbgBnACAAYQBuAGQAIAByAHUAbgBvAGYAZgAgAGUAbQBpAHMAcwBpAG8AbgBzACAAZgByAG8AbQAgAHAAbwB1AGwAdAByAHkAIABtAGEAbgB1AHIAZQAgAGQAZQBwAG8AcwBpAHQAZQBkACAAbwBuACAAcABhAHMAdAB1AHIAZQBcACIAKQA7AFwAbgBcAG4AVgBFAEUAUgBHAF8ANABfADYAXwAxAF8AMQA0AF8AXwAxAF8ATABlAGEAYwBoAGkAbgBnAEEAbgBkAFIAdQBuAG8AZgBmAEUAbQBpAHMAcwBpAG8AbgBzAEYAcgBvAG0AUABvAHUAbAB0AHIAeQBNAGEAbgB1AHIAZQBPAG4AUABhAHMAdAB1AHIAZQBfAFYAYQByAGkAYQBiAGwAZQBcAG4AIAAgAD0ATABBAE0AQgBEAEEAKABcACIARQBfAE4AMgBPAGwAZQBhAGMAaABcACIAKQA7AFwAbgBcAG4AVgBFAEUAUgBHAF8ANABfADYAXwAxAF8AMQA0AF8AXwAxAF8ATABlAGEAYwBoAGkAbgBnAEEAbgBkAFIAdQBuAG8AZgBmAEUAbQBpAHMAcwBpAG8AbgBzAEYAcgBvAG0AUABvAHUAbAB0AHIAeQBNAGEAbgB1AHIAZQBPAG4AUABhAHMAdAB1AHIAZQBfAFUAbgBpAHQAXABuACAAIAA9AEwAQQBNAEIARABBACgAXAAiAHQAIABOADIATwBcACIAKQA7AFwAbgBcAG4AVgBFAEUAUgBHAF8ANABfADYAXwAxAF8AMQA0AF8AXwAxAF8ATABlAGEAYwBoAGkAbgBnAEEAbgBkAFIAdQBuAG8AZgBmAEUAbQBpAHMAcwBpAG8AbgBzAEYAcgBvAG0AUABvAHUAbAB0AHIAeQBNAGEAbgB1AHIAZQBPAG4AUABhAHMAdAB1AHIAZQBfAFMAbwB1AHIAYwBlAFwAbgAgACAAPQBMAEEATQBCAEQAQQAoAFwAIgBWAEUARQBSAEcAIAAyADAAMgA2ADoAIAA0AC4ANgAuADEALgAxADQALAAgAEUAcQB1AGEAdABpAG8AbgAgACgAMQApAFwAIgApADsAXABuAFwAbgBWAEUARQBSAEcAXwA0AF8ANgBfADEAXwAxADQAXwBfADEAXwBMAGUAYQBjAGgAaQBuAGcAQQBuAGQAUgB1AG4AbwBmAGYARQBtAGkAcwBzAGkAbwBuAHMARgByAG8AbQBQAG8AdQBsAHQAcgB5AE0AYQBuAHUAcgBlAE8AbgBQAGEAcwB0AHUAcgBlAF8ATgBJAFIAUgBlAGYAZQByAGUAbgBjAGUAXABuACAAIAA9AEwAQQBNAEIARABBACgAXAAiAFwAIgApADsAXABuAFwAbgBWAEUARQBSAEcAXwA0AF8ANgBfADEAXwAxADQAXwBfADEAXwBMAGUAYQBjAGgAaQBuAGcAQQBuAGQAUgB1AG4AbwBmAGYARQBtAGkAcwBzAGkAbwBuAHMARgByAG8AbQBQAG8AdQBsAHQAcgB5AE0AYQBuAHUAcgBlAE8AbgBQAGEAcwB0AHUAcgBlAF8ATABhAHQAZQB4AEUAcQB1AGEAdABpAG8AbgBcAG4AIAAgAD0ATABBAE0AQgBEAEEAKABcACIARQBfAHsATgAyAE8ALABsAGUAYQBjAGgAfQA9AE0AXwB7AGwAZQBhAGMAaAAsAG0APQAxADQAfQBcAFwAdABpAG0AZQBzACAARQBGAF8AewBsAGUAYQBjAGgAfQBcAFwAdABpAG0AZQBzACAAQwBfAHsATgAyAE8AfQBcAFwAdABpAG0AZQBzACAAMQAwAF4AewAtADMAfQBcACIAKQA7AFwAbgBcAG4AVgBFAEUAUgBHAF8ANABfADYAXwAxAF8AMQA0AF8AXwAxAF8ATABlAGEAYwBoAGkAbgBnAEEAbgBkAFIAdQBuAG8AZgBmAEUAbQBpAHMAcwBpAG8AbgBzAEYAcgBvAG0AUABvAHUAbAB0AHIAeQBNAGEAbgB1AHIAZQBPAG4AUABhAHMAdAB1AHIAZQBfAEEAcgBnAHUAbQBlAG4AdABzAFwAbgAgACAAPQBMAEEATQBCAEQAQQAoAFwAbgAgACAAIAAgAE0AQQBLAEUAQQBSAFIAQQBZACgAMwAsACAANAAsAFwAbgAgACAAIAAgACAAIABMAEEATQBCAEQAQQAoAHIALABjACwAXABuACAAIAAgACAAIAAgACAAIABJAE4ARABFAFgAKAB7AFwAbgAgACAAIAAgACAAIAAgACAAIAAgAFwAIgBNAF8AbABlAGEAYwBoAF8AbQAxADQAXAAiACwAIABcACIAbQBhAHMAcwAgAG8AZgAgAG4AaQB0AHIAbwBnAGUAbgAgAGwAbwBzAHQAIAB0AG8AIABsAGUAYQBjAGgAaQBuAGcAIABhAG4AZAAgAHIAdQBuAG8AZgBmACAAZgByAG8AbQAgAHAAbwB1AGwAdAByAHkAIABtAGEAbgB1AHIAZQAgAGQAZQBwAG8AcwBpAHQAZQBkACAAbwBuACAAcABhAHMAdAB1AHIAZQBcACIALABcACIAawBnACAATgBcACIALAAgAFwAIgBDAGEAbABjAHUAbABhAHQAZQBkACAAZgByAG8AbQAgADQALgA2AC4AMQAuADEANAAgACgAMgApAFwAIgA7AFwAbgAgACAAIAAgACAAIAAgACAAIAAgAFwAIgBFAEYAXwBsAGUAYQBjAGgAXAAiACwAIABcACIAZQBtAGkAcwBzAGkAbwBuACAAZgBhAGMAdABvAHIAIABmAG8AcgAgAGwAZQBhAGMAaABpAG4AZwAgAGEAbgBkACAAcgB1AG4AbwBmAGYAIAAoAGsAZwAgAE4AMgBPAC0ATgAvAGsAZwAgAE4AKQBcACIALAAgAFwAIgBrAGcAIABOADIATwAtAE4ALwBrAGcAIABOAFwAIgAsACAAXAAiAEMAbwBuAHMAdABhAG4AdABcACIAOwBcAG4AIAAgACAAIAAgACAAIAAgACAAIABcACIAQwBfAE4AMgBPAFwAIgAsACAAXAAiAGYAYQBjAHQAbwByACAAdABvACAAYwBvAG4AdgBlAHIAdAAgAGUAbABlAG0AZQBuAHQAYQBsACAAbQBhAHMAcwAgAG8AZgAgAE4AMgBPACAAdABvACAAbQBvAGwAZQBjAHUAbABhAHIAIABtAGEAcwBzAFwAIgAsACAAXAAiAHIAYQB0AGkAbwBcACIALAAgAFwAIgBDAG8AbgBzAHQAYQBuAHQAXAAiAFwAbgAgACAAIAAgACAAIAAgACAAfQAsACAAcgAsACAAYwApAFwAbgAgACAAIAAgACAAIAApAFwAbgAgACAAIAAgACkAXABuACAAIAApADsAXABuAFwAbgAvACoAXABuAC0ALQAtAC0ALQAtAC0ALQAtAC0ALQAtAC0ALQAtAC0ALQAtAC0ALQAtAC0ALQAtAC0ALQAtAC0ALQAtAC0ALQAtAC0ALQAtAC0ALQBcAG4AVgBFAEUAUgBHAF8ANABfADYAXwAxAF8AMQA0AF8AXwAyAF8ATQBhAHMAcwBPAGYATgBpAHQAcgBvAGcAZQBuAEwAbwBzAHQAVABvAEwAZQBhAGMAaABpAG4AZwBBAG4AZABSAHUAbgBvAGYAZgBGAHIAbwBtAFAAbwB1AGwAdAByAHkATQBhAG4AdQByAGUATwBuAFAAYQBzAHQAdQByAGUAXABuAE0AYQBzAHMAIABvAGYAIABuAGkAdAByAG8AZwBlAG4AIABsAG8AcwB0ACAAdABvACAAbABlAGEAYwBoAGkAbgBnACAAYQBuAGQAIAByAHUAbgBvAGYAZgAgAGYAcgBvAG0AIABwAG8AdQBsAHQAcgB5ACAAbQBhAG4AdQByAGUAIABkAGUAcABvAHMAaQB0AGUAZAAgAG8AbgAgAHAAYQBzAHQAdQByAGUAXABuAE0AXwBsAGUAYQBjAGgAXwBtADEANABcAG4AawBnACAATgBcAG4ATQBfAHsAbABlAGEAYwBoACwAbQA9ADEANAB9AD0ATQBOAF8AewBqAGsAbQA9ADEANAAsAFQAPQAxAH0AXABcAHQAaQBtAGUAcwAgAEYAcgBhAGMAVwBlAHQAXABcAHQAaQBtAGUAcwAgAEYAcgBhAGMATABFAEEAQwBIAF8ATQBTAFwAbgBNAE4AXwBqAGsAbQAxADQAVAAxACAAPQAgAG0AYQBzAHMAIABvAGYAIABuAGkAdAByAG8AZwBlAG4AIABlAHgAYwByAGUAdABlAGQAIABkAGkAcgBlAGMAdABsAHkAIABvAG4AIABwAGEAcwB0AHUAcgBlACAAYgB5ACAAcABvAHUAbAB0AHIAeQAgAGMAbABhAHMAcwAgAGEAbgBkACAAcwB1AGIAYwBsAGEAcwBzACAAKABrAGcAIABOACkAXABuAEYAcgBhAGMAVwBlAHQAIAA9ACAAZgByAGEAYwB0AGkAbwBuACAAbwBmACAATgAgAGEAdgBhAGkAbABhAGIAbABlACAAZgBvAHIAIABsAGUAYQBjAGgAaQBuAGcAIABhAG4AZAAgAHIAdQBuAG8AZgBmAFwAbgBGAHIAYQBjAEwARQBBAEMASABfAE0AUwAgAD0AIABmAHIAYQBjAHQAaQBvAG4AIABvAGYAIABOACAAdABoAGEAdAAgAGkAcwAgAGwAbwBzAHQAIAB0AGgAcgBvAHUAZwBoACAAbABlAGEAYwBoAGkAbgBnACAAYQBuAGQAIAByAHUAbgBvAGYAZgBcAG4ALQAtAC0ALQAtAC0ALQAtAC0ALQAtAC0ALQAtAC0ALQAtAC0ALQAtAC0ALQAtAC0ALQAtAC0ALQAtAC0ALQAtAC0ALQAtAC0ALQAtAFwAbgAqAC8AXABuAFwAbgBWAEUARQBSAEcAXwA0AF8ANgBfADEAXwAxADQAXwBfADIAXwBNAGEAcwBzAE8AZgBOAGkAdAByAG8AZwBlAG4ATABvAHMAdABUAG8ATABlAGEAYwBoAGkAbgBnAEEAbgBkAFIAdQBuAG8AZgBmAEYAcgBvAG0AUABvAHUAbAB0AHIAeQBNAGEAbgB1AHIAZQBPAG4AUABhAHMAdAB1AHIAZQBcAG4AIAAgAD0ATABBAE0AQgBEAEEAKABcAG4AIAAgACAAIABNAE4AXwBqAGsAbQAxADQAVAAxACwAIABGAHIAYQBjAFcAZQB0ACwAIABGAHIAYQBjAEwARQBBAEMASABfAE0AUwAsAFwAbgAgACAAIAAgAE0ATgBfAGoAawBtADEANABUADEAIAAqACAARgByAGEAYwBXAGUAdAAgACoAIABGAHIAYQBjAEwARQBBAEMASABfAE0AUwBcAG4AIAAgACkAOwBcAG4AXABuAFYARQBFAFIARwBfADQAXwA2AF8AMQBfADEANABfAF8AMgBfAE0AYQBzAHMATwBmAE4AaQB0AHIAbwBnAGUAbgBMAG8AcwB0AFQAbwBMAGUAYQBjAGgAaQBuAGcAQQBuAGQAUgB1AG4AbwBmAGYARgByAG8AbQBQAG8AdQBsAHQAcgB5AE0AYQBuAHUAcgBlAE8AbgBQAGEAcwB0AHUAcgBlAF8AVABpAHQAbABlAFwAbgAgACAAPQBMAEEATQBCAEQAQQAoAFwAIgBNAGEAcwBzACAAbwBmACAAbgBpAHQAcgBvAGcAZQBuACAAbABvAHMAdAAgAHQAbwAgAGwAZQBhAGMAaABpAG4AZwAgAGEAbgBkACAAcgB1AG4AbwBmAGYAIABmAHIAbwBtACAAcABvAHUAbAB0AHIAeQAgAG0AYQBuAHUAcgBlACAAZABlAHAAbwBzAGkAdABlAGQAIABvAG4AIABwAGEAcwB0AHUAcgBlAFwAIgApADsAXABuAFwAbgBWAEUARQBSAEcAXwA0AF8ANgBfADEAXwAxADQAXwBfADIAXwBNAGEAcwBzAE8AZgBOAGkAdAByAG8AZwBlAG4ATABvAHMAdABUAG8ATABlAGEAYwBoAGkAbgBnAEEAbgBkAFIAdQBuAG8AZgBmAEYAcgBvAG0AUABvAHUAbAB0AHIAeQBNAGEAbgB1AHIAZQBPAG4AUABhAHMAdAB1AHIAZQBfAFYAYQByAGkAYQBiAGwAZQBcAG4AIAAgAD0ATABBAE0AQgBEAEEAKABcACIATQBfAGwAZQBhAGMAaABfAG0AMQA0AFwAIgApADsAXABuAFwAbgBWAEUARQBSAEcAXwA0AF8ANgBfADEAXwAxADQAXwBfADIAXwBNAGEAcwBzAE8AZgBOAGkAdAByAG8AZwBlAG4ATABvAHMAdABUAG8ATABlAGEAYwBoAGkAbgBnAEEAbgBkAFIAdQBuAG8AZgBmAEYAcgBvAG0AUABvAHUAbAB0AHIAeQBNAGEAbgB1AHIAZQBPAG4AUABhAHMAdAB1AHIAZQBfAFUAbgBpAHQAXABuACAAIAA9AEwAQQBNAEIARABBACgAXAAiAGsAZwAgAE4AXAAiACkAOwBcAG4AXABuAFYARQBFAFIARwBfADQAXwA2AF8AMQBfADEANABfAF8AMgBfAE0AYQBzAHMATwBmAE4AaQB0AHIAbwBnAGUAbgBMAG8AcwB0AFQAbwBMAGUAYQBjAGgAaQBuAGcAQQBuAGQAUgB1AG4AbwBmAGYARgByAG8AbQBQAG8AdQBsAHQAcgB5AE0AYQBuAHUAcgBlAE8AbgBQAGEAcwB0AHUAcgBlAF8AUwBvAHUAcgBjAGUAXABuACAAIAA9AEwAQQBNAEIARABBACgAXAAiAFYARQBFAFIARwAgADIAMAAyADYAOgAgADQALgA2AC4AMQAuADEANAAsACAARQBxAHUAYQB0AGkAbwBuACAAKAAyACkAXAAiACkAOwBcAG4AXABuAFYARQBFAFIARwBfADQAXwA2AF8AMQBfADEANABfAF8AMgBfAE0AYQBzAHMATwBmAE4AaQB0AHIAbwBnAGUAbgBMAG8AcwB0AFQAbwBMAGUAYQBjAGgAaQBuAGcAQQBuAGQAUgB1AG4AbwBmAGYARgByAG8AbQBQAG8AdQBsAHQAcgB5AE0AYQBuAHUAcgBlAE8AbgBQAGEAcwB0AHUAcgBlAF8ATgBJAFIAUgBlAGYAZQByAGUAbgBjAGUAXABuACAAIAA9AEwAQQBNAEIARABBACgAXAAiAFwAIgApADsAXABuAFwAbgBWAEUARQBSAEcAXwA0AF8ANgBfADEAXwAxADQAXwBfADIAXwBNAGEAcwBzAE8AZgBOAGkAdAByAG8AZwBlAG4ATABvAHMAdABUAG8ATABlAGEAYwBoAGkAbgBnAEEAbgBkAFIAdQBuAG8AZgBmAEYAcgBvAG0AUABvAHUAbAB0AHIAeQBNAGEAbgB1AHIAZQBPAG4AUABhAHMAdAB1AHIAZQBfAEwAYQB0AGUAeABFAHEAdQBhAHQAaQBvAG4AXABuACAAIAA9AEwAQQBNAEIARABBACgAXAAiAE0AXwB7AGwAZQBhAGMAaAAsAG0APQAxADQAfQA9AFwAXABzAHUAbQBfAHsAagB9AFwAXABzAHUAbQBfAHsAawB9ACgATQBOAF8AewBqAGsAbQA9ADEANAAsAFQAPQAxAH0AXABcAHQAaQBtAGUAcwAgAEYAcgBhAGMAVwBlAHQAXABcAHQAaQBtAGUAcwAgAEYAcgBhAGMATABFAEEAQwBIAF8ATQBTACkAXAAiACkAOwBcAG4AXABuAFYARQBFAFIARwBfADQAXwA2AF8AMQBfADEANABfAF8AMgBfAE0AYQBzAHMATwBmAE4AaQB0AHIAbwBnAGUAbgBMAG8AcwB0AFQAbwBMAGUAYQBjAGgAaQBuAGcAQQBuAGQAUgB1AG4AbwBmAGYARgByAG8AbQBQAG8AdQBsAHQAcgB5AE0AYQBuAHUAcgBlAE8AbgBQAGEAcwB0AHUAcgBlAF8AQQByAGcAdQBtAGUAbgB0AHMAXABuACAAIAA9AEwAQQBNAEIARABBACgAXABuACAAIAAgACAATQBBAEsARQBBAFIAUgBBAFkAKAA2ACwAIAA0ACwAXABuACAAIAAgACAAIAAgAEwAQQBNAEIARABBACgAcgAsAGMALABcAG4AIAAgACAAIAAgACAAIAAgAEkATgBEAEUAWAAoAHsAXABuACAAIAAgACAAIAAgACAAIAAgACAAXAAiAE0ATgBfAGoAawBtADEANABUADEAXAAiACwAIABcACIAbQBhAHMAcwAgAG8AZgAgAG4AaQB0AHIAbwBnAGUAbgAgAGUAeABjAHIAZQB0AGUAZAAgAGQAaQByAGUAYwB0AGwAeQAgAG8AbgAgAHAAYQBzAHQAdQByAGUAIABiAHkAIABwAG8AdQBsAHQAcgB5ACAAYwBsAGEAcwBzACAAYQBuAGQAIABzAHUAYgBjAGwAYQBzAHMAXAAiACwAIABcACIAawBnACAATgBcACIALAAgAFwAIgBDAGEAbABjAHUAbABhAHQAZQBkACAAZgByAG8AbQAgADQALgA2AC4AMQAuADMAIAAoADIAKQBcACIAOwBcAG4AIAAgACAAIAAgACAAIAAgACAAIABcACIARgByAGEAYwBXAGUAdABcACIALAAgAFwAIgBmAHIAYQBjAHQAaQBvAG4AIABvAGYAIABOACAAYQB2AGEAaQBsAGEAYgBsAGUAIABmAG8AcgAgAGwAZQBhAGMAaABpAG4AZwAgAGEAbgBkACAAcgB1AG4AbwBmAGYAXAAiACwAIABcACIAZgByAGEAYwB0AGkAbwBuAFwAIgAsACAAXAAiAEMAbwBuAHMAdABhAG4AdABcACIAOwBcAG4AIAAgACAAIAAgACAAIAAgACAAIABcACIARgByAGEAYwBMAEUAQQBDAEgAXwBNAFMAXAAiACwAIABcACIAZgByAGEAYwB0AGkAbwBuACAAbwBmACAATgAgAHQAaABhAHQAIABpAHMAIABsAG8AcwB0ACAAdABoAHIAbwB1AGcAaAAgAGwAZQBhAGMAaABpAG4AZwAgAGEAbgBkACAAcgB1AG4AbwBmAGYAXAAiACwAIABcACIAZgByAGEAYwB0AGkAbwBuAFwAIgAsACAAXAAiAEMAbwBuAHMAdABhAG4AdABcACIAOwBcAG4AIAAgACAAIAAgACAAIAAgACAAIABcACIAegBcACIALAAgAFwAIgBsAG8AYwBhAHQAaQBvAG4AIABpAG4AIABsAGUAYQBjAGgAaQBuAGcAIAB6AG8AbgBlAFwAIgAsACAAXAAiAFwAIgAsACAAXAAiAEkAbgBwAHUAdABcACIAOwBcAG4AIAAgACAAIAAgACAAIAAgACAAIABcACIAagBcACIALAAgAFwAIgBwAHIAbwBkAHUAYwB0AGkAbwBuACAAcwB5AHMAdABlAG0AXAAiACwAIABcACIAXAAiACwAIABcACIASQBuAHAAdQB0AFwAIgA7AFwAbgAgACAAIAAgACAAIAAgACAAIAAgAFwAIgBpAHIAXAAiACwAIABcACIAaQByAHIAaQBnAGEAdABpAG8AbgAgAG0AZQB0AGgAbwBkAFwAIgAsACAAXAAiAFwAIgAsACAAXAAiAEkAbgBwAHUAdABcACIAXABuACAAIAAgACAAIAAgACAAIAB9ACwAIAByACwAIABjACkAXABuACAAIAAgACAAIAAgACkAXABuACAAIAAgACAAKQBcAG4AIAAgACkAOwBcAG4AIgB9ACwAewAiAHAAYQB0AGgAIgA6ACIALwBwAHIAbwBqAGUAYwB0AHMALwBTAG8AdQByAGMAZQBEAGEAdABhAF8AUABvAHUAbAB0AHIAeQAiACwAIgB0AGUAeAB0ACIAOgAiAC8AKgAgAFwAbgAtAC0ALQAtAC0ALQAtAC0ALQAtAC0ALQAtAC0ALQAtAC0ALQAtAC0ALQAtAC0ALQAtAC0ALQAtAC0ALQAtAC0ALQAtAC0ALQAtAC0AXABuAFMAbwB1AHIAYwBlAEQAYQB0AGEAXwBQAG8AdQBsAHQAcgB5AF8ARABpAGUAdABQAHIAbwBwAGUAcgB0AGkAZQBzAFwAbgBUAGEAYgBsAGUAIABBAC4AMQAuADcALgAxADoAIABQAG8AdQBsAHQAcgB5ACAALQAgAEQAaQBlAHQAIABwAHIAbwBwAGUAcgB0AGkAZQBzAFwAbgAtAC0ALQAtAC0ALQAtAC0ALQAtAC0ALQAtAC0ALQAtAC0ALQAtAC0ALQAtAC0ALQAtAC0ALQAtAC0ALQAtAC0ALQAtAC0ALQAtAC0AXABuACoALwBcAG4AXABuAFMAbwB1AHIAYwBlAEQAYQB0AGEAXwBQAG8AdQBsAHQAcgB5AF8ARABpAGUAdABQAHIAbwBwAGUAcgB0AGkAZQBzAF8AVABpAHQAbABlAFwAbgAgACAAPQBMAEEATQBCAEQAQQAoAFwAIgBQAG8AdQBsAHQAcgB5ACAALQAgAEQAaQBlAHQAIABwAHIAbwBwAGUAcgB0AGkAZQBzAFwAIgApADsAXABuAFwAbgBTAG8AdQByAGMAZQBEAGEAdABhAF8AUABvAHUAbAB0AHIAeQBfAEQAaQBlAHQAUAByAG8AcABlAHIAdABpAGUAcwBfAFUAbgBpAHQAXABuACAAIAA9AEwAQQBNAEIARABBACgAXAAiAFwAIgApADsAXABuAFwAbgBTAG8AdQByAGMAZQBEAGEAdABhAF8AUABvAHUAbAB0AHIAeQBfAEQAaQBlAHQAUAByAG8AcABlAHIAdABpAGUAcwBfAFMAbwB1AHIAYwBlAFwAbgAgACAAPQBMAEEATQBCAEQAQQAoAFwAIgBWAEUARQBSAEcAIAAyADAAMgA2ADoAIABUAGEAYgBsAGUAIABBAC4AMQAuADcALgAxADoAIABQAG8AdQBsAHQAcgB5ACAALQAgAEQAaQBlAHQAIABwAHIAbwBwAGUAcgB0AGkAZQBzAFwAIgApADsAXABuAFwAbgBTAG8AdQByAGMAZQBEAGEAdABhAF8AUABvAHUAbAB0AHIAeQBfAEQAaQBlAHQAUAByAG8AcABlAHIAdABpAGUAcwBfAFYAYQByAGkAYQB0AGkAbwBuAFwAbgAgACAAPQBMAEEATQBCAEQAQQAoAFwAIgBcACIAKQA7AFwAbgBcAG4AUwBvAHUAcgBjAGUARABhAHQAYQBfAFAAbwB1AGwAdAByAHkAXwBEAGkAZQB0AFAAcgBvAHAAZQByAHQAaQBlAHMAXwBEAGEAdABhAFwAbgAgACAAPQBMAEEATQBCAEQAQQAoAFwAbgAgACAAIAAgAE0AQQBLAEUAQQBSAFIAQQBZACgANgAsACAANQAsACAAXABuACAAIAAgACAAIAAgAEwAQQBNAEIARABBACgAcgAsAGMALAAgAFwAbgAgACAAIAAgACAAIAAgACAASQBOAEQARQBYACgAewBcAG4AIAAgACAAIAAgACAAIAAgACAAIABcACIATgB1AHQAcgBpAGUAbgB0ACAAYQBuAGEAbAB5AHMAaQBzAFwAIgAsACAAXAAiAEwAYQB5AGUAcgBzAFwAIgAsACAAXAAiAE0AZQBhAHQAIABjAGgAaQBjAGsAZQBuACAAZwByAG8AdwBlAHIAcwBcACIALAAgAFwAIgBNAGUAYQB0ACAAYwBoAGkAYwBrAGUAbgAgAGIAcgBlAGUAZABlAHIAXAAiACwAIABcACIATQBlAGEAdAAgAG8AdABoAGUAcgBcACIAOwBcAG4AIAAgACAAIAAgACAAIAAgACAAIABcACIARAByAHkAIABtAGEAdAB0AGUAcgAgAGkAbgB0AGEAawBlACAAKABrAGcALwBoAGUAYQBkAC8AZABhAHkAKQBcACIALAAgADAALgAwADgANgAsACAAMAAuADAAOQAzACwAIAAwAC4AMQAwADMALAAgADAALgAwADkAMwA7ACAAXABuACAAIAAgACAAIAAgACAAIAAgACAAXAAiAEQAcgB5ACAAbQBhAHQAdABlAHIAIABkAGkAZwBlAHMAdABpAGIAaQBsAGkAdAB5AFwAIgAsACAAMAAuADgAMAAsACAAMAAuADgAMAAsACAAMAAuADgAMAAsACAAMAAuADgAMAA7AFwAbgAgACAAIAAgACAAIAAgACAAIAAgAFwAIgBDAHIAdQBkAGUAIABwAHIAbwB0AGUAaQBuAFwAIgAsACAAMAAuADEAOQAsACAAMAAuADIAMwAsACAAMAAuADEAOQAsACAAMAAuADIAMwA7AFwAbgAgACAAIAAgACAAIAAgACAAIAAgAFwAIgBOAGkAdAByAG8AZwBlAG4AIAByAGUAdABlAG4AdABpAG8AbgAgAHIAYQB0AGUAXAAiACwAIAAwAC4AMwA1ACwAIAAwAC4ANAA3ACwAIAAwAC4AMwAyACwAIAAwAC4ANAA3ADsAXABuACAAIAAgACAAIAAgACAAIAAgACAAXAAiAE0AYQBuAHUAcgBlACAAYQBzAGgAXAAiACwAIAAwAC4AMQA4ACwAIAAwAC4AMQA1ACwAIAAwAC4AMQA4ACwAIAAwAC4AMQA1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0AQwBGAFwAbgBUAGEAYgBsAGUAIABBAC4AMQAuADcALgA0ADoAIABQAG8AdQBsAHQAcgB5ACAALQAgAE0AQwBGAHMAXABuAC0ALQAtAC0ALQAtAC0ALQAtAC0ALQAtAC0ALQAtAC0ALQAtAC0ALQAtAC0ALQAtAC0ALQAtAC0ALQAtAC0ALQAtAC0ALQAtAC0ALQBcAG4AKgAvAFwAbgBcAG4AUwBvAHUAcgBjAGUARABhAHQAYQBfAFAAbwB1AGwAdAByAHkAXwBNAEMARgBfAFQAaQB0AGwAZQBcAG4AIAAgAD0ATABBAE0AQgBEAEEAKABcACIAUABvAHUAbAB0AHIAeQAgAC0AIABNAEMARgBzAFwAIgApADsAXABuAFwAbgBTAG8AdQByAGMAZQBEAGEAdABhAF8AUABvAHUAbAB0AHIAeQBfAE0AQwBGAF8AVQBuAGkAdABcAG4AIAAgAD0ATABBAE0AQgBEAEEAKABcACIAXAAiACkAOwBcAG4AXABuAFMAbwB1AHIAYwBlAEQAYQB0AGEAXwBQAG8AdQBsAHQAcgB5AF8ATQBDAEYAXwBTAG8AdQByAGMAZQBcAG4AIAAgAD0ATABBAE0AQgBEAEEAKABcACIAVgBFAEUAUgBHACAAMgAwADIANgA6ACAAVABhAGIAbABlACAAQQAuADEALgA3AC4ANAA6ACAAUABvAHUAbAB0AHIAeQAgAC0AIABNAEMARgBzAFwAIgApADsAXABuAFwAbgBTAG8AdQByAGMAZQBEAGEAdABhAF8AUABvAHUAbAB0AHIAeQBfAE0AQwBG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TgAgAFMATwBVAFIAQwBFADoAXAAiADsAXABuACAAIAAgACAAIAAgACAAIAAgACAAXAAiAFMAcABsAGkAdAAgAE4AUwBXACAAYQBuAGQAIABBAEMAVAAgAGkAbgB0AG8AIABzAGUAcABhAHIAYQB0AGUAIABzAHQAYQB0AGUAcwAuACAAUwBwAGwAaQB0ACAAUQBMAEQAIABhAG4AZAAgAE4AVAAgAGkAbgB0AG8AIABzAGUAcABhAHIAYQB0AGUAIABzAHQAYQB0AGUAcwAuAFwAIgA7AFwAbgAgACAAIAAgACAAIAAgACAAIAAgAFwAIgBJAG4AYwBsAHUAZABlAGQAIAB2AGEAbAB1AGUAcwAgAGYAbwByACAAZQBhAGMAaAAgAHMAdABhAHQAZQAgAHcAaABlAG4AIABcAHUAMAAwADIANwBBAGwAbAAgAHMAdABhAHQAZQBzAFwAdQAwADAAMgA3ACAAdgBhAGwAdQBlACAAaQBzACAAZwBpAHYAZQBuAC4AXAAiADsAXABuACAAIAAgACAAIAAgACAAIAAgACAAXAAiAEEAZABkAGUAZAAgAFwAdQAwADAAMgA3AE4ASQBSACAAZABlAGYAaQBuAGkAdABpAG8AbgBcAHUAMAAwADIANwAgAGMAbwBsAHUAbQBuACAAdwBpAHQAaAAgAE0ATQBTACAAbgBhAG0AZQBzACAAdABoAGEAdAAgAG0AYQB0AGMAaAAgAE4ASQBSACAAZABlAGYAaQBuAGkAdABpAG8AbgBzAC4AXAAiADsAXABuACAAIAAgACAAIAAgACAAIAAgACAAXAAiAEQAdQBwAGwAaQBjAGEAdABlAGQAIABcAHUAMAAwADIANwBQAG8AdQBsAHQAcgB5ACAAbQBhAG4AdQByAGUAIAB3AGkAdABoAG8AdQB0ACAAbABpAHQAdABlAHIAXAB1ADAAMAAyADcAIAByAG8AdwAgAGYAbwByACAATgBJAFIAIABNAE0AUwAgAFwAdQAwADAAMgA3AEIAZQBsAHQAIABtAGEAbgB1AHIAZQAgAHIAZQBtAG8AdgBhAGwAXAB1ADAAMAAyADcAIABhAG4AZAAgAFwAdQAwADAAMgA3AE0AYQBuAHUAcgBlACAAcwB0AG8AcgBlAGQAIABpAG4AIABoAG8AdQBzAGUAXAB1ADAAMAAyADcAXAAiAFwAbgAgACAAIAAgACAAIAAgACAAfQAsACAAcgAsACAAYwApAFwAbgAgACAAIAAgACAAIAApAFwAbgAgACAAIAAgACkAXABuACAAIAApADsAXABuAFwAbgBTAG8AdQByAGMAZQBEAGEAdABhAF8AUABvAHUAbAB0AHIAeQBfAE0AQwBGAF8ARABhAHQAYQBcAG4AIAAgAD0ATABBAE0AQgBEAEEAKABcAG4AIAAgACAAIABNAEEASwBFAEEAUgBSAEEAWQAoADEAMAAsACAAMQAxACwAIABcAG4AIAAgACAAIAAgACAATABBAE0AQgBEAEEAKAByACwAYwAsACAAXABuACAAIAAgACAAIAAgACAAIABJAE4ARABFAFgAKAB7AFwAbgAgACAAIAAgACAAIAAgACAAIAAgAFwAIgBNAE0AUwAgAG0AXAAiACwAIABcACIAQQBsAGwAIABzAHQAYQB0AGUAcwBcACIALAAgAFwAIgBOAFMAVwBcACIALAAgAFwAIgBBAEMAVABcACIALAAgAFwAIgBRAEwARABcACIALAAgAFwAIgBOAFQAXAAiACwAIABcACIAVgBJAEMAXAAiACwAIABcACIAUwBBAFwAIgAsACAAXAAiAFcAQQBcACIALAAgAFwAIgBUAEEAUwBcACIALAAgAFwAIgBOAEkAUgAgAGQAZQBmAGkAbgBpAHQAaQBvAG4AXAAiADsAXABuACAAIAAgACAAIAAgACAAIAAgACAAXAAiAFAAbwB1AGwAdAByAHkAIABtAGEAbgB1AHIAZQAgAHcAaQB0AGgAIABsAGkAdAB0AGUAcgBcACIALAAgADAALgAwADEANQAsACAAMAAuADAAMQA1ACwAIAAwAC4AMAAxADUALAAgADAALgAwADEANQAsACAAMAAuADAAMQA1ACwAIAAwAC4AMAAxADUALAAgADAALgAwADEANQAsACAAMAAuADAAMQA1ACwAIAAwAC4AMAAxADUALAAgAFwAIgBQAG8AdQBsAHQAcgB5ACAAbQBhAG4AdQByAGUAIAB3AGkAdABoACAAYgBlAGQAZABpAG4AZwBcACIAOwAgAFwAbgAgACAAIAAgACAAIAAgACAAIAAgAFwAIgBQAG8AdQBsAHQAcgB5ACAAbQBhAG4AdQByAGUAIAB3AGkAdABoAG8AdQB0ACAAbABpAHQAdABlAHIAXAAiACwAIAAwAC4AMAAxADUALAAgADAALgAwADEANQAsACAAMAAuADAAMQA1ACwAIAAwAC4AMAAxADUALAAgADAALgAwADEANQAsACAAMAAuADAAMQA1ACwAIAAwAC4AMAAxADUALAAgADAALgAwADEANQAsACAAMAAuADAAMQA1ACwAIABcACIAQgBlAGwAdAAgAG0AYQBuAHUAcgBlACAAcgBlAG0AbwB2AGEAbABcACIAOwBcAG4AIAAgACAAIAAgACAAIAAgACAAIABcACIAUABvAHUAbAB0AHIAeQAgAG0AYQBuAHUAcgBlACAAdwBpAHQAaABvAHUAdAAgAGwAaQB0AHQAZQByAFwAIgAsACAAMAAuADAAMQA1ACwAIAAwAC4AMAAxADUALAAgADAALgAwADEANQAsACAAMAAuADAAMQA1ACwAIAAwAC4AMAAxADUALAAgADAALgAwADEANQAsACAAMAAuADAAMQA1ACwAIAAwAC4AMAAxADUALAAgADAALgAwADEANQAsACAAXAAiAE0AYQBuAHUAcgBlACAAcwB0AG8AcgBlAGQAIABpAG4AIABoAG8AdQBzAGUAXAAiADsAXABuACAAIAAgACAAIAAgACAAIAAgACAAXAAiAFAAYQBzAHQAdQByAGUAIAByAGEAbgBnAGUAIABhAG4AZAAgAHAAYQBkAGQAbwBjAGsAXAAiACwAIABcACIAbgAvAGEAXAAiACwAIAAwAC4AMAAxACwAIAAwAC4AMAAxACwAIAAwAC4AMAAzACwAIAAwAC4AMAAzACwAIAAwAC4AMAAxACwAIAAwAC4AMAAxACwAIAAwAC4AMAAxACwAIAAwAC4AMAAxACwAIABcACIAUABhAHMAdAB1AHIAZQAgAHIAYQBuAGcAZQAgAGEAbgBkACAAcABhAGQAZABvAGMAawBcACIAOwBcAG4AIAAgACAAIAAgACAAIAAgACAAIABcACIAUwBvAGwAaQBkACAAcwB0AG8AcgBhAGcAZQBcACIALAAgADAALgAwADIALAAgADAALgAwADIALAAgADAALgAwADIALAAgADAALgAwADIALAAgADAALgAwADIALAAgADAALgAwADIALAAgADAALgAwADIALAAgADAALgAwADIALAAgADAALgAwADIALAAgAFwAIgBTAG8AbABpAGQAIABzAHQAbwByAGEAZwBlAFwAIgA7AFwAbgAgACAAIAAgACAAIAAgACAAIAAgAFwAIgBDAG8AbQBwAG8AcwB0AGkAbgBnACAAKABwAGEAcwBzAGkAdgBlACAAdwBpAG4AZAByAG8AdwApAFwAIgAsACAAXAAiAG4ALwBhAFwAIgAsACAAMAAuADAAMQAsACAAMAAuADAAMQAsACAAMAAuADAAMQAsACAAMAAuADAAMQAsACAAMAAuADAAMQAsACAAMAAuADAAMQAsACAAMAAuADAAMQAsACAAMAAuADAAMAA1ACwAIABcACIAQwBvAG0AcABvAHMAdABpAG4AZwAgACgAcABhAHMAcwBpAHYAZQAgAHcAaQBuAGQAcgBvAHcAKQBcACIAOwBcAG4AIAAgACAAIAAgACAAIAAgACAAIABcACIAQQBuAGEAZQByAG8AYgBpAGMAIABkAGkAZwBlAHMAdABlAHIAIAAvACAAQwBvAHYAZQByAGUAZAAgAHAAbwBuAGQAXAAiACwAIAAwAC4AMQAsACAAMAAuADEALAAgADAALgAxACwAIAAwAC4AMQAsACAAMAAuADEALAAgADAALgAxACwAIAAwAC4AMQAsACAAMAAuADEALAAgADAALgAxACwAIABcACIARABpAGcAZQBzAHQAZQByACAALwAgAGMAbwB2AGUAcgBlAGQAIABsAGEAZwBvAG8AbgBzAFwAIgA7AFwAbgAgACAAIAAgACAAIAAgACAAIAAgAFwAIgBEAGkAcgBlAGMAdAAgAHAAcgBvAGMAZQBzAHMAaQBuAGcAXAAiACwAIAAwACwAIAAwACwAIAAwACwAIAAwACwAIAAwACwAIAAwACwAIAAwACwAIAAwACwAIAAwACwAIABcACIARABpAHIAZQBjAHQAIABwAHIAbwBjAGUAcwBzAGkAbgBnAFwAIgA7AFwAbgAgACAAIAAgACAAIAAgACAAIAAgAFwAIgBEAGkAcgBlAGMAdAAgAGEAcABwAGwAaQBjAGEAdABpAG8AbgAgAHQAbwAgAHMAbwBpAGwAXAAiACwAIAAwACwAIAAwACwAIAAwACwAIAAwACwAIAAwACwAIAAwACwAIAAwACwAIAAwACwAIAAwACwAIABcACIARABpAHIAZQBjAHQAIABhAHAAcABsAGkAYwBhAHQAaQBvAG4AXAAiAFwAbgAgACAAIAAgACAAIAAgACAAfQAsACAAcgAsACAAYwApAFwAbgAgACAAIAAgACAAIAApAFwAbgAgACAAIAAgACkAXABuACAAIAApADsAXABuAFwAbgBTAG8AdQByAGMAZQBEAGEAdABhAF8AUABvAHUAbAB0AHIAeQBfAE0AQwBGAF8ATgBvAHQAZQBzAFwAbgAgACAAPQBMAEEATQBCAEQAQQAoAFwAIgBcAHUAMAAwADIANwBQAGEAcwB0AHUAcgBlACAAcgBhAG4AZwBlACAAYQBuAGQAIABwAGEAZABkAG8AYwBrAFwAdQAwADAAMgA3ACAAYQBwAHAAbABpAGUAcwAgAE0AQwBGACAAZgBvAHIAIABkAHIAeQBsAG8AdAAuAFwAIgApADsAXABuAFwAbgBcAG4ALwAqACAAXABuAC0ALQAtAC0ALQAtAC0ALQAtAC0ALQAtAC0ALQAtAC0ALQAtAC0ALQAtAC0ALQAtAC0ALQAtAC0ALQAtAC0ALQAtAC0ALQAtAC0ALQBcAG4AUwBvAHUAcgBjAGUARABhAHQAYQBfAFAAbwB1AGwAdAByAHkAXwBNAGUAdABoAGEAbgBlAEUAbQBpAHMAcwBpAG8AbgBzAFAAbwB0AGUAbgB0AGkAYQBsAFwAbgBNAGUAdABoAGEAbgBlACAAZQBtAGkAcwBzAGkAbwBuAHMAIABwAG8AdABlAG4AdABpAGEAbAAgAHAAZQByACAAcABvAHUAbAB0AHIAeQAgAGMAbABhAHMAcwBcAG4ALQAtAC0ALQAtAC0ALQAtAC0ALQAtAC0ALQAtAC0ALQAtAC0ALQAtAC0ALQAtAC0ALQAtAC0ALQAtAC0ALQAtAC0ALQAtAC0ALQAtAFwAbgAqAC8AXABuAFwAbgBTAG8AdQByAGMAZQBEAGEAdABhAF8AUABvAHUAbAB0AHIAeQBfAE0AZQB0AGgAYQBuAGUARQBtAGkAcwBzAGkAbwBuAHMAUABvAHQAZQBuAHQAaQBhAGwAXwBUAGkAdABsAGUAXABuACAAIAA9AEwAQQBNAEIARABBACgAXAAiAFAAbwB1AGwAdAByAHkAIAAtACAATQBlAHQAaABhAG4AZQAgAGUAbQBpAHMAcwBpAG8AbgBzACAAcABvAHQAZQBuAHQAaQBhAGwAIABwAGUAcgAgAGMAbABhAHMAcwBcACIAKQA7AFwAbgBcAG4AUwBvAHUAcgBjAGUARABhAHQAYQBfAFAAbwB1AGwAdAByAHkAXwBNAGUAdABoAGEAbgBlAEUAbQBpAHMAcwBpAG8AbgBzAFAAbwB0AGUAbgB0AGkAYQBsAF8AVQBuAGkAdABcAG4AIAAgAD0ATABBAE0AQgBEAEEAKABcACIAbQAzACAAQwBIADQALwBrAGcAIABWAFMAXAAiACkAOwBcAG4AXABuAFMAbwB1AHIAYwBlAEQAYQB0AGEAXwBQAG8AdQBsAHQAcgB5AF8ATQBlAHQAaABhAG4AZQBFAG0AaQBzAHMAaQBvAG4AcwBQAG8AdABlAG4AdABpAGEAbABfAFMAbwB1AHIAYwBlAFwAbgAgACAAPQBMAEEATQBCAEQAQQAoAFwAIgBWAEUARQBSAEcAIAAyADAAMgA2ADoAIAA0AC4ANgAuADIALgAzACAAQwBPAE4AUwBUAEEATgBUADoAIABQAG8AdQBsAHQAcgB5ACAALQAgAE0AZQB0AGgAYQBuAGUAIABlAG0AaQBzAHMAaQBvAG4AcwAgAHAAbwB0AGUAbgB0AGkAYQBsACAAcABlAHIAIABjAGwAYQBzAHMAXAAiACkAOwBcAG4AXABuAFMAbwB1AHIAYwBlAEQAYQB0AGEAXwBQAG8AdQBsAHQAcgB5AF8ATQBlAHQAaABhAG4AZQBFAG0AaQBzAHMAaQBvAG4AcwBQAG8AdABlAG4AdABpAGEAbABfAFYAYQByAGkAYQB0AGkAbwBuAFwAbgAgACAAPQBMAEEATQBCAEQAQQAoAFwAIgBcACIAKQA7AFwAbgBcAG4AUwBvAHUAcgBjAGUARABhAHQAYQBfAFAAbwB1AGwAdAByAHkAXwBNAGUAdABoAGEAbgBlAEUAbQBpAHMAcwBpAG8AbgBzAFAAbwB0AGUAbgB0AGkAYQBsAF8ARABhAHQAYQBcAG4AIAAgAD0ATABBAE0AQgBEAEEAKABcAG4AIAAgACAAIABNAEEASwBFAEEAUgBSAEEAWQAoADMALAAgADIALAAgAFwAbgAgACAAIAAgACAAIABMAEEATQBCAEQAQQAoAHIALABjACwAIABcAG4AIAAgACAAIAAgACAAIAAgAEkATgBEAEUAWAAoAHsAXABuACAAIAAgACAAIAAgACAAIAAgACAAXAAiAFAAbwB1AGwAdAByAHkAIABjAGwAYQBzAHMAXAAiACwAIABcACIAQgAwAFwAIgA7AFwAbgAgACAAIAAgACAAIAAgACAAIAAgAFwAIgBMAGEAeQBlAHIAcwBcACIALAAgADAALgAzADkAOwAgAFwAbgAgACAAIAAgACAAIAAgACAAIAAgAFwAIgBNAGUAYQB0ACAAYwBoAGkAYwBrAGUAbgBzAFwAIgAsACAAMAAuADMANgBcAG4AIAAgACAAIAAgACAAIAAgAH0ALAAgAHIALAAgAGMAKQBcAG4AIAAgACAAIAAgACAAKQBcAG4AIAAgACAAIAApAFwAbgAgACAAKQA7AFwAbgBcAG4ALwAqACAAXABuAC0ALQAtAC0ALQAtAC0ALQAtAC0ALQAtAC0ALQAtAC0ALQAtAC0ALQAtAC0ALQAtAC0ALQAtAC0ALQAtAC0ALQAtAC0ALQAtAC0ALQBcAG4AUwBvAHUAcgBjAGUARABhAHQAYQBfAFAAbwB1AGwAdAByAHkAXwBQAHIAbwBkAHUAYwB0AGkAbwBuAFMAeQBzAHQAZQBtAHMAXABuAFAAbwB1AGwAdAByAHkAIABwAHIAbwBkAHUAYwB0AGkAbwBuACAAcwB5AHMAdABlAG0AcwBcAG4ALQAtAC0ALQAtAC0ALQAtAC0ALQAtAC0ALQAtAC0ALQAtAC0ALQAtAC0ALQAtAC0ALQAtAC0ALQAtAC0ALQAtAC0ALQAtAC0ALQAtAFwAbgAqAC8AXABuAFwAbgBTAG8AdQByAGMAZQBEAGEAdABhAF8AUABvAHUAbAB0AHIAeQBfAFAAcgBvAGQAdQBjAHQAaQBvAG4AUwB5AHMAdABlAG0AcwBfAFQAaQB0AGwAZQBcAG4AIAAgAD0ATABBAE0AQgBEAEEAKABcACIAUABvAHUAbAB0AHIAeQAgAC0AIABQAHIAbwBkAHUAYwB0AGkAbwBuACAAcwB5AHMAdABlAG0AcwBcACIAKQA7AFwAbgBcAG4AUwBvAHUAcgBjAGUARABhAHQAYQBfAFAAbwB1AGwAdAByAHkAXwBQAHIAbwBkAHUAYwB0AGkAbwBuAFMAeQBzAHQAZQBtAHMAXwBVAG4AaQB0AFwAbgAgACAAPQBMAEEATQBCAEQAQQAoAFwAIgBcACIAKQA7AFwAbgBcAG4AUwBvAHUAcgBjAGUARABhAHQAYQBfAFAAbwB1AGwAdAByAHkAXwBQAHIAbwBkAHUAYwB0AGkAbwBuAFMAeQBzAHQAZQBtAHMAXwBTAG8AdQByAGMAZQBcAG4AIAAgAD0ATABBAE0AQgBEAEEAKABcACIAVgBFAEUAUgBHACAAMgAwADIANgA6ACAANAAuADYAIABQAG8AdQBsAHQAcgB5AFwAIgApADsAXABuAFwAbgBTAG8AdQByAGMAZQBEAGEAdABhAF8AUABvAHUAbAB0AHIAeQBfAFAAcgBvAGQAdQBjAHQAaQBvAG4AUwB5AHMAdABlAG0AcwBfAFYAYQByAGkAYQB0AGkAbwBuAFwAbgAgACAAPQBMAEEATQBCAEQAQQAoAFwAIgBcACIAKQA7AFwAbgBcAG4AUwBvAHUAcgBjAGUARABhAHQAYQBfAFAAbwB1AGwAdAByAHkAXwBQAHIAbwBkAHUAYwB0AGkAbwBuAFMAeQBzAHQAZQBtAHMAXwBEAGEAdABhAFwAbgAgACAAPQBMAEEATQBCAEQAQQAoAFwAbgAgACAAIAAgAE0AQQBLAEUAQQBSAFIAQQBZACgANAAsACAAMQAsACAAXABuACAAIAAgACAAIAAgAEwAQQBNAEIARABBACgAcgAsAGMALAAgAFwAbgAgACAAIAAgACAAIAAgACAASQBOAEQARQBYACgAewBcAG4AIAAgACAAIAAgACAAIAAgACAAIABcACIAUAByAG8AZAB1AGMAdABpAG8AbgAgAHMAeQBzAHQAZQBtAFwAIgA7AFwAbgAgACAAIAAgACAAIAAgACAAIAAgAFwAIgBGAHIAZQBlACAAcgBhAG4AZwBlAFwAIgA7ACAAXABuACAAIAAgACAAIAAgACAAIAAgACAAXAAiAEIAYQByAG4AXAAiADsAXABuACAAIAAgACAAIAAgACAAIAAgACAAXAAiAEMAYQBnAGUAXAAiAFwAbgAgACAAIAAgACAAIAAgACAAfQAsACAAcgAsACAAYwApAFwAbgAgACAAIAAgACAAIAApAFwAbgAgACAAIAAgACkAXABuACAAIAApADsAXABuAFwAbgBcAG4ALwAqACAAXABuAC0ALQAtAC0ALQAtAC0ALQAtAC0ALQAtAC0ALQAtAC0ALQAtAC0ALQAtAC0ALQAtAC0ALQAtAC0ALQAtAC0ALQAtAC0ALQAtAC0ALQBcAG4AUwBvAHUAcgBjAGUARABhAHQAYQBfAFAAbwB1AGwAdAByAHk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FAAbwB1AGwAdAByAHkAXwBWAFMATABfAFQAaQB0AGwAZQBcAG4AIAAgAD0ATABBAE0AQgBEAEEAKABcACIAUABvAHUAbAB0AHIAeQAgAC0AIABGAHIAYQBjAHQAaQBvAG4AIABvAGYAIAB2AG8AbABhAHQAaQBsAGUAIABzAG8AbABpAGQAcwAgAGwAbwBzAHQAIABpAG4AIAB0AGgAZQAgAHAAcgBpAG0AYQByAHkAIABNAE0AUwBcACIAKQA7AFwAbgBcAG4AUwBvAHUAcgBjAGUARABhAHQAYQBfAFAAbwB1AGwAdAByAHkAXwBWAFMATABfAFUAbgBpAHQAXABuACAAIAA9AEwAQQBNAEIARABBACgAXAAiAFwAIgApADsAXABuAFwAbgBTAG8AdQByAGMAZQBEAGEAdABhAF8AUABvAHUAbAB0AHIAeQBfAFYAUwBMAF8AUwBvAHUAcgBjAGUAXABuACAAIAA9AEwAQQBNAEIARABBACgAXAAiAFYARQBFAFIARwAgADIAMAAyADYAOgAgADQALgA2AC4AMgAuADMAIABDAE8ATgBTAFQAQQBOAFQAXAAiACkAOwBcAG4AXABuAFMAbwB1AHIAYwBlAEQAYQB0AGEAXwBQAG8AdQBsAHQAcgB5AF8AVgBTAEwAXwBWAGEAcgBpAGEAdABpAG8AbgBcAG4AIAAgAD0ATABBAE0AQgBEAEEAKABcACIAVgBBAFIASQBBAFQASQBPAE4AIABPAE4AIABTAE8AVQBSAEMARQA6ACAAVABhAGIAbABlACAAZwBlAG4AZQByAGEAdABlAGQAIABmAHIAbwBtACAAbABpAG4AZQAgAGkAdABlAG0AcwAuACAAQQBkAGQAZQBkACAAXAB1ADAAMAAyADcATgBJAFIAIABkAGUAZgBpAG4AaQB0AGkAbwBuACAAYwBvAGwAdQBtAG4AXAB1ADAAMAAyADcALgBcACIAKQA7AFwAbgBcAG4AUwBvAHUAcgBjAGUARABhAHQAYQBfAFAAbwB1AGwAdAByAHkAXwBWAFMATABfAEQAYQB0AGEAXABuACAAIAA9AEwAQQBNAEIARABBACgAXABuACAAIAAgACAATQBBAEsARQBBAFIAUgBBAFkAKAA0ACwAIAAzACwAIABcAG4AIAAgACAAIAAgACAATABBAE0AQgBEAEEAKAByACwAYwAsACAAXABuACAAIAAgACAAIAAgACAAIABJAE4ARABFAFgAKAB7AFwAbgAgACAAIAAgACAAIAAgACAAIAAgAFwAIgBNAE0AUwBcACIALAAgAFwAIgBWAFMATABcACIALAAgAFwAIgBOAEkAUgAgAGQAZQBmAGkAbgBpAHQAaQBvAG4AXAAiADsAXABuACAAIAAgACAAIAAgACAAIAAgACAAXAAiAFAAbwB1AGwAdAByAHkAIABtAGEAbgB1AHIAZQAgAHcAaQB0AGgAIABsAGkAdAB0AGUAcgBcACIALAAgADAALgAxADUALAAgAFwAIgBQAG8AdQBsAHQAcgB5ACAAbQBhAG4AdQByAGUAIAB3AGkAdABoACAAYgBlAGQAZABpAG4AZwBcACIAOwBcAG4AIAAgACAAIAAgACAAIAAgACAAIABcACIAUABvAHUAbAB0AHIAeQAgAG0AYQBuAHUAcgBlACAAdwBpAHQAaABvAHUAdAAgAGwAaQB0AHQAZQByACAALQAgAHMAdABvAHIAZQBkACAAaQBuACAAaABvAHUAcwBlAFwAIgAsACAAMAAuADIALAAgAFwAIgBNAGEAbgB1AHIAZQAgAHMAdABvAHIAZQBkACAAaQBuACAAaABvAHUAcwBlAFwAIgA7AFwAbgAgACAAIAAgACAAIAAgACAAIAAgAFwAIgBQAG8AdQBsAHQAcgB5ACAAbQBhAG4AdQByAGUAIAB3AGkAdABoAG8AdQB0ACAAbABpAHQAdABlAHIAIAAtACAAYgBlAGwAdAAgAHIAZQBtAG8AdgBhAGwAXAAiACwAIAAwACwAIABcACIAQgBlAGwAdAAgAG0AYQBuAHUAcgBlACAAcgBlAG0AbwB2AGEAbA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FAAbwB1AGwAdAByAHkAXwBGAHIAYQBjAEcAQQBTAE0AbQBUAFwAbgBUAGEAYgBsAGUAIABBAC4AMQAuADcALgAyADoAIABQAG8AdQBsAHQAcgB5ACAALQAgAEYAcgBhAGMAdABpAG8AbgAgAG8AZgAgAE4AIAB2AG8AbABhAHQAaQBsAGkAcwBlAGQAIABiAHkAIABNAE0AUwAgACgAKABrAGcAIABOAEgAMwAtAE4AIAArACAATgBPAHgALQBOACkALwBrAGcATgApACAAKABGAHIAYQBjAEcAQQBTAE0AbQBUACkAXABuAC0ALQAtAC0ALQAtAC0ALQAtAC0ALQAtAC0ALQAtAC0ALQAtAC0ALQAtAC0ALQAtAC0ALQAtAC0ALQAtAC0ALQAtAC0ALQAtAC0ALQBcAG4AKgAvAFwAbgBcAG4AUwBvAHUAcgBjAGUARABhAHQAYQBfAFAAbwB1AGwAdAByAHkAXwBGAHIAYQBjAEcAQQBTAE0AbQBUAF8AVABpAHQAbABlAFwAbgAgACAAPQBMAEEATQBCAEQAQQAoAFwAIgBQAG8AdQBsAHQAcgB5ACAALQAgAEYAcgBhAGMAdABpAG8AbgAgAG8AZgAgAE4AIAB2AG8AbABhAHQAaQBsAGkAcwBlAGQAIABiAHkAIABNAE0AUwAgACgAKABrAGcAIABOAEgAMwAtAE4AIAArACAATgBPAHgALQBOACkALwBrAGcATgApACAAKABGAHIAYQBjAEcAQQBTAE0AbQBUACkAXAAiACkAOwBcAG4AXABuAFMAbwB1AHIAYwBlAEQAYQB0AGEAXwBQAG8AdQBsAHQAcgB5AF8ARgByAGEAYwBHAEEAUwBNAG0AVABfAFUAbgBpAHQAXABuACAAIAA9AEwAQQBNAEIARABBACgAXAAiACgAawBnACAATgBIADMALQBOACAAKwAgAE4ATwB4AC0ATgApAC8AawBnAE4AXAAiACkAOwBcAG4AXABuAFMAbwB1AHIAYwBlAEQAYQB0AGEAXwBQAG8AdQBsAHQAcgB5AF8ARgByAGEAYwBHAEEAUwBNAG0AVABfAFMAbwB1AHIAYwBlAFwAbgAgACAAPQBMAEEATQBCAEQAQQAoAFwAIgBWAEUARQBSAEcAIAAyADAAMgA2ADoAIABUAGEAYgBsAGUAIABBAC4AMQAuADcALgAyAFwAIgApADsAXABuAFwAbgBTAG8AdQByAGMAZQBEAGEAdABhAF8AUABvAHUAbAB0AHIAeQBfAEYAcgBhAGMARwBBAFMATQBtAFQAXwBWAGEAcgBpAGEAdABpAG8AbgBcAG4AIAAgAD0ATABBAE0AQgBEAEEAKABcACIAVgBBAFIASQBBAFQASQBPAE4AIABPAE4AIABTAE8AVQBSAEMARQA6ACAAQQBkAGQAZQBkACAAXAB1ADAAMAAyADcATgBJAFIAIABkAGUAZgBpAG4AaQB0AGkAbwBuACAAYwBvAGwAdQBtAG4AXAB1ADAAMAAyADcALgBcACIAKQA7AFwAbgBcAG4AUwBvAHUAcgBjAGUARABhAHQAYQBfAFAAbwB1AGwAdAByAHkAXwBGAHIAYQBjAEcAQQBTAE0AbQBUAF8ARABhAHQAYQBcAG4AIAAgAD0ATABBAE0AQgBEAEEAKABcAG4AIAAgACAAIABNAEEASwBFAEEAUgBSAEEAWQAoADgALAAgADMALAAgAFwAbgAgACAAIAAgACAAIABMAEEATQBCAEQAQQAoAHIALABjACwAIABcAG4AIAAgACAAIAAgACAAIAAgAEkATgBEAEUAWAAoAHsAXABuACAAIAAgACAAIAAgACAAIAAgACAAXAAiAE0ATQBTACAAbQBcACIALAAgAFwAIgBGAHIAYQBjAEcAQQBTAE0AbQBUAFwAIgAsACAAXAAiAE4ASQBSACAAcgBlAGYAZQByAGUAbgBjAGUAXAAiADsAXABuACAAIAAgACAAIAAgACAAIAAgACAAXAAiAFAAbwB1AGwAdAByAHkAIABtAGEAbgB1AHIAZQAgAHcAaQB0AGgAIABsAGkAdAB0AGUAcgAgACgAaABvAHUAcwBpAG4AZwApAFwAIgAsACAAMAAuADMALAAgAFwAIgBQAG8AdQBsAHQAcgB5ACAAbQBhAG4AdQByAGUAIAB3AGkAdABoACAAYgBlAGQAZABpAG4AZwBcACIAOwBcAG4AIAAgACAAIAAgACAAIAAgACAAIABcACIAUABvAHUAbAB0AHIAeQAgAG0AYQBuAHUAcgBlACAAdwBpAHQAaABvAHUAdAAgAGwAaQB0AHQAZQByACAAKABoAG8AdQBzAGkAbgBnACkAIABCAGUAbAB0ACAAbQBhAG4AdQByAGUAIAByAGUAbQBvAHYAYQBsAFwAIgAsACAAMAAuADAANQAsACAAXAAiAEIAZQBsAHQAIABtAGEAbgB1AHIAZQAgAHIAZQBtAG8AdgBhAGwAXAAiADsAXABuACAAIAAgACAAIAAgACAAIAAgACAAXAAiAFAAbwB1AGwAdAByAHkAIABtAGEAbgB1AHIAZQAgAHcAaQB0AGgAbwB1AHQAIABsAGkAdAB0AGUAcgAgACgAaABvAHUAcwBpAG4AZwApACAATQBhAG4AdQByAGUAIABzAHQAbwByAGUAZAAgAGkAbgAgAGgAbwB1AHMAZQAgAHUAbgBkAGUAcgAgAGMAYQBnAGUAcwAgAG8AcgAgAHMAbABhAHQAXAAiACwAIAAwAC4ANAAsACAAXAAiAE0AYQBuAHUAcgBlACAAcwB0AG8AcgBlAGQAIABpAG4AIABoAG8AdQBzAGUAXAAiADsAXABuACAAIAAgACAAIAAgACAAIAAgACAAXAAiAFMAbwBsAGkAZAAgAHMAdABvAHIAYQBnAGUAIAAoAHMAdABvAGMAawBwAGkAbABlACkAXAAiACwAIAAwAC4AMgAsACAAXAAiAFMAbwBsAGkAZAAgAHMAdABvAHIAYQBnAGUAXAAiADsAXABuACAAIAAgACAAIAAgACAAIAAgACAAXAAiAEMAbwBtAHAAbwBzAHQAaQBuAGcAIAAoAHAAYQBzAHMAaQB2AGUAIAB3AGkAbgBkAHIAbwB3ACkAXAAiACwAIAAwAC4AMgAsACAAXAAiAEMAbwBtAHAAbwBzAHQAaQBuAGcAIAAoAHAAYQBzAHMAaQB2AGUAIAB3AGkAbgBkAHIAbwB3ACkAXAAiADsAXABuACAAIAAgACAAIAAgACAAIAAgACAAXAAiAEQAaQByAGUAYwB0ACAAcAByAG8AYwBlAHMAcwBpAG4AZwBcACIALAAgADAALAAgAFwAIgBEAGkAcgBlAGMAdAAgAHAAcgBvAGMAZQBzAHMAaQBuAGcAXAAiADsAXABuACAAIAAgACAAIAAgACAAIAAgACAAXAAiAEEAbgBhAGUAcgBvAGIAaQBjACAAZABpAGcAZQBzAHQAZQByACAALwAgAGMAbwB2AGUAcgBlAGQAIABwAG8AbgBkAFwAIgAsACAAMAAsACAAXAAiAEQAaQBnAGUAcwB0AGUAcgAgAC8AIABjAG8AdgBlAHIAZQBkACAAbABhAGcAbwBvAG4AcwBcACIAXABuACAAIAAgACAAIAAgACAAIAB9ACwAIAByACwAIABjACkAXABuACAAIAAgACAAIAAgACkAXABuACAAIAAgACAAKQBcAG4AIAAgACkAOwBcAG4AXABuAFwAbgAvACoAIABcAG4ALQAtAC0ALQAtAC0ALQAtAC0ALQAtAC0ALQAtAC0ALQAtAC0ALQAtAC0ALQAtAC0ALQAtAC0ALQAtAC0ALQAtAC0ALQAtAC0ALQAtAFwAbgBTAG8AdQByAGMAZQBEAGEAdABhAF8AUABvAHUAbAB0AHIAeQBfAEUARgBtAFQAXABuAFQAYQBiAGwAZQAgAEEALgAxAC4ANwAuADMAOgAgAFAAbwB1AGwAdAByAHkAIAAtACAATgBpAHQAcgBvAHUAcwAgAG8AeABpAGQAZQAgAEUARgBzACAAYgB5ACAATQBNAFMAIAAoAGsAZwBOADIATwAtAE4ALwBrAGcATgApACAAKABFAEYAbQBUACkAXABuAC0ALQAtAC0ALQAtAC0ALQAtAC0ALQAtAC0ALQAtAC0ALQAtAC0ALQAtAC0ALQAtAC0ALQAtAC0ALQAtAC0ALQAtAC0ALQAtAC0ALQBcAG4AKgAvAFwAbgBcAG4AUwBvAHUAcgBjAGUARABhAHQAYQBfAFAAbwB1AGwAdAByAHkAXwBFAEYAbQBUAF8AVABpAHQAbABlAFwAbgAgACAAPQBMAEEATQBCAEQAQQAoAFwAIgBQAG8AdQBsAHQAcgB5ACAALQAgAE4AaQB0AHIAbwB1AHMAIABvAHgAaQBkAGUAIABFAEYAcwAgAGIAeQAgAE0ATQBTACAAKABrAGcATgAyAE8ALQBOAC8AawBnAE4AKQAgACgARQBGAG0AVAApAFwAIgApADsAXABuAFwAbgBTAG8AdQByAGMAZQBEAGEAdABhAF8AUABvAHUAbAB0AHIAeQBfAEUARgBtAFQAXwBVAG4AaQB0AFwAbgAgACAAPQBMAEEATQBCAEQAQQAoAFwAIgBrAGcATgAyAE8AIAAtACAATgAgAC8AIABrAGcATgBcACIAKQA7AFwAbgBcAG4AUwBvAHUAcgBjAGUARABhAHQAYQBfAFAAbwB1AGwAdAByAHkAXwBFAEYAbQBUAF8AUwBvAHUAcgBjAGUAXABuACAAIAA9AEwAQQBNAEIARABBACgAXAAiAFYARQBFAFIARwAgADIAMAAyADYAOgAgAFQAYQBiAGwAZQAgAEEALgAxAC4ANwAuADMAXAAiACkAOwBcAG4AXABuAFMAbwB1AHIAYwBlAEQAYQB0AGEAXwBQAG8AdQBsAHQAcgB5AF8ARQBGAG0AVABfAFYAYQByAGkAYQB0AGkAbwBuAFwAbgAgACAAPQBMAEEATQBCAEQAQQAoAFwAIgBWAEEAUgBJAEEAVABJAE8ATgAgAE8ATgAgAFMATwBVAFIAQwBFADoAIABBAGQAZABlAGQAIABcAHUAMAAwADIANwBOAEkAUgAgAGQAZQBmAGkAbgBpAHQAaQBvAG4AIABjAG8AbAB1AG0AbgBcAHUAMAAwADIANwAuACAARAB1AHAAbABpAGMAYQB0AGUAZAAgAFwAdQAwADAAMgA3AFAAbwB1AGwAdAByAHkAIABtAGEAbgB1AHIAZQAgAHcAaQB0AGgAbwB1AHQAIABsAGkAdAB0AGUAcgBcAHUAMAAwADIANwAgAHIAbwB3ACAAZgBvAHIAIABOAEkAUgAgAE0ATQBTACAAXAB1ADAAMAAyADcAQgBlAGwAdAAgAG0AYQBuAHUAcgBlACAAcgBlAG0AbwB2AGEAbABcAHUAMAAwADIANwAgAGEAbgBkACAAXAB1ADAAMAAyADcATQBhAG4AdQByAGUAIABzAHQAbwByAGUAZAAgAGkAbgAgAGgAbwB1AHMAZQBcAHUAMAAwADIANwAuAFwAIgApADsAXABuAFwAbgBTAG8AdQByAGMAZQBEAGEAdABhAF8AUABvAHUAbAB0AHIAeQBfAEUARgBtAFQAXwBEAGEAdABhAFwAbgAgACAAPQBMAEEATQBCAEQAQQAoAFwAbgAgACAAIAAgAE0AQQBLAEUAQQBSAFIAQQBZACgAOQAsACAAMwAsACAAXABuACAAIAAgACAAIAAgAEwAQQBNAEIARABBACgAcgAsAGMALAAgAFwAbgAgACAAIAAgACAAIAAgACAASQBOAEQARQBYACgAewBcAG4AIAAgACAAIAAgACAAIAAgACAAIABcACIATQBNAFMAIABtAFwAIgAsACAAXAAiAEUARgBtAFQAXAAiACwAIABcACIATgBJAFIAIAByAGUAZgBlAHIAZQBuAGMAZQBcACIAOwBcAG4AIAAgACAAIAAgACAAIAAgACAAIABcACIAUABvAHUAbAB0AHIAeQAgAG0AYQBuAHUAcgBlACAAdwBpAHQAaAAgAGwAaQB0AHQAZQByACAAKABoAG8AdQBzAGkAbgBnACkAXAAiACwAIAAwAC4AMAAwADEALAAgAFwAIgBQAG8AdQBsAHQAcgB5ACAAbQBhAG4AdQByAGUAIAB3AGkAdABoACAAYgBlAGQAZABpAG4AZwBcACIAOwBcAG4AIAAgACAAIAAgACAAIAAgACAAIABcACIAUABvAHUAbAB0AHIAeQAgAG0AYQBuAHUAcgBlACAAdwBpAHQAaABvAHUAdAAgAGwAaQB0AHQAZQByACAAKABoAG8AdQBzAGkAbgBnACkAXAAiACwAIAAwAC4AMAAwADEALAAgAFwAIgBCAGUAbAB0ACAAbQBhAG4AdQByAGUAIAByAGUAbQBvAHYAYQBsAFwAIgA7AFwAbgAgACAAIAAgACAAIAAgACAAIAAgAFwAIgBQAG8AdQBsAHQAcgB5ACAAbQBhAG4AdQByAGUAIAB3AGkAdABoAG8AdQB0ACAAbABpAHQAdABlAHIAIAAoAGgAbwB1AHMAaQBuAGcAKQBcACIALAAgADAALgAwADAAMQAsACAAXAAiAE0AYQBuAHUAcgBlACAAcwB0AG8AcgBlAGQAIABpAG4AIABoAG8AdQBzAGUAXAAiADsAXABuACAAIAAgACAAIAAgACAAIAAgACAAXAAiAFAAYQBzAHQAdQByAGUAIAByAGEAbgBnAGUAIABhAG4AZAAgAHAAYQBkAGQAbwBjAGsAIAAoAGYAcgBlAGUAIAByAGEAbgBnAGUAKQBcACIALAAgADAALgAwADIALAAgAFwAIgBQAGEAcwB0AHUAcgBlACAAcgBhAG4AZwBlACAAYQBuAGQAIABwAGEAZABkAG8AYwBrAFwAIgA7AFwAbgAgACAAIAAgACAAIAAgACAAIAAgAFwAIgBTAG8AbABpAGQAIABzAHQAbwByAGEAZwBlACAAKABzAHQAbwBjAGsAcABpAGwAZQApAFwAIgAsACAAMAAuADAAMAA1ACwAIABcACIAUwBvAGwAaQBkACAAcwB0AG8AcgBhAGcAZQBcACIAOwBcAG4AIAAgACAAIAAgACAAIAAgACAAIABcACIAQwBvAG0AcABvAHMAdABpAG4AZwAgACgAcABhAHMAcwBpAHYAZQAgAHcAaQBuAGQAcgBvAHcAKQBcACIALAAgADAALgAwADEALAAgAFwAIgBDAG8AbQBwAG8AcwB0AGkAbgBnACAAKABwAGEAcwBzAGkAdgBlACAAdwBpAG4AZAByAG8AdwApAFwAIgA7AFwAbgAgACAAIAAgACAAIAAgACAAIAAgAFwAIgBEAGkAcgBlAGMAdAAgAHAAcgBvAGMAZQBzAHMAaQBuAGcAXAAiACwAIAAwACwAIABcACIARABpAHIAZQBjAHQAIABwAHIAbwBjAGUAcwBzAGkAbgBnAFwAIgA7AFwAbgAgACAAIAAgACAAIAAgACAAIAAgAFwAIgBBAG4AYQBlAHIAbwBiAGkAYwAgAGQAaQBnAGUAcwB0AGUAcgAgAC8AIABjAG8AdgBlAHIAZQBkACAAcABvAG4AZABcACIALAAgADAALAAgAFwAIgBEAGkAZwBlAHMAdABlAHIAIAAvACAAYwBvAHYAZQByAGUAZAAgAGwAYQBnAG8AbwBuAHMAXAAiAFwAbgAgACAAIAAgACAAIAAgACAAfQAsACAAcgAsACAAYwApAFwAbgAgACAAIAAgACAAIAApAFwAbgAgACAAIAAgACkAXABuACAAIAApADsAXABuAFwAbgAvACoAIABcAG4ALQAtAC0ALQAtAC0ALQAtAC0ALQAtAC0ALQAtAC0ALQAtAC0ALQAtAC0ALQAtAC0ALQAtAC0ALQAtAC0ALQAtAC0ALQAtAC0ALQAtAFwAbgBTAG8AdQByAGMAZQBEAGEAdABhAF8AUABvAHUAbAB0AHIAeQBfAEYAcgBhAGMAdABpAG8AbgBPAGYATgBpAHQAcgBvAGcAZQBuAEwAbwBzAHQAVABoAHIAbwB1AGcAaABMAGUAYQBjAGgAaQBuAGcAQQBuAGQAUgB1AG4AbwBmAGYAXABuAEYAcgBhAGMAdABpAG8AbgAgAG8AZgAgAE4AIAB0AGgAYQB0ACAAaQBzACAAbABvAHMAdAAgAHQAaAByAG8AdQBnAGgAIABsAGUAYQBjAGgAaQBuAGcAIABhAG4AZAAgAHIAdQBuAG8AZgBmACAAKABkAGkAbQBlAG4AcwBpAG8AbgBsAGUAcwBzACkAXABuAC0ALQAtAC0ALQAtAC0ALQAtAC0ALQAtAC0ALQAtAC0ALQAtAC0ALQAtAC0ALQAtAC0ALQAtAC0ALQAtAC0ALQAtAC0ALQAtAC0ALQBcAG4AKgAvAFwAbgBcAG4AUwBvAHUAcgBjAGUARABhAHQAYQBfAFAAbwB1AGwAdAByAHkAXwBGAHIAYQBjAHQAaQBvAG4ATwBmAE4AaQB0AHIAbwBnAGUAbgBMAG8AcwB0AFQAaAByAG8AdQBnAGgATABlAGEAYwBoAGkAbgBnAEEAbgBkAFIAdQBuAG8AZgBmAF8AVABpAHQAbABlAFwAbgAgACAAPQBMAEEATQBCAEQAQQAoAFwAIgBGAHIAYQBjAHQAaQBvAG4AIABvAGYAIABOACAAdABoAGEAdAAgAGkAcwAgAGwAbwBzAHQAIAB0AGgAcgBvAHUAZwBoACAAbABlAGEAYwBoAGkAbgBnACAAYQBuAGQAIAByAHUAbgBvAGYAZgBcACIAKQA7AFwAbgBcAG4AUwBvAHUAcgBjAGUARABhAHQAYQBfAFAAbwB1AGwAdAByAHkAXwBGAHIAYQBjAHQAaQBvAG4ATwBmAE4AaQB0AHIAbwBnAGUAbgBMAG8AcwB0AFQAaAByAG8AdQBnAGgATABlAGEAYwBoAGkAbgBnAEEAbgBkAFIAdQBuAG8AZgBmAF8AVgBhAHIAaQBhAGIAbABlAFwAbgAgACAAPQBMAEEATQBCAEQAQQAoAFwAIgBGAHIAYQBjAF8ATABFAEEAQwBIAF8ATQBTAFwAIgApADsAXABuAFwAbgBTAG8AdQByAGMAZQBEAGEAdABhAF8AUABvAHUAbAB0AHIAeQBfAEYAcgBhAGMAdABpAG8AbgBPAGYATgBpAHQAcgBvAGcAZQBuAEwAbwBzAHQAVABoAHIAbwB1AGcAaABMAGUAYQBjAGgAaQBuAGcAQQBuAGQAUgB1AG4AbwBmAGYAXwBVAG4AaQB0AFwAbgAgACAAPQBMAEEATQBCAEQAQQAoAFwAIgBEAGkAbQBlAG4AcwBpAG8AbgBsAGUAcwBzAFwAIgApADsAXABuAFwAbgBTAG8AdQByAGMAZQBEAGEAdABhAF8AUABvAHUAbAB0AHIAeQBfAEYAcgBhAGMAdABpAG8AbgBPAGYATgBpAHQAcgBvAGcAZQBuAEwAbwBzAHQAVABoAHIAbwB1AGcAaABMAGUAYQBjAGgAaQBuAGcAQQBuAGQAUgB1AG4AbwBmAGYAXwBTAG8AdQByAGMAZQBcAG4AIAAgAD0ATABBAE0AQgBEAEEAKABcACIAVgBFAEUAUgBHACAAMgAwADIANgA6ACAANAAuADYALgAyAC4AMwAgAEMATwBOAFMAVABBAE4AVABTAFwAIgApADsAXABuAFwAbgBTAG8AdQByAGMAZQBEAGEAdABhAF8AUABvAHUAbAB0AHIAeQBfAEYAcgBhAGMAdABpAG8AbgBPAGYATgBpAHQAcgBvAGcAZQBuAEwAbwBzAHQAVABoAHIAbwB1AGcAaABMAGUAYQBjAGgAaQBuAGcAQQBuAGQAUgB1AG4AbwBmAGYAXwBWAGEAcgBpAGEAdABpAG8AbgBcAG4AIAAgAD0ATABBAE0AQgBEAEEAKABcACIAXAAiACkAOwBcAG4AXABuAFMAbwB1AHIAYwBlAEQAYQB0AGEAXwBQAG8AdQBsAHQAcgB5AF8ARgByAGEAYwB0AGkAbwBuAE8AZgBOAGkAdAByAG8AZwBlAG4ATABvAHMAdABUAGgAcgBvAHUAZwBoAEwAZQBhAGMAaABpAG4AZwBBAG4AZABSAHUAbgBvAGYAZgBfAEQAYQB0AGEAXABuACAAIAA9AEwAQQBNAEIARABBACgAMAAuADAAMgApADsAXABuAFwAbgBcAG4ALwAqACAAXABuAC0ALQAtAC0ALQAtAC0ALQAtAC0ALQAtAC0ALQAtAC0ALQAtAC0ALQAtAC0ALQAtAC0ALQAtAC0ALQAtAC0ALQAtAC0ALQAtAC0ALQBcAG4AUwBvAHUAcgBjAGUARABhAHQAYQBfAFAAbwB1AGwAdAByAHkAXwBGAHIAYQBjAEcAQQBNAFM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FAAbwB1AGwAdAByAHkAXwBGAHIAYQBjAEcAQQBNAFMAUwBvAGkAbABfAFQAaQB0AGwAZQBcAG4AIAAgAD0ATABBAE0AQgBEAEEAKABcACIARgByAGEAYwB0AGkAbwBuACAAbwBmACAAbgBpAHQAcgBvAGcAZQBuACAAdgBvAGwAYQB0AGkAbABpAHMAZQBkACAAZgByAG8AbQAgAHUAcgBpAG4AZQAgAGEAbgBkACAAZgBhAGUAYwBlAHMAIABkAGUAcABvAHMAaQB0AGUAZAAgAG8AbgAgAHAAYQBzAHQAdQByAGUAXAAiACkAOwBcAG4AXABuAFMAbwB1AHIAYwBlAEQAYQB0AGEAXwBQAG8AdQBsAHQAcgB5AF8ARgByAGEAYwBHAEEATQBTAFMAbwBpAGwAXwBWAGEAcgBpAGEAYgBsAGUAXABuACAAIAA9AEwAQQBNAEIARABBACgAXAAiAEYAcgBhAGMARwBBAFMATQBfAHMAbwBpAGwAXAAiACkAOwBcAG4AXABuAFMAbwB1AHIAYwBlAEQAYQB0AGEAXwBQAG8AdQBsAHQAcgB5AF8ARgByAGEAYwBHAEEATQBTAFMAbwBpAGwAXwBVAG4AaQB0AFwAbgAgACAAPQBMAEEATQBCAEQAQQAoAFwAIgAoAGsAZwAgAE4ASAAzAC0ATgAgACsAIABOAE8AeAAtAE4AKQAvAGsAZwAgAE4AXAAiACkAOwBcAG4AXABuAFMAbwB1AHIAYwBlAEQAYQB0AGEAXwBQAG8AdQBsAHQAcgB5AF8ARgByAGEAYwBHAEEATQBTAFMAbwBpAGwAXwBTAG8AdQByAGMAZQBcAG4AIAAgAD0ATABBAE0AQgBEAEEAKABcACIAVgBFAEUAUgBHACAAMgAwADIANgA6ACAANAAuADYALgAyAC4AMwAgAEMATwBOAFMAVABBAE4AVABTAFwAIgApADsAXABuAFwAbgBTAG8AdQByAGMAZQBEAGEAdABhAF8AUABvAHUAbAB0AHIAeQBfAEYAcgBhAGMARwBBAE0AUwBTAG8AaQBsAF8AVgBhAHIAaQBhAHQAaQBvAG4AXABuACAAIAA9AEwAQQBNAEIARABBACgAXAAiAFYAQQBSAEkAQQBUAEkATwBOACAATwBOACAAUwBPAFUAUgBDAEUAOgAgAFQAaABpAHMAIABjAG8AbgBzAHQAYQBuAHQAIABpAHMAIABuAG8AdAAgAGQAbwBjAHUAbQBlAG4AdABlAGQAIABpAG4AIAB0AGgAZQAgAGQAcgBhAGYAdAAsACAAdQBzAGUAZAAgAHQAaABlACAAcwBhAG0AZQAgAHYAYQBsAHUAZQAgAG8AZgAgADAALgAyADEAIABhAHMAIABhAGwAbAAgAG8AdABoAGUAcgAgAGwAaQB2AGUAcwB0AG8AYwBrAC4AXAAiACkAOwBcAG4AXABuAFMAbwB1AHIAYwBlAEQAYQB0AGEAXwBQAG8AdQBsAHQAcgB5AF8ARgByAGEAYwBHAEEATQBTAFMAbwBpAGwAXwBEAGEAdABhAFwAbgAgACAAPQBMAEEATQBCAEQAQQAoADAALgAyADEAKQA7AFwAbgBcAG4AXABuAC8AKgAgAFwAbgAtAC0ALQAtAC0ALQAtAC0ALQAtAC0ALQAtAC0ALQAtAC0ALQAtAC0ALQAtAC0ALQAtAC0ALQAtAC0ALQAtAC0ALQAtAC0ALQAtAC0AXABuAFMAbwB1AHIAYwBlAEQAYQB0AGEAXwBQAG8AdQBsAHQAcgB5AF8ATABpAHYAZQB3AGUAaQBnAGgAdABzAFwAbgBUAGEAYgBsAGUAIABBAC4AMQAuADcALgA1ADoAIABQAG8AdQBsAHQAcgB5ACAALQAgAEwAaQB2AGUAdwBlAGkAZwBoAHQAcwAgACgAVwBjAG8AKQAgACgAawBnACkAXABuAC0ALQAtAC0ALQAtAC0ALQAtAC0ALQAtAC0ALQAtAC0ALQAtAC0ALQAtAC0ALQAtAC0ALQAtAC0ALQAtAC0ALQAtAC0ALQAtAC0ALQBcAG4AKgAvAFwAbgBcAG4AUwBvAHUAcgBjAGUARABhAHQAYQBfAFAAbwB1AGwAdAByAHkAXwBMAGkAdgBlAHcAZQBpAGcAaAB0AHMAXwBUAGkAdABsAGUAXABuACAAIAA9AEwAQQBNAEIARABBACgAXAAiAFAAbwB1AGwAdAByAHkAIAAtACAATABpAHYAZQB3AGUAaQBnAGgAdABzACAAKABXAGMAbwApACAAKABrAGcAKQBcACIAKQA7AFwAbgBcAG4AUwBvAHUAcgBjAGUARABhAHQAYQBfAFAAbwB1AGwAdAByAHkAXwBMAGkAdgBlAHcAZQBpAGcAaAB0AHMAXwBVAG4AaQB0AFwAbgAgACAAPQBMAEEATQBCAEQAQQAoAFwAIgBrAGcAXAAiACkAOwBcAG4AXABuAFMAbwB1AHIAYwBlAEQAYQB0AGEAXwBQAG8AdQBsAHQAcgB5AF8ATABpAHYAZQB3AGUAaQBnAGgAdABzAF8AUwBvAHUAcgBjAGUAXABuACAAIAA9AEwAQQBNAEIARABBACgAXAAiAFYARQBFAFIARwAgADIAMAAyADYAOgAgAFQAYQBiAGwAZQAgAEEALgAxAC4ANwAuADUAXAAiACkAOwBcAG4AXABuAFMAbwB1AHIAYwBlAEQAYQB0AGEAXwBQAG8AdQBsAHQAcgB5AF8ATABpAHYAZQB3AGUAaQBnAGgAdABzAF8AVgBhAHIAaQBhAHQAaQBvAG4AXABuACAAIAA9AEwAQQBNAEIARABBACgAXAAiAFwAIgApADsAXABuAFwAbgBTAG8AdQByAGMAZQBEAGEAdABhAF8AUABvAHUAbAB0AHIAeQBfAEwAaQB2AGUAdwBlAGkAZwBoAHQAcwBfAEQAYQB0AGEAXABuACAAIAA9AEwAQQBNAEIARABBACgAXABuACAAIAAgACAATQBBAEsARQBBAFIAUgBBAFkAKAA1ACwAIAAyACwAIABcAG4AIAAgACAAIAAgACAATABBAE0AQgBEAEEAKAByACwAYwAsACAAXABuACAAIAAgACAAIAAgACAAIABJAE4ARABFAFgAKAB7AFwAbgAgACAAIAAgACAAIAAgACAAIAAgAFwAIgBMAGkAdgBlAHMAdABvAGMAawAgAEMAbABhAHMAcwAgAGoAXAAiACwAIABcACIAQQB2AGUAcgBhAGcAZQAgAEwAaQB2AGUAdwBlAGkAZwBoAHQAIAAoAGsAZwApAFwAIgA7AFwAbgAgACAAIAAgACAAIAAgACAAIAAgAFwAIgBDAGgAaQBjAGsAZQBuAFwAIgAsACAAMQAuADMAOwBcAG4AIAAgACAAIAAgACAAIAAgACAAIABcACIASABlAG4AIABcAHUAMAAwADMAZQAvAD0AMQAgAHkAcgBcACIALAAgADIAOwBcAG4AIAAgACAAIAAgACAAIAAgACAAIABcACIAUAB1AGwAbABlAHQAcwBcACIALAAgADEALgA0ADsAXABuACAAIAAgACAAIAAgACAAIAAgACAAXAAiAEIAcgBvAGkAbABlAHIAcwBcACIALAAgADEALgAyAFwAbgAgACAAIAAgACAAIAAgACAAfQAsACAAcgAsACAAYwApAFwAbgAgACAAIAAgACAAIAApAFwAbgAgACAAIAAgACkAXABuACAAIAApADsAIgB9ACwAewAiAHAAYQB0AGgAIgA6ACIALwBwAHIAbwBqAGUAYwB0AHMALwBFAGwAZQBjAHQAcgBpAGMAaQB0AHkAXwBFAHEAdQBhAHQAaQBvAG4AcwAiACwAIgB0AGUAeAB0ACIAOgAiAC8AKgBcAG4APQA9AD0APQA9AD0APQA9AD0APQA9AD0APQA9AD0APQA9AD0APQA9AD0APQA9AD0APQA9AD0APQA9AD0APQA9AD0APQA9AD0APQA9AD0APQA9AD0APQA9AD0APQA9AD0APQA9AD0APQA9AD0APQA9AD0APQA9AD0APQA9AD0APQA9AD0APQA9AD0APQA9AD0APQA9AD0APQBcAG4AMQA0ADoAIABFAGwAZQBjAHQAcgBpAGMAaQB0AHkAXABuAD0APQA9AD0APQA9AD0APQA9AD0APQA9AD0APQA9AD0APQA9AD0APQA9AD0APQA9AD0APQA9AD0APQA9AD0APQA9AD0APQA9AD0APQA9AD0APQA9AD0APQA9AD0APQA9AD0APQA9AD0APQA9AD0APQA9AD0APQA9AD0APQA9AD0APQA9AD0APQA9AD0APQA9AD0APQA9AD0AXABuADEANAAuADEALgAxACAAUAB1AHIAYwBoAGEAcwBlAGQAIABFAGwAZQBjAHQAcgBpAGMAaQB0AHkAIAAoAEwAbwBjAGEAdABpAG8AbgAtAEIAYQBzAGUAZAApAFwAbgAxADQALgAxAC4AMgAgAFAAdQByAGMAaABhAHMAZQBkACAARQBsAGUAYwB0AHIAaQBjAGkAdAB5ACAAKABNAGEAcgBrAGUAdAAtAEIAYQBzAGUAZAAp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MQA0AF8AMQBfADEAXwBfADEAXwBMAG8AYwBhAHQAaQBvAG4AQgBhAHMAZQBkAFMAYwBvAHAAZQBFAGwAZQBjAHQAcgBpAGMAaQB0AHkARQBtAGkAcwBzAGkAbwBuAHMAXABuAEwAbwBjAGEAdABpAG8AbgAtAGIAYQBzAGUAZAAgAFMAYwBvAHAAZQAgADIAIABlAG0AaQBzAHMAaQBvAG4AcwAgAGYAcgBvAG0AIABwAHUAcgBjAGgAYQBzAGUAZAAgAGUAbABlAGMAdAByAGkAYwBpAHQAeQBcAG4ARQBfADIAZQBsAGUAYwBcAG4AdAAgAEMATwAyAGUAXABuAEUAXwB7ADIALABlAGwAZQBjAH0APQBRAF8AewBlAGwAZQBjAH0AXABcAHQAaQBtAGUAcwAgAEUARgBfAHsAMgAsAGUAbABlAGMAfQBcAFwAdABpAG0AZQBzACAAMQAwAF4AewAtADMAfQBcAG4AUQBfAGUAbABlAGMAIAA9ACAAYQBtAG8AdQBuAHQAIABvAGYAIABlAGwAZQBjAHQAcgBpAGMAaQB0AHkAIABwAHUAcgBjAGgAYQBzAGUAZAAgAGYAcgBvAG0AIAB0AGgAZQAgAGcAcgBpAGQAIAAoAGsAVwBoACkAXABuAEUARgBfADIAZQBsAGUAYwAgAD0AIABsAG8AYwBhAHQAaQBvAG4ALQBiAGEAcwBlAGQAIABTAGMAbwBwAGUAIAAyACAAZQBtAGkAcwBzAGkAbwBuACAAZgBhAGMAdABvAHIAIABmAG8AcgAgAGUAbABlAGMAdAByAGkAYwBpAHQAeQAgACgAawBnACAAQwBPADIAZQAvAGsAVwBoACkAXABuAC0ALQAtAC0ALQAtAC0ALQAtAC0ALQAtAC0ALQAtAC0ALQAtAC0ALQAtAC0ALQAtAC0ALQAtAC0ALQAtAC0ALQAtAC0ALQAtAC0ALQBcAG4AKgAvAFwAbgBcAG4AVgBFAEUAUgBHAF8AMQA0AF8AMQBfADEAXwBfADEAXwBMAG8AYwBhAHQAaQBvAG4AQgBhAHMAZQBkAFMAYwBvAHAAZQBFAGwAZQBjAHQAcgBpAGMAaQB0AHkARQBtAGkAcwBzAGkAbwBuAHMAXABuACAAIAA9AEwAQQBNAEIARABBACgAXABuACAAIAAgACAAUQBfAGUAbABlAGMALAAgAEUARgBfADIAZQBsAGUAYwAsAFwAbgAgACAAIAAgAFEAXwBlAGwAZQBjACAAKgAgAEUARgBfADIAZQBsAGUAYwAgACoAIAAxADAAIABeACAALQAzAFwAbgAgACAAKQA7AFwAbgBcAG4AVgBFAEUAUgBHAF8AMQA0AF8AMQBfADEAXwBfADEAXwBMAG8AYwBhAHQAaQBvAG4AQgBhAHMAZQBkAFMAYwBvAHAAZQBFAGwAZQBjAHQAcgBpAGMAaQB0AHkARQBtAGkAcwBzAGkAbwBuAHMAXwBUAGkAdABsAGUAXABuACAAIAA9AEwAQQBNAEIARABBACgAXAAiAEwAbwBjAGEAdABpAG8AbgAtAGIAYQBzAGUAZAAgAFMAYwBvAHAAZQAgADIAIABlAG0AaQBzAHMAaQBvAG4AcwAgAGYAcgBvAG0AIABwAHUAcgBjAGgAYQBzAGUAZAAgAGUAbABlAGMAdAByAGkAYwBpAHQAeQBcACIAKQA7AFwAbgBcAG4AVgBFAEUAUgBHAF8AMQA0AF8AMQBfADEAXwBfADEAXwBMAG8AYwBhAHQAaQBvAG4AQgBhAHMAZQBkAFMAYwBvAHAAZQBFAGwAZQBjAHQAcgBpAGMAaQB0AHkARQBtAGkAcwBzAGkAbwBuAHMAXwBWAGEAcgBpAGEAYgBsAGUAXABuACAAIAA9AEwAQQBNAEIARABBACgAXAAiAEUAXwAyAGUAbABlAGMAXAAiACkAOwBcAG4AXABuAFYARQBFAFIARwBfADEANABfADEAXwAxAF8AXwAxAF8ATABvAGMAYQB0AGkAbwBuAEIAYQBzAGUAZABTAGMAbwBwAGUARQBsAGUAYwB0AHIAaQBjAGkAdAB5AEUAbQBpAHMAcwBpAG8AbgBzAF8AVQBuAGkAdABcAG4AIAAgAD0ATABBAE0AQgBEAEEAKABcACIAdAAgAEMATwAyAGUAXAAiACkAOwBcAG4AXABuAFYARQBFAFIARwBfADEANABfADEAXwAxAF8AXwAxAF8ATABvAGMAYQB0AGkAbwBuAEIAYQBzAGUAZABTAGMAbwBwAGUARQBsAGUAYwB0AHIAaQBjAGkAdAB5AEUAbQBpAHMAcwBpAG8AbgBzAF8AUwBvAHUAcgBjAGUAXABuACAAIAA9AEwAQQBNAEIARABBACgAXAAiAFYARQBFAFIARwAgADIAMAAyADYAOgAgADEANAAuADEALgAxACwAIABFAHEAdQBhAHQAaQBvAG4AIAAoADEAKQBcACIAKQA7AFwAbgBcAG4AVgBFAEUAUgBHAF8AMQA0AF8AMQBfADEAXwBfADEAXwBMAG8AYwBhAHQAaQBvAG4AQgBhAHMAZQBkAFMAYwBvAHAAZQBFAGwAZQBjAHQAcgBpAGMAaQB0AHkARQBtAGkAcwBzAGkAbwBuAHMAXwBOAEkAUgBSAGUAZgBlAHIAZQBuAGMAZQBcAG4AIAAgAD0ATABBAE0AQgBEAEEAKABcACIAXAAiACkAOwBcAG4AXABuAFYARQBFAFIARwBfADEANABfADEAXwAxAF8AXwAxAF8ATABvAGMAYQB0AGkAbwBuAEIAYQBzAGUAZABTAGMAbwBwAGUARQBsAGUAYwB0AHIAaQBjAGkAdAB5AEUAbQBpAHMAcwBpAG8AbgBzAF8ATABhAHQAZQB4AEUAcQB1AGEAdABpAG8AbgBcAG4AIAAgAD0ATABBAE0AQgBEAEEAKABcACIARQBfAHsAMgAsAGUAbABlAGMAfQA9AFEAXwB7AGUAbABlAGMAfQBcAFwAdABpAG0AZQBzACAARQBGAF8AewAyACwAZQBsAGUAYwB9AFwAXAB0AGkAbQBlAHMAIAAxADAAXgB7AC0AMwB9AFwAIgApADsAXABuAFwAbgBWAEUARQBSAEcAXwAxADQAXwAxAF8AMQBfAF8AMQBfAEwAbwBjAGEAdABpAG8AbgBCAGEAcwBlAGQAUwBjAG8AcABlAEUAbABlAGMAdAByAGkAYwBpAHQAeQBFAG0AaQBzAHMAaQBvAG4Acw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IAZQBsAGUAYwBcACIALAAgAFwAIgBsAG8AYwBhAHQAaQBvAG4ALQBiAGEAcwBlAGQAIABTAGMAbwBwAGUAIAAyACAAZQBtAGkAcwBzAGkAbwBuACAAZgBhAGMAdABvAHIAIABmAG8AcgAgAGUAbABlAGMAdAByAGkAYwBpAHQAeQBcACIALAAgAFwAIgBrAGcAIABDAE8AMgBlAC8AawBXAGgAXAAiACwAIABcACIAQwBvAG4AcwB0AGEAbgB0AFwAIgA7AFwAbgAgACAAIAAgACAAIAAgACAAIAAgAFwAIgBnAFwAIgAsACAAXAAiAEcAcgBpAGQAIABlAGwAZQBjAHQAcgBpAGMAaQB0AHkAIAB3AGEAcwAgAHAAdQByAGMAaABhAHMAZQBkACAAZgByAG8AbQBcACIALAAgAFwAIgBcACIALAAgAFwAIgBJAG4AcAB1AHQAXAAiAFwAbgAgACAAIAAgACAAIAAgACAAfQAsACAAcgAsACAAYwApAFwAbgAgACAAIAAgACAAIAApAFwAbgAgACAAIAAgACkAXABuACAAIAApADsAXABuAFwAbgBWAEUARQBSAEcAXwAxADQAXwAxAF8AMQBfAF8AMQBfAEwAbwBjAGEAdABpAG8AbgBCAGEAcwBlAGQAUwBjAG8AcABlAEUAbABlAGMAdAByAGkAYwBpAHQAeQBFAG0AaQBzAHMAaQBvAG4AcwBfAFYAYQByAGkAYQB0AGkAbwBuAFwAbgAgACAAPQBMAEEATQBCAEQAQQAoAFwAIgBBAGQAZABlAGQAIABnACAAdgBhAHIAaQBhAGIAbABlACAAdABvACAAYwBhAHAAdAB1AHIAZQAgAHcAaABpAGMAaAAgAGcAcgBpAGQAIABlAGwAZQBjAHQAcgBpAGMAaQB0AHkAIAB3AGEAcwAgAHAAdQByAGMAaABhAHMAZQBkACAAZgByAG8AbQBcACIAKQA7AFwAbgBcAG4ALwAqAFwAbgAtAC0ALQAtAC0ALQAtAC0ALQAtAC0ALQAtAC0ALQAtAC0ALQAtAC0ALQAtAC0ALQAtAC0ALQAtAC0ALQAtAC0ALQAtAC0ALQAtAC0AXABuAFYARQBFAFIARwBfADEANABfADEAXwAyAF8AXwAxAF8ATQBhAHIAawBlAHQAQgBhAHMAZQBkAFMAYwBvAHAAZQBFAGwAZQBjAHQAcgBpAGMAaQB0AHkARQBtAGkAcwBzAGkAbwBuAHMAXABuAE0AYQByAGsAZQB0AC0AYgBhAHMAZQBkACAAUwBjAG8AcABlACAAMgAgAGUAbQBpAHMAcwBpAG8AbgBzACAAZgByAG8AbQAgAHAAdQByAGMAaABhAHMAZQBkACAAZQBsAGUAYwB0AHIAaQBjAGkAdAB5AFwAbgBFAF8AMgBlAGwAZQBjAFwAbgB0ACAAQwBPADIAZQBcAG4ARQBfAHsAMgAsAGUAbABlAGMAfQA9ACgAKABRAF8AewBlAGwAZQBjAH0AXABcAHQAaQBtAGUAcwAoADEALQAoAFIAUABQACsASgBSAFAAUAApACkAKQAtACgAKABSAEUAQwBfAHsAcwB1AHIAcgBlAG4AZABlAHIAZQBkAH0ALQBSAEUAQwBfAHsAbwBuAHMAaQB0AGUAfQApAFwAXAB0AGkAbQBlAHMAIAAxADAAXgB7AC0AMwB9ACkAKQBcAFwAdABpAG0AZQBzACAARQBGAF8AewBSAE0ARgAyACwAZQBsAGUAYwB9AFwAXAB0AGkAbQBlAHMAIAAxADAAXgB7AC0AMwB9AFwAbgBRAF8AZQBsAGUAYwAgAD0AIABhAG0AbwB1AG4AdAAgAG8AZgAgAGUAbABlAGMAdAByAGkAYwBpAHQAeQAgAHAAdQByAGMAaABhAHMAZQBkACAAZgByAG8AbQAgAHQAaABlACAAZwByAGkAZAAgACgAawBXAGgAKQBcAG4AUgBQAFAAIAA9ACAAUgBlAG4AZQB3AGEAYgBsAGUAIABQAG8AdwBlAHIAIABQAGUAcgBjAGUAbgB0AGEAZwBlACAAdQBuAGQAZQByACAAdABoAGUAIABMAGEAcgBnAGUALQBzAGMAYQBsAGUAIABSAGUAbgBlAHcAYQBiAGwAZQAgAEUAbgBlAHIAZwB5ACAAVABhAHIAZwBlAHQAIAAoAEwAUgBFAFQAKQAgAGYAbwByACAAdABoAGUAIABhAHAAcABsAGkAYwBhAGIAbABlACAAcABlAHIAaQBvAGQAIAAoAHAAZQByACAAYwBlAG4AdAApAFwAbgBKAFIAUABQACAAPQAgAGoAdQByAGkAcwBkAGkAYwB0AGkAbwBuAGEAbAAgAHIAZQBuAGUAdwBhAGIAbABlACAAcABvAHcAZQByACAAcABlAHIAYwBlAG4AdABhAGcAZQAgAGYAbwByACAAdABoAGUAIABhAHAAcABsAGkAYwBhAGIAbABlACAAcABlAHIAaQBvAGQAIAAoAG8AbgBsAHkAIABhAHAAcABsAGkAZQBzACAAdABvACAAdABoAGUAIABBAEMAVAApACAAKABwAGUAcgAgAGMAZQBuAHQAKQBcAG4AUgBFAEMAXwBzAHUAcgByAGUAbgBkAGUAcgBlAGQAIAA9ACAAbgB1AG0AYgBlAHIAIABvAGYAIABlAGwAaQBnAGkAYgBsAGUAIABSAGUAbgBlAHcAYQBiAGwAZQAgAEUAbgBlAHIAZwB5ACAAQwBlAHIAdABpAGYAaQBjAGEAdABlAHMAIAB2AG8AbAB1AG4AdABhAHIAaQBsAHkAIABzAHUAcgByAGUAbgBkAGUAcgBlAGQAIABpAG4AIAB0AGgAZQAgAHIAZQBwAG8AcgB0AGkAbgBnACAAeQBlAGEAcgAgAGUAcQB1AGkAdgBhAGwAZQBuAHQAIAB0AG8AIABtAGUAZwBhAHcAYQB0AHQAIABoAG8AdQByAHMAIAAoAE0AVwBoACkAXABuAFIARQBDAF8AbwBuAHMAaQB0AGUAIAA9ACAAbgB1AG0AYgBlAHIAIABvAGYAIABlAGwAaQBnAGkAYgBsAGUAIABSAGUAbgBlAHcAYQBiAGwAZQAgAEUAbgBlAHIAZwB5ACAAQwBlAHIAdABpAGYAaQBjAGEAdABlAHMAIAB0AGgAYQB0ACAAaABhAHYAZQAgAGIAZQBlAG4AIABvAHIAIAB3AGkAbABsACAAYgBlACAAaQBzAHMAdQBlAGQAIABmAG8AcgAgAGUAbABlAGMAdAByAGkAYwBpAHQAeQAgAHAAcgBvAGQAdQBjAGUAZAAgAG8AbgAtAHMAaQB0AGUAIABkAHUAcgBpAG4AZwAgAHQAaABlACAAeQBlAGEAcgAgAGEAbgBkACAAYwBvAG4AcwB1AG0AZQBkACAAYgB5ACAAdABoAGUAIABlAG4AdABpAHQAeQAgAGUAcQB1AGkAdgBhAGwAZQBuAHQAIAB0AG8AIABtAGUAZwBhAHcAYQB0AHQAIABoAG8AdQByAHMAIAAoAE0AVwBoACkAXABuAEUARgBfAFIATQBGADIAZQBsAGUAYwAgAD0AIABTAGMAbwBwAGUAIAAyACAAcgBlAHMAaQBkAHUAYQBsACAAbQBpAHg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gBfAF8AMQBfAE0AYQByAGsAZQB0AEIAYQBzAGUAZABTAGMAbwBwAGUARQBsAGUAYwB0AHIAaQBjAGkAdAB5AEUAbQBpAHMAcwBpAG8AbgBz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C0AMwApACkAIAAqACAARQBGAF8AUgBNAEYAMgBlAGwAZQBjACAAKgAgADEAMAAgAF4AIAAtADMAXABuACAAIAApADsAXABuAFwAbgBWAEUARQBSAEcAXwAxADQAXwAxAF8AMgBfAF8AMQBfAE0AYQByAGsAZQB0AEIAYQBzAGUAZABTAGMAbwBwAGUARQBsAGUAYwB0AHIAaQBjAGkAdAB5AEUAbQBpAHMAcwBpAG8AbgBzAFYAYQByAGkAYQB0AGkAbwBuAFwAbgAgACAAPQBMAEEATQBCAEQAQQAoAFwAbgAgACAAIAAgAFEAXwBlAGwAZQBjACwAIABSAFAAUAAsACAASgBSAFAAUAAsACAAUgBFAEMAXwBzAHUAcgByAGUAbgBkAGUAcgBlAGQALAAgAFIARQBDAF8AbwBuAHMAaQB0AGUALAAgAEUARgBfAFIATQBGADIAZQBsAGUAYwAsAFwAbgAgACAAIAAgACgAKABRAF8AZQBsAGUAYwAgACoAIAAoADEAIAAtACAAKABSAFAAUAAgACsAIABKAFIAUABQACkAKQApACAALQAgACgAKABSAEUAQwBfAHMAdQByAHIAZQBuAGQAZQByAGUAZAAgAC0AIABSAEUAQwBfAG8AbgBzAGkAdABlACkAIAAqACAAMQAwACAAXgAgADMAKQApACAAKgAgAEUARgBfAFIATQBGADIAZQBsAGUAYwAgACoAIAAxADAAIABeACAALQAzAFwAbgAgACAAKQA7AFwAbgBcAG4AVgBFAEUAUgBHAF8AMQA0AF8AMQBfADIAXwBfADEAXwBNAGEAcgBrAGUAdABCAGEAcwBlAGQAUwBjAG8AcABlAEUAbABlAGMAdAByAGkAYwBpAHQAeQBFAG0AaQBzAHMAaQBvAG4AcwBfAFQAaQB0AGwAZQBcAG4AIAAgAD0ATABBAE0AQgBEAEEAKABcACIATQBhAHIAawBlAHQALQBiAGEAcwBlAGQAIABTAGMAbwBwAGUAIAAyACAAZQBtAGkAcwBzAGkAbwBuAHMAIABmAHIAbwBtACAAcAB1AHIAYwBoAGEAcwBlAGQAIABlAGwAZQBjAHQAcgBpAGMAaQB0AHkAXAAiACkAOwBcAG4AXABuAFYARQBFAFIARwBfADEANABfADEAXwAyAF8AXwAxAF8ATQBhAHIAawBlAHQAQgBhAHMAZQBkAFMAYwBvAHAAZQBFAGwAZQBjAHQAcgBpAGMAaQB0AHkARQBtAGkAcwBzAGkAbwBuAHMAXwBWAGEAcgBpAGEAYgBsAGUAXABuACAAIAA9AEwAQQBNAEIARABBACgAXAAiAEUAXwAyAGUAbABlAGMAXAAiACkAOwBcAG4AXABuAFYARQBFAFIARwBfADEANABfADEAXwAyAF8AXwAxAF8ATQBhAHIAawBlAHQAQgBhAHMAZQBkAFMAYwBvAHAAZQBFAGwAZQBjAHQAcgBpAGMAaQB0AHkARQBtAGkAcwBzAGkAbwBuAHMAXwBVAG4AaQB0AFwAbgAgACAAPQBMAEEATQBCAEQAQQAoAFwAIgB0ACAAQwBPADIAZQBcACIAKQA7AFwAbgBcAG4AVgBFAEUAUgBHAF8AMQA0AF8AMQBfADIAXwBfADEAXwBNAGEAcgBrAGUAdABCAGEAcwBlAGQAUwBjAG8AcABlAEUAbABlAGMAdAByAGkAYwBpAHQAeQBFAG0AaQBzAHMAaQBvAG4AcwBfAFMAbwB1AHIAYwBlAFwAbgAgACAAPQBMAEEATQBCAEQAQQAoAFwAIgBWAEUARQBSAEcAIAAyADAAMgA2ADoAIAAxADQALgAxAC4AMgAsACAARQBxAHUAYQB0AGkAbwBuACAAKAAxACkAXAAiACkAOwBcAG4AXABuAFYARQBFAFIARwBfADEANABfADEAXwAyAF8AXwAxAF8ATQBhAHIAawBlAHQAQgBhAHMAZQBkAFMAYwBvAHAAZQBFAGwAZQBjAHQAcgBpAGMAaQB0AHkARQBtAGkAcwBzAGkAbwBuAHMAXwBOAEkAUgBSAGUAZgBlAHIAZQBuAGMAZQBcAG4AIAAgAD0ATABBAE0AQgBEAEEAKABcACIAXAAiACkAOwBcAG4AXABuAFYARQBFAFIARwBfADEANABfADEAXwAyAF8AXwAxAF8ATQBhAHIAawBlAHQAQgBhAHMAZQBkAFMAYwBvAHAAZQBFAGwAZQBjAHQAcgBpAGMAaQB0AHkARQBtAGkAcwBzAGkAbwBuAHMAXwBMAGEAdABlAHgARQBxAHUAYQB0AGkAbwBuAFwAbgAgACAAPQBMAEEATQBCAEQAQQAoAFwAIgBFAF8AewAyACwAZQBsAGUAYwB9AD0AKABRAF8AewBlAGwAZQBjAH0AIABcAFwAdABpAG0AZQBzACAAKAAxAC0AKABSAFAAUAArAEoAUgBQAFAAKQApACAALQAgACgAKABSAEUAQwBfAHsAcwB1AHIAcgBlAG4AZABlAHIAZQBkAH0ALQBSAEUAQwBfAHsAbwBuAHMAaQB0AGUAfQApAFwAXAB0AGkAbQBlAHMAIAAxADAAXgB7AC0AMwB9ACkAKQAgAFwAXAB0AGkAbQBlAHMAIABFAEYAXwB7AFIATQBGADIALABlAGwAZQBjAH0AIABcAFwAdABpAG0AZQBzACAAMQAwAF4AewAtADMAfQBcACIAKQA7AFwAbgBcAG4AVgBFAEUAUgBHAF8AMQA0AF8AMQBfADIAXwBfADEAXwBNAGEAcgBrAGUAdABCAGEAcwBlAGQAUwBjAG8AcABlAEUAbABlAGMAdAByAGkAYwBpAHQAeQBFAG0AaQBzAHMAaQBvAG4AcwBWAGEAcgBpAGEAdABpAG8Abg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MwB9ACkAKQAgAFwAXAB0AGkAbQBlAHMAIABFAEYAXwB7AFIATQBGADIALABlAGwAZQBjAH0AIABcAFwAdABpAG0AZQBzACAAMQAwAF4AewAtADMAfQBcACIAKQA7AFwAbgBcAG4AVgBFAEUAUgBHAF8AMQA0AF8AMQBfADIAXwBfADEAXwBNAGEAcgBrAGUAdABCAGEAcwBlAGQAUwBjAG8AcABlAEUAbABlAGMAdAByAGkAYwBpAHQAeQBFAG0AaQBzAHMAaQBvAG4AcwBfAEEAcgBnAHUAbQBlAG4AdABzAFwAbgAgACAAPQBMAEEATQBCAEQAQQAoAFwAbgAgACAAIAAgAE0AQQBLAEUAQQBSAFIAQQBZACgAN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FIAUABQAFwAIgAsACAAXAAiAFIAZQBuAGUAdwBhAGIAbABlACAAUABvAHcAZQByACAAUABlAHIAYwBlAG4AdABhAGcAZQAgAHUAbgBkAGUAcgAgAHQAaABlACAATABhAHIAZwBlAC0AcwBjAGEAbABlACAAUgBlAG4AZQB3AGEAYgBsAGUAIABFAG4AZQByAGcAeQAgAFQAYQByAGcAZQB0ACAAKABMAFIARQBUACkAXAAiACwAIABcACIAcABlAHIAIABjAGUAbgB0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CAAKABBAEMAVAAgAG8AbgBsAHkAKQBcACIALAAgAFwAIgBwAGUAcgAgAGMAZQBuAHQAXAAiACwAIABcACIASQBuAHAAdQB0AFwAIgA7AFwAbgAgACAAIAAgACAAIAAgACAAIAAgAFwAIgBSAEUAQwBfAHMAdQByAHIAZQBuAGQAZQByAGUAZABcACIALAAgAFwAIgBSAGUAbgBlAHcAYQBiAGwAZQAgAEUAbgBlAHIAZwB5ACAAQwBlAHIAdABpAGYAaQBjAGEAdABlAHMAIAB2AG8AbAB1AG4AdABhAHIAaQBsAHkAIABzAHUAcgByAGUAbgBkAGUAcgBlAGQAIABpAG4AIAB0AGgAZQAgAHIAZQBwAG8AcgB0AGkAbgBnACAAeQBlAGEAcgBcACIALAAgAFwAIgBNAFcAaABcACIALAAgAFwAIgBJAG4AcAB1AHQAXAAiADsAXABuACAAIAAgACAAIAAgACAAIAAgACAAXAAiAFIARQBDAF8AbwBuAHMAaQB0AGUAXAAiACwAIABcACIAUgBlAG4AZQB3AGEAYgBsAGUAIABFAG4AZQByAGcAeQAgAEMAZQByAHQAaQBmAGkAYwBhAHQAZQBzACAAaQBzAHMAdQBlAGQAIABmAG8AcgAgAGUAbABlAGMAdAByAGkAYwBpAHQAeQAgAHAAcgBvAGQAdQBjAGUAZAAgAG8AbgAtAHMAaQB0AGUAIABkAHUAcgBpAG4AZwAgAHQAaABlACAAeQBlAGEAcgAgAGEAbgBkACAAYwBvAG4AcwB1AG0AZQBkACAAYgB5ACAAdABoAGUAIABlAG4AdABpAHQAeQBcACIALAAgAFwAIgBNAFcAaABcACIALAAgAFwAIgBJAG4AcAB1AHQAXAAiADsAXABuACAAIAAgACAAIAAgACAAIAAgACAAXAAiAEUARgBfAFIATQBGADIAZQBsAGUAYwBcACIALAAgAFwAIgBTAGMAbwBwAGUAIAAyACAAcgBlAHMAaQBkAHUAYQBsACAAbQBpAHgAIABlAG0AaQBzAHMAaQBvAG4AIABmAGEAYwB0AG8AcgAgAGYAbwByACAAZQBsAGUAYwB0AHIAaQBjAGkAdAB5AFwAIgAsACAAXAAiAGsAZwAgAEMATwAyAGUALwBrAFcAaABcACIALAAgAFwAIgBDAG8AbgBzAHQAYQBuAHQAXAAiADsAXABuACAAIAAgACAAIAAgACAAIAAgACAAXAAiAGkAXAAiACwAIABcACIAcwB0AGEAdABlAFwAIgAsACAAXAAiAFwAIgAsACAAXAAiAEkAbgBwAHUAdABcACIAXABuACAAIAAgACAAIAAgACAAIAB9ACwAIAByACwAIABjACkAXABuACAAIAAgACAAIAAgACkAXABuACAAIAAgACAAKQBcAG4AIAAgACkAOwBcAG4AXABuAFYARQBFAFIARwBfADEANABfADEAXwAyAF8AXwAxAF8ATQBhAHIAawBlAHQAQgBhAHMAZQBkAFMAYwBvAHAAZQBFAGwAZQBjAHQAcgBpAGMAaQB0AHkARQBtAGkAcwBzAGkAbwBuAHMAXwBWAGEAcgBpAGEAdABpAG8AbgBcAG4AIAAgAD0ATABBAE0AQgBEAEEAKABcACIAVgBBAFIASQBBAFQASQBPAE4AIABPAE4AIABTAE8AVQBSAEMARQA6ACAASQBuACAAbwByAGQAZQByACAAdABvACAAYwBvAG4AdgBlAHIAdAAgAG0AZQBnAGEAdwBhAHQAdAAgAGgAbwB1AHIAcwAgAHQAbwAgAGsAaQBsAG8AdwBhAHQAdAAgAGgAbwB1AHIAcwAsACAAdABoAGUAIABSAEUAQwBfAHMAdQByAHIAZQBuAGQAZQByAGUAZAAgAGEAbgBkACAAUgBFAEMAXwBvAG4AcwBpAHQAZQAgAHYAYQByAGkAYQBiAGwAZQBzACAAYQByAGUAIABtAHUAbAB0AGkAcABsAGkAZQBkACAAYgB5ACAAMQAwAF4AMwAgAGkAbgBzAHQAZQBhAGQAIABvAGYAIAAxADAAXgAtADMALgBcACIAKQA7AFwAbgAiAH0ALAB7ACIAcABhAHQAaAAiADoAIgAvAHAAcgBvAGoAZQBjAHQAcwAvAEUAbABlAGMAdAByAGkAYwBpAHQAeQBfAFMAbwB1AHIAYwBlAEQAYQB0AGEAIgAsACIAdABlAHgAdAAiADoAIgAvACoAXABuAD0APQA9AD0APQA9AD0APQA9AD0APQA9AD0APQA9AD0APQA9AD0APQA9AD0APQA9AD0APQA9AD0APQA9AD0APQA9AD0APQA9AD0APQA9AD0APQA9AD0APQA9AD0APQA9AD0APQA9AD0APQA9AD0APQA9AD0APQA9AD0APQA9AD0APQA9AD0APQA9AD0APQA9AD0APQA9AD0AXABuAEkAbgBkAGkAcgBlAGMAdAAgACgAcwBjAG8AcABlACAAMgAgAGEAbgBkACAAcwBjAG8AcABlACAAMwApACAAbABvAGMAYQB0AGkAbwBuAC0AYgBhAHMAZQBkACAAZQBtAGkAcwBzAGkAbwBuACAAZgBhAGMAdABvAHIAcwAgAGEAcwBzAG8AYwBpAGEAdABlAGQAIAB3AGkAdABoACAAdABoAGUAIABjAG8AbgBzAHUAbQBwAHQAaQBvAG4AIABhAG4AZAAgAGwAbwBzAHMAZQBzACAAbwBmACAAcAB1AHIAYwBoAGEAcwBlAGQAIABvAHIAIABhAGMAcQB1AGkAcgBlAGQAIABlAGwAZQBjAHQAcgBpAGMAaQB0AHkAIA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ABvAGMAYQB0AGkAbwBuAEIAYQBzAGUAZABfAFQAaQB0AGwAZQBcAG4APQBMAEEATQBCAEQAQQAoACgAXAAiAEUAbABlAGMAdAByAGkAYwBpAHQAeQAgAHMAYwBvAHAAZQAgADIAIABhAG4AZAAgAHMAYwBvAHAAZQAgADMAIABsAG8AYwBhAHQAaQBvAG4ALQBiAGEAcwBlAGQAIABlAG0AaQBzAHMAaQBvAG4AIABmAGEAYwB0AG8AcgBzAFwAIgApACkAOwBcAG4AXABuAEUAbABlAGMAdAByAGkAYwBpAHQAeQBfAFMAYwBvAHAAZQAyAEwAbwBjAGEAdABpAG8AbgBCAGEAcwBlAGQAXwBEAGUAcwBjAHIAaQBwAHQAaQBvAG4AXABuAD0ATABBAE0AQgBEAEEAKAAoAFwAI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FwAIgApACkAOwBcAG4AXABuAEUAbABlAGMAdAByAGkAYwBpAHQAeQBfAFMAYwBvAHAAZQAyAFMAYwBvAHAAZQAzAEwAbwBjAGEAdABpAG8AbgBCAGEAcwBlAGQAXwBTAG8AdQByAGMAZQBcAG4APQBMAEEATQBCAEQAQQAoACgAXAAiAEEAdQBzAHQAcgBhAGwAaQBhAG4AIABOAGEAdABpAG8AbgBhAGwAIABHAHIAZQBlAG4AaABvAHUAcwBlACAAQQBjAGMAbwB1AG4AdABzACAARgBhAGMAdABvAHIAcwAgADIAMAAyADUAIAAtACAAVABhAGIAbABlACAAMQBcACIAKQApADsAXABuAFwAbgBFAGwAZQBjAHQAcgBpAGMAaQB0AHkAXwBTAGMAbwBwAGUAMgBTAGMAbwBwAGUAMwBMAG8AYwBhAHQAaQBvAG4AQgBhAHMAZQBkAF8ARABhAHQAYQBcAG4APQBMAEEATQBCAEQAQQAoAFwAbgAgACAATQBBAEsARQBBAFIAUgBBAFkAKAAxADEALAAgADMALABcAG4AIAAgACAAIABMAEEATQBCAEQAQQAoAHIALABjACwAXABuACAAIAAgACAAIAAgAEkATgBEAEUAWAAoAHsAXABuACAAIAAgACAAIAAgACAAIABcACIAUwB0AGEAdABlACwAIABUAGUAcgByAGkAdABvAHIAeQAgAG8AcgAgAGcAcgBpAGQAIABkAGUAcwBjAHIAaQBwAHQAaQBvAG4AXAAiACwAIABcACIAUwBjAG8AcABlACAAMgAgAEUAbQBpAHMAcwBpAG8AbgAgAEYAYQBjAHQAbwByAHMAIAAoAGsAZwAgAEMATwAyAC0AZQAvAGsAVwBoACkAXAAiACwAIABcACIAUwBjAG8AcABlACAAMwAgAEUAbQBpAHMAcwBpAG8AbgAgAEYAYQBjAHQAbwByAHMAIAAoAGsAZwAgAEMATwAyAC0AZQAvAGsAVwBoACkAXAAiADsAXABuACAAIAAgACAAIAAgACAAIABcACIATgBlAHcAIABTAG8AdQB0AGgAIABXAGEAbABlAHMAXAAiACwAIAAwAC4ANgA0ACwAIAAwAC4AMAAzADsAXABuACAAIAAgACAAIAAgACAAIABcACIAQQBDAFQAXAAiACwAIAAwAC4ANgA0ACwAIAAwAC4AMAAzADsAXABuACAAIAAgACAAIAAgACAAIABcACIAVgBpAGMAdABvAHIAaQBhAFwAIgAsACAAMAAuADcAOAAsACAAMAAuADAAOQA7AFwAbgAgACAAIAAgACAAIAAgACAAXAAiAFEAdQBlAGUAbgBzAGwAYQBuAGQAXAAiACwAIAAwAC4ANgA3ACwAIAAwAC4AMAA5ADsAXABuACAAIAAgACAAIAAgACAAIABcACIAUwBvAHUAdABoACAAQQB1AHMAdAByAGEAbABpAGEAXAAiACwAIAAwAC4AMgAyACwAIAAwAC4AMAA0ADsAXABuACAAIAAgACAAIAAgACAAIABcACIAVwBlAHMAdABlAHIAbgAgAEEAdQBzAHQAcgBhAGwAaQBhACAALQAgAFMAbwB1AHQAaAAgAFcAZQBzAHQAIABJAG4AdABlAHIAYwBvAG4AbgBlAGMAdABlAGQAIABTAHkAcwB0AGUAbQAgACgAUwBXAEkAUwApAFwAIgAsACAAMAAuADUAMAAsACAAMAAuADAANgA7AFwAbgAgACAAIAAgACAAIAAgACAAXAAiAFcAZQBzAHQAZQByAG4AIABBAHUAcwB0AHIAYQBsAGkAYQAgAC0AIABOAG8AcgB0AGgAIABXAGUAcwB0AGUAcgBuACAASQBuAHQAZQByAGMAbwBuAG4AZQBjAHQAZQBkACAAUwB5AHMAdABlAG0AIAAoAE4AVwBJAFMAKQBcACIALAAgADAALgA1ADYALAAgADAALgAwADkAOwBcAG4AIAAgACAAIAAgACAAIAAgAFwAIgBUAGEAcwBtAGEAbgBpAGEAXAAiACwAIAAwAC4AMgAwACwAIAAwAC4AMAAzADsAXABuACAAIAAgACAAIAAgACAAIABcACIATgBvAHIAdABoAGUAcgBuACAAVABlAHIAcgBpAHQAbwByAHkAIAAtACAARABhAHIAdwBpAG4AIABLAGEAdABoAGUAcgBpAG4AZQAgAEkAbgB0AGUAcgBjAG8AbgBuAGUAYwB0AGUAZAAgAFMAeQBzAHQAZQBtACAAKABEAEsASQBTACkAXAAiACwAIAAwAC4ANQA2ACwAIAAwAC4AMAA5ADsAXABuACAAIAAgACAAIAAgACAAIABcACIATgBhAHQAaQBvAG4AYQBsAFwAIgAsACAAMAAuADYAMgAsACAAMAAuADAANwBcAG4AIAAgACAAIAAgACAAfQAsACAAcgAsACAAYwApAFwAbgApACkAKQA7AFwAbgBcAG4ARQBsAGUAYwB0AHIAaQBjAGkAdAB5AF8AUwBjAG8AcABlADIAUwBjAG8AcABlADMATABvAGMAYQB0AGkAbwBuAEIAYQBzAGUAZABfAFYAYQByAGkAYQB0AGkAbwBuAFwAbgA9AEwAQQBNAEIARABBACgAKABcACIAVgBBAFIASQBBAFQASQBPAE4AIABPAEYAIABTAE8AVQBSAEMARQAgAEQAQQBUAEEAOgAgAE4AUwBXACAAYQBuAGQAIABBAEMAVAAgAHMAcABsAGkAdAAgAGkAbgB0AG8AIABzAGUAcABhAHIAYQB0AGUAIAByAG8AdwBzAC4AXAAiACkAKQA7AFwAbgBcAG4AXABuAC8AKgBcAG4APQA9AD0APQA9AD0APQA9AD0APQA9AD0APQA9AD0APQA9AD0APQA9AD0APQA9AD0APQA9AD0APQA9AD0APQA9AD0APQA9AD0APQA9AD0APQA9AD0APQA9AD0APQA9AD0APQA9AD0APQA9AD0APQA9AD0APQA9AD0APQA9AD0APQA9AD0APQA9AD0APQA9AD0APQA9AD0APQBcAG4AUgBlAHMAaQBkAHUAYQBsACAATQBpAHgAIABGAGEAYwB0AG8AcgAgAGYAbwByACAAbQBhAHIAawBlAHQALQBiAGEAcwBlAGQAIABlAHEAdQBhAHQAaQBvAG4AcwBcAG4APQA9AD0APQA9AD0APQA9AD0APQA9AD0APQA9AD0APQA9AD0APQA9AD0APQA9AD0APQA9AD0APQA9AD0APQA9AD0APQA9AD0APQA9AD0APQA9AD0APQA9AD0APQA9AD0APQA9AD0APQA9AD0APQA9AD0APQA9AD0APQA9AD0APQA9AD0APQA9AD0APQA9AD0APQA9AD0APQBcAG4AKgAvAFwAbgBcAG4ARQBsAGUAYwB0AHIAaQBjAGkAdAB5AF8AUwBjAG8AcABlADIAUwBjAG8AcABlADMATQBhAHIAawBlAHQAQgBhAHMAZQBkAF8AVABpAHQAbABlAFwAbgA9AEwAQQBNAEIARABBACgAKABcACIARQBsAGUAYwB0AHIAaQBjAGkAdAB5ACAAcwBjAG8AcABlACAAMgAgAGEAbgBkACAAcwBjAG8AcABlACAAMwAgAG0AYQByAGsAZQB0AC0AYgBhAHMAZQBkACAAZQBtAGkAcwBzAGkAbwBuACAAZgBhAGMAdABvAHIAcwBcACIAKQApADsAXABuAFwAbgBFAGwAZQBjAHQAcgBpAGMAaQB0AHkAXwBTAGMAbwBwAGUAMgBNAGEAcgBrAGUAdABCAGEAcwBlAGQAXwBEAGUAcwBjAHIAaQBwAHQAaQBvAG4AXABuAD0ATABBAE0AQgBEAEEAKAAoAFwAIgBUAGEAYgBsAGUAIAAyAGEAIABJAG4AZABpAHIAZQBjAHQAIAAoAHMAYwBvAHAAZQAgADIAIABhAG4AZAAgAHMAYwBvAHAAZQAgADMAKQAgAGUAbQBpAHMAcwBpAG8AbgAgAGYAYQBjAHQAbwByAHMAIABmAHIAbwBtACAAYwBvAG4AcwB1AG0AcAB0AGkAbwBuACAAbwBmACAAcAB1AHIAYwBoAGEAcwBlAGQAIABvAHIAIABhAGMAcQB1AGkAcgBlAGQAIABlAGwAZQBjAHQAcgBpAGMAaQB0AHkAOgAgAG0AYQByAGsAZQB0AC0AYgBhAHMAZQBkACAAZgBhAGMAdABvAHIAcwAgAFwAIgApACkAOwBcAG4AXABuAEUAbABlAGMAdAByAGkAYwBpAHQAeQBfAFMAYwBvAHAAZQAyAFMAYwBvAHAAZQAzAE0AYQByAGsAZQB0AEIAYQBzAGUAZABfAFMAbwB1AHIAYwBlAFwAbgA9AEwAQQBNAEIARABBACgAKABcACIAQQB1AHMAdAByAGEAbABpAGEAbgAgAE4AYQB0AGkAbwBuAGEAbAAgAEcAcgBlAGUAbgBoAG8AdQBzAGUAIABBAGMAYwBvAHUAbgB0AHMAIABGAGEAYwB0AG8AcgBzACAAMgAwADIANQAgAC0AIABUAGEAYgBsAGUAIAAyAGEAXAAiACkAKQA7AFwAbgBcAG4ARQBsAGUAYwB0AHIAaQBjAGkAdAB5AF8AUwBjAG8AcABlADIAUwBjAG8AcABlADMATQBhAHIAawBlAHQAQgBhAHMAZQBkAF8ARABhAHQAYQBcAG4APQBMAEEATQBCAEQAQQAoAFwAbgAgACAATQBBAEsARQBBAFIAUgBBAFkAKAAyACwAIAA1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IAIABFAG0AaQBzAHMAaQBvAG4AIABGAGEAYwB0AG8AcgBzACAAKABrAGcAIABDAE8AMgAtAGUALwBHAEoAKQBcACIALAAgAFwAIgBTAGMAbwBwAGUAIAAzACAARQBtAGkAcwBzAGkAbwBuACAARgBhAGMAdABvAHIAcwAgACgAawBnACAAQwBPADIAIAAtACAAZQAgAC8AIABrAFcAaAApAFwAIgAsACAAXAAiAFMAYwBvAHAAZQAgADMAIABFAG0AaQBzAHMAaQBvAG4AIABGAGEAYwB0AG8AcgBzACAAKABrAGcAIABDAE8AMgAgAC0AIABlACAALwAgAEcASgApAFwAIgA7AFwAbgAgACAAIAAgACAAIAAgACAAXAAiAE4AYQB0AGkAbwBuAGEAbABcACIALAAgADAALgA4ADEALAAgADIAMgA2ACwAIAAwAC4AMQAwACwAIAAyADkAXABuACAAIAAgACAAIAAgAH0ALAAgAHIALAAgAGMAKQBcAG4AKQApACkAOwBcAG4AXABuAEUAbABlAGMAdAByAGkAYwBpAHQAeQBfAFMAYwBvAHAAZQAyAFMAYwBvAHAAZQAzAE0AYQByAGsAZQB0AEIAYQBzAGUAZABfAFYAYQByAGkAYQB0AGkAbwBuAFwAbgA9AEwAQQBNAEIARABBACgAKABcACIAXAAiACkAKQA7ACIAfQAsAHsAIgBwAGEAdABoACIAOgAiAC8AcAByAG8AagBlAGMAdABzAC8ARgB1AGUAbABfAEUAcQB1AGEAdABpAG8AbgBzACIALAAiAHQAZQB4AHQAIgA6ACIALwAqAFwAbgA9AD0APQA9AD0APQA9AD0APQA9AD0APQA9AD0APQA9AD0APQA9AD0APQA9AD0APQA9AD0APQA9AD0APQA9AD0APQA9AD0APQA9AD0AXABuADgAOgAgAEYAdQBlAGwAIABVAHMAZQBcAG4APQA9AD0APQA9AD0APQA9AD0APQA9AD0APQA9AD0APQA9AD0APQA9AD0APQA9AD0APQA9AD0APQA9AD0APQA9AD0APQA9AD0APQA9AFwAbgA4AC4AMQAgAEYAdQBlAGwAIABVAHMAZQAgAC0AIABUAHIAYQBuAHMAcABvAHIAdAAgAGYAdQBlAGwAXABuAD0APQA9AD0APQA9AD0APQA9AD0APQA9AD0APQA9AD0APQA9AD0APQA9AD0APQA9AD0APQA9AD0APQA9AD0APQA9AD0APQA9AD0APQBcAG4AKgAvAFwAbgBcAG4AXABuAFYARQBFAFIARwBfADgAXwBGAHUAZQBsAEMAbwBtAGIAdQBzAHQAaQBvAG4AXABuACAAIAA9AEwAQQBNAEIARABBACgAXABuACAAIAAgACAAUQAsACAARQBDACwAIABFAEYALABcAG4AIAAgACAAIAAoAFEAIAAqACAARQBDACAAKgAgAEUARgApACAAKgAgADEAMAAgAF4AIAAtACAAMwBcAG4AIAAgACkAXABuADsAXABuAFwAbgAvACoAIABcAG4ALQAtAC0ALQAtAC0ALQAtAC0ALQAtAC0ALQAtAC0ALQAtAC0ALQAtAC0ALQAtAC0ALQAtAC0ALQAtAC0ALQAtAC0ALQAtAC0ALQAtAFwAbgBWAEUARQBSAEcAXwA4AF8AMQBfADEAXwAxAF8AXwAxAF8ARgB1AGUAbABDAG8AbQBiAHUAcwB0AGkAbwBuAFQAcgBhAG4AcwBwAG8AcgB0AFwAbgBFAG0AaQBzAHMAaQBvAG4AcwAgAGYAbwByACAAZQBhAGMAaAAgAEcASABHACAAZgByAG8AbQAgAHQAaABlACAAYwBvAG0AYgB1AHMAdABpAG8AbgAgAG8AZgAgAGYAdQBlAGwAcwAgAGYAbwByACAAdAByAGEAbgBzAHAAbwByAHQAIABlAG4AZQByAGcAeQAgAHAAdQByAHAAbwBzAGUAcwBcAG4AUQAgADoAIABBAG0AbwB1AG4AdAAgAG8AZgAgAGYAdQBlAGwAIAB0AHkAcABlACAAcQAgAGMAbwBtAGIAdQBzAHQAZQBkACAAZgBvAHIAIAB0AHIAYQBuAHMAcABvAHIAdAAgAGUAbgBlAHIAZwB5ACAAcAB1AHIAcABvAHMAZQBzACAAOgAgAGsATABcAG4ARQBDACAAOgAgAGUAbgBlAHIAZwB5ACAAYwBvAG4AdABlAG4AdAAgAGYAYQBjAHQAbwByACAAZgBvAHIAIAB0AHIAYQBuAHMAcABvAHIAdAAgAGUAbgBlAHIAZwB5ACAAcAB1AHIAcABvAHMAZQBzACAAOgAgAEcASgAvAGsATABcAG4ARQBGACAAOgAgAFMAYwBvAHAAZQAgADEAIABlAG0AaQBzAHMAaQBvAG4AIABmAGEAYwB0AG8AcgAgAGYAbwByACAAdAByAGEAbgBzAHAAbwByAHQAIABlAG4AZQByAGcAeQAgAHAAdQByAHAAbwBzAGUAcwAgAGYAbwByACAAZQBhAGMAaAAgAGcAcgBlAGUAbgBoAG8AdQBzAGUAIABnAGEAcwAgADoAIABrAGcAIABDAE8AMgBlACAALwAgAEcASgBcAG4ALQAtAC0ALQAtAC0ALQAtAC0ALQAtAC0ALQAtAC0ALQAtAC0ALQAtAC0ALQAtAC0ALQAtAC0ALQAtAC0ALQAtAC0ALQAtAC0ALQAtAFwAbgAqAC8AXABuAFwAbgBcAG4AVgBFAEUAUgBHAF8AOABfADEAXwAxAF8AMQBfAF8AMQBfAEYAdQBlAGwAQwBvAG0AYgB1AHMAdABpAG8AbgBUAHIAYQBuAHMAcABvAHIAdABcAG4AIAAgAD0ATABBAE0AQgBEAEEAKABcAG4AIAAgACAAIABRAF8AVAByAGEAbgBzAHQAcQAsACAARQBDAF8AVAByAGEAbgBzAHEALAAgAEUARgBfAFQAcgBhAG4AcwAxAHQAcQBnACwAXABuACAAIAAgACAAVgBFAEUAUgBHAF8AOABfAEYAdQBlAGwAQwBvAG0AYgB1AHMAdABpAG8AbgAoAFEAXwBUAHIAYQBuAHMAdABxACwAIABFAEMAXwBUAHIAYQBuAHMAcQAsACAARQBGAF8AVAByAGEAbgBzADEAdABxAGcAKQBcAG4AIAAgACkAXABuADsAXABuAFwAbgBWAEUARQBSAEcAXwA4AF8AMQBfADEAXwAxAF8AXwAxAF8ARgB1AGUAbABDAG8AbQBiAHUAcwB0AGkAbwBuAFQAcgBhAG4AcwBwAG8AcgB0AF8AVABpAHQAbABlAFwAbgAgACAAPQBMAEEATQBCAEQAQQAoAFwAIgBFAG0AaQBzAHMAaQBvAG4AcwAgAGYAbwByACAAZQBhAGMAaAAgAEcASABHACAAZgByAG8AbQAgAHQAaABlACAAYwBvAG0AYgB1AHMAdABpAG8AbgAgAG8AZgAgAGYAdQBlAGwAcwAgAGYAbwByACAAdAByAGEAbgBzAHAAbwByAHQAIABlAG4AZQByAGcAeQAgAHAAdQByAHAAbwBzAGUAcwBcACIAKQA7AFwAbgBcAG4AVgBFAEUAUgBHAF8AOABfADEAXwAxAF8AMQBfAF8AMQBfAEYAdQBlAGwAQwBvAG0AYgB1AHMAdABpAG8AbgBUAHIAYQBuAHMAcABvAHIAdABfAFYAYQByAGkAYQBiAGwAZQBcAG4AIAAgAD0ATABBAE0AQgBEAEEAKABcACIARQBfAGcAXAAiACkAOwBcAG4AXABuAFYARQBFAFIARwBfADgAXwAxAF8AMQBfADEAXwBfADEAXwBGAHUAZQBsAEMAbwBtAGIAdQBzAHQAaQBvAG4AVAByAGEAbgBzAHAAbwByAHQAXwBVAG4AaQB0AFwAbgAgACAAPQBMAEEATQBCAEQAQQAoAFwAIgB0ACAAQwBPADIALQBlAFwAIgApADsAXABuAFwAbgBWAEUARQBSAEcAXwA4AF8AMQBfADEAXwAxAF8AXwAxAF8ARgB1AGUAbABDAG8AbQBiAHUAcwB0AGkAbwBuAFQAcgBhAG4AcwBwAG8AcgB0AF8AUwBvAHUAcgBjAGUAXABuACAAIAA9AEwAQQBNAEIARABBACgAXAAiAFYARQBFAFIARwAgADIAMAAyADYAOgAgADgALgAxAC4AMQAuADEALAAgAEUAcQB1AGEAdABpAG8AbgAgACgAMQApAFwAIgApADsAXABuAFwAbgBWAEUARQBSAEcAXwA4AF8AMQBfADEAXwAxAF8AXwAxAF8ARgB1AGUAbABDAG8AbQBiAHUAcwB0AGkAbwBuAFQAcgBhAG4AcwBwAG8AcgB0AF8ATgBJAFIAUgBlAGYAZQByAGUAbgBjAGUAXABuACAAIAA9AEwAQQBNAEIARABBACgAXAAiAEEAdQBzAHQAcgBhAGwAaQBhAG4AIABOAGEAdABpAG8AbgBhAGwAIABHAHIAZQBlAG4AaABvAHUAcwBlACAAQQBjAGMAbwB1AG4AdABzACAARgBhAGMAdABvAHIAcwAgADIAMAAyADUAIAAtACAAMgAuADMAIABFAHMAdABpAG0AYQB0AGkAbgBnACAAZQBtAGkAcwBzAGkAbwBuAHMAIABmAHIAbwBtACAAdAByAGEAbgBzAHAAbwByAHQAIABmAHUAZQBsAHMAXAAiACkAOwBcAG4AXABuAFYARQBFAFIARwBfADgAXwAxAF8AMQBfADEAXwBfADEAXwBGAHUAZQBsAEMAbwBtAGIAdQBzAHQAaQBvAG4AVAByAGEAbgBzAHAAbwByAHQAXwBMAGEAdABlAHgARQBxAHUAYQB0AGkAbwBuAFwAbgAgACAAPQBMAEEATQBCAEQAQQAoAFwAIgBFAF8AZwA9AFwAXABzAHUAbQBcAFwAbgBvAGwAaQBtAGkAdABzAF8AdAAgAFwAXABzAHUAbQBcAFwAbgBvAGwAaQBtAGkAdABzAF8AcQBcAFwAbABlAGYAdAAoAFEAXwB7AFQAcgBhAG4AcwAsAHQAcQB9AFwAXAB0AGkAbQBlAHMAIABFAEMAXwB7AFQAcgBhAG4AcwAsAHEAfQBcAFwAdABpAG0AZQBzACAARQBGAF8AewBUAHIAYQBuAHMALAAxACwAdABxAGcAfQBcAFwAcgBpAGcAaAB0ACkAXABcAHQAaQBtAGUAcwAgADEAMABeAHsALQAzAH0AXAAiACkAOwBcAG4AXABuAFYARQBFAFIARwBfADgAXwAxAF8AMQBfADEAXwBfADEAXwBGAHUAZQBsAEMAbwBtAGIAdQBzAHQAaQBvAG4AVAByAGEAbgBzAHAAbwByAHQAXwBBAHIAZwB1AG0AZQBuAHQAcwBcAG4AIAAgAD0ATABBAE0AQgBEAEEAKABcAG4AIAAgACAAIABNAEEASwBFAEEAUgBSAEEAWQAoADcALAAgADQALAAgAFwAbgAgACAAIAAgACAAIABMAEEATQBCAEQAQQAoAHIALABjACwAIABcAG4AIAAgACAAIAAgACAAIAAgAEkATgBEAEUAWAAoAHsAXABuACAAIAAgACAAIAAgACAAIAAgACAAXAAiAFEAXwBUAHIAYQBuAHMAdABxAFwAIgAsACAAXAAiAEEAbQBvAHUAbgB0ACAAbwBmACAAZgB1AGUAbAAgAHQAeQBwAGUAIABxACAAYwBvAG0AYgB1AHMAdABlAGQAIABmAG8AcgAgAHQAcgBhAG4AcwBwAG8AcgB0ACAAZQBuAGUAcgBnAHkAIABwAHUAcgBwAG8AcwBlAHMAXAAiACwAIABcACIAVgBhAHIAaQBlAHMAIABiAGEAcwBlAGQAIABvAG4AIABmAHUAZQBsACAAdAB5AHAAZQA6ACAAawBMACwAIABtADMALAAgAEcASgBcACIALAAgAFwAIgBJAG4AcAB1AHQAXAAiADsAXABuACAAIAAgACAAIAAgACAAIAAgACAAXAAiAEUAQwBfAFQAcgBhAG4AcwBxAFwAIgAsACAAXAAiAEUAbgBlAHIAZwB5ACAAYwBvAG4AdABlAG4AdAAgAGYAYQBjAHQAbwByACAAZgBvAHIAIAB0AHIAYQBuAHMAcABvAHIAdAAgAGUAbgBlAHIAZwB5ACAAcAB1AHIAcABvAHMAZQBzAFwAIgAsACAAXAAiAEcASgAgAC8AIAB1AG4AaQB0ACAAbwBmACAAZgB1AGUAbABcACIALAAgAFwAIgBDAG8AbgBzAHQAYQBuAHQAXAAiADsAXABuACAAIAAgACAAIAAgACAAIAAgACAAXAAiAEUARgBfAFQAcgBhAG4AcwAxAHQAcQBnAFwAIgAsACAAXAAiAFMAYwBvAHAAZQAgADEAIABlAG0AaQBzAHMAaQBvAG4AIABmAGEAYwB0AG8AcgAgAGYAbwByACAAdAByAGEAbgBzAHAAbwByAHQAIABlAG4AZQByAGcAeQAgAHAAdQByAHAAbwBzAGUAcwAgAGYAbwByACAAZQBhAGMAaAAgAGcAcgBlAGUAbgBoAG8AdQBzAGUAIABnAGEAcwBcACIALAAgAFwAIgBrAGcAIABDAE8AMgBlACAALwAgAEcASgBcACIALAAgAFwAIgBDAG8AbgBzAHQAYQBuAHQAXAAiADsAXABuACAAIAAgACAAIAAgACAAIAAgACAAXAAiAHEAXAAiACwAIABcACIARgB1AGUAbAAgAHQAeQBwAGUAXAAiACwAIABcACIAXAAiACwAIABcACIAQwBvAG4AcwB0AGEAbgB0AFwAIgA7AFwAbgAgACAAIAAgACAAIAAgACAAIAAgAFwAIgBUAHIAYQBuAHMAXAAiACwAIABcACIAVAByAGEAbgBzAHAAbwByAHQ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LwAqACAAXABuAC0ALQAtAC0ALQAtAC0ALQAtAC0ALQAtAC0ALQAtAC0ALQAtAC0ALQAtAC0ALQAtAC0ALQAtAC0ALQAtAC0ALQAtAC0ALQAtAC0ALQBcAG4AVgBFAEUAUgBHAF8AOABfADIAXwAxAF8AMQBfAF8AMQBfAEYAdQBlAGwAQwBvAG0AYgB1AHMAdABpAG8AbgBTAHQAYQB0AGkAbwBuAGEAcgB5AFwAbgBFAG0AaQBzAHMAaQBvAG4AcwAgAGYAbwByACAAZQBhAGMAaAAgAEcASABHACAAZgByAG8AbQAgAHQAaABlACAAcwB0AGEAdABpAG8AbgBhAHIAeQAgAGMAbwBtAGIAdQBzAHQAaQBvAG4AIABvAGYAIABmAHUAZQBsAHMAXABuAFEAIAA6ACAAQQBtAG8AdQBuAHQAIABvAGYAIABmAHUAZQBsACAAdAB5AHAAZQAgAHEAIAB1AHMAZQBkACAAZgBvAHIAIABzAHQAYQB0AGkAbwBuAGEAcgB5ACAAYwBvAG0AYgB1AHMAdABpAG8AbgAgAG8AcABlAHIAYQB0AGkAbwBuAHMAIAA6ACAAawBMAFwAbgBFAEMAIAA6ACAARQBuAGUAcgBnAHkAIABjAG8AbgB0AGUAbgB0ACAAZgBhAGMAdABvAHIAIABmAG8AcgAgAHMAdABhAHQAaQBvAG4AYQByAHkAIABjAG8AbQBiAHUAcwB0AGkAbwBuACAAbwBwAGUAcgBhAHQAaQBvAG4AcwAgADoAIABHAEoALwBrAEwAXABuAEUARgAgADoAIABTAGMAbwBwAGUAIAAxACAAZQBtAGkAcwBzAGkAbwBuACAAZgBhAGMAdABvAHIAIABmAG8AcgAgAHMAdABhAHQAaQBvAG4AYQByAHkAIABjAG8AbQBiAHUAcwB0AGkAbwBuACAAZgBvAHIAIABlAGEAYwBoACAAZwByAGUAZQBuAGgAbwB1AHMAZQAgAGcAYQBzACAAOgAgAGsAZwAgAEMATwAyAGUAIAAvACAARwBKAFwAbgAtAC0ALQAtAC0ALQAtAC0ALQAtAC0ALQAtAC0ALQAtAC0ALQAtAC0ALQAtAC0ALQAtAC0ALQAtAC0ALQAtAC0ALQAtAC0ALQAtAC0AXABuACoALwBcAG4AXABuAFwAbgBWAEUARQBSAEcAXwA4AF8AMgBfADEAXwAxAF8AXwAxAF8ARgB1AGUAbABDAG8AbQBiAHUAcwB0AGkAbwBuAFMAdABhAHQAaQBvAG4AYQByAHkAXABuACAAIAA9AEwAQQBNAEIARABBACgAXABuACAAIAAgACAAUQBfAFMAQwBxACwAIABFAEMAXwBTAEMAcQAsACAARQBGAF8AUwBDADEAcQBnACwAXABuACAAIAAgACAAVgBFAEUAUgBHAF8AOABfAEYAdQBlAGwAQwBvAG0AYgB1AHMAdABpAG8AbgAoAFEAXwBTAEMAcQAsACAARQBDAF8AUwBDAHEALAAgAEUARgBfAFMAQwAxAHEAZwApAFwAbgAgACAAKQBcAG4AOwBcAG4AXABuAFYARQBFAFIARwBfADgAXwAyAF8AMQBfADEAXwBfADEAXwBGAHUAZQBsAEMAbwBtAGIAdQBzAHQAaQBvAG4AUwB0AGEAdABpAG8AbgBhAHIAeQBfAFQAaQB0AGwAZQBcAG4AIAAgAD0ATABBAE0AQgBEAEEAKABcACIARQBtAGkAcwBzAGkAbwBuAHMAIABmAG8AcgAgAGUAYQBjAGgAIABHAEgARwAgAGYAcgBvAG0AIAB0AGgAZQAgAHMAdABhAHQAaQBvAG4AYQByAHkAIABjAG8AbQBiAHUAcwB0AGkAbwBuACAAbwBmACAAZgB1AGUAbABzAFwAIgApADsAXABuAFwAbgBWAEUARQBSAEcAXwA4AF8AMgBfADEAXwAxAF8AXwAxAF8ARgB1AGUAbABDAG8AbQBiAHUAcwB0AGkAbwBuAFMAdABhAHQAaQBvAG4AYQByAHkAXwBWAGEAcgBpAGEAYgBsAGUAXABuACAAIAA9AEwAQQBNAEIARABBACgAXAAiAEUAXwBnAFwAIgApADsAXABuAFwAbgBWAEUARQBSAEcAXwA4AF8AMgBfADEAXwAxAF8AXwAxAF8ARgB1AGUAbABDAG8AbQBiAHUAcwB0AGkAbwBuAFMAdABhAHQAaQBvAG4AYQByAHkAXwBVAG4AaQB0AFwAbgAgACAAPQBMAEEATQBCAEQAQQAoAFwAIgB0ACAAQwBPADIALQBlAFwAIgApADsAXABuAFwAbgBWAEUARQBSAEcAXwA4AF8AMgBfADEAXwAxAF8AXwAxAF8ARgB1AGUAbABDAG8AbQBiAHUAcwB0AGkAbwBuAFMAdABhAHQAaQBvAG4AYQByAHkAXwBTAG8AdQByAGMAZQBcAG4AIAAgAD0ATABBAE0AQgBEAEEAKABcACIAVgBFAEUAUgBHACAAMgAwADIANgA6ACAAOAAuADIALgAxAC4AMQAsACAARQBxAHUAYQB0AGkAbwBuACAAKAAxACkAXAAiACkAOwBcAG4AXABuAFYARQBFAFIARwBfADgAXwAyAF8AMQBfADEAXwBfADEAXwBGAHUAZQBsAEMAbwBtAGIAdQBzAHQAaQBvAG4AUwB0AGEAdABpAG8AbgBhAHIAeQBfAE4ASQBSAFIAZQBmAGUAcgBlAG4AYwBlAFwAbgAgACAAPQBMAEEATQBCAEQAQQAoAFwAIgBBAHUAcwB0AHIAYQBsAGkAYQBuACAATgBhAHQAaQBvAG4AYQBsACAARwByAGUAZQBuAGgAbwB1AHMAZQAgAEEAYwBjAG8AdQBuAHQAcwAgAEYAYQBjAHQAbwByAHMAIAAyADAAMgA1ACAALQAgADIALgAyACAARQBzAHQAaQBtAGEAdABpAG4AZwAgAGUAbQBpAHMAcwBpAG8AbgBzACAAZgByAG8AbQAgAHMAdABhAHQAaQBvAG4AYQByAHkAIABlAG4AZQByAGcAeQAgAHMAbwB1AHIAYwBlAHMAIAAtACAAQwBhAGwAYwB1AGwAYQB0AGkAbgBnACAAZQBtAGkAcwBzAGkAbwBuAHMAIABmAHIAbwBtACAAcwB0AGEAdABpAG8AbgBhAHIAeQAgAGMAbwBtAGIAdQBzAHQAaQBvAG4AIABvAGYAIABsAGkAcQB1AGkAZAAgAGYAdQBlAGwAcwBcACIAKQA7AFwAbgBcAG4AVgBFAEUAUgBHAF8AOABfADIAXwAxAF8AMQBfAF8AMQBfAEYAdQBlAGwAQwBvAG0AYgB1AHMAdABpAG8AbgBTAHQAYQB0AGkAbwBuAGEAcgB5AF8ATABhAHQAZQB4AEUAcQB1AGEAdABpAG8AbgBcAG4AIAAgAD0ATABBAE0AQgBEAEEAKABcACIARQBfAGcAPQBcAFwAcwB1AG0AXABcAG4AbwBsAGkAbQBpAHQAcwBfAHQAIABcAFwAcwB1AG0AXABcAG4AbwBsAGkAbQBpAHQAcwBfAHEAXABcAGwAZQBmAHQAKABRAF8AewBTAEMALABxAH0AXABcAHQAaQBtAGUAcwAgAEUAQwBfAHsAUwBDACwAcQB9AFwAXAB0AGkAbQBlAHMAIABFAEYAXwB7AFMAQwAsADEALABxAGcAfQBcAFwAcgBpAGcAaAB0ACkAXABcAHQAaQBtAGUAcwAgADEAMABeAHsALQAzAH0AXAAiACkAOwBcAG4AXABuAFYARQBFAFIARwBfADgAXwAyAF8AMQBfADEAXwBfADEAXwBGAHUAZQBsAEMAbwBtAGIAdQBzAHQAaQBvAG4AUwB0AGEAdABpAG8AbgBhAHIAeQBfAEEAcgBnAHUAbQBlAG4AdABzAFwAbgAgACAAPQBMAEEATQBCAEQAQQAoAFwAbgAgACAAIAAgAE0AQQBLAEUAQQBSAFIAQQBZACgANwAsACAANAAsACAAXABuACAAIAAgACAAIAAgAEwAQQBNAEIARABBACgAcgAsAGMALAAgAFwAbgAgACAAIAAgACAAIAAgACAASQBOAEQARQBYACgAewBcAG4AIAAgACAAIAAgACAAIAAgACAAIABcACIAUQBfAFMAQwBxAFwAIgAsACAAXAAiAEEAbQBvAHUAbgB0ACAAbwBmACAAZgB1AGUAbAAgAHQAeQBwAGUAIABxACAAdQBzAGUAZAAgAGYAbwByACAAcwB0AGEAdABpAG8AbgBhAHIAeQAgAGMAbwBtAGIAdQBzAHQAaQBvAG4AIABvAHAAZQByAGEAdABpAG8AbgBzAFwAIgAsACAAXAAiAFYAYQByAGkAZQBzACAAYgBhAHMAZQBkACAAbwBuACAAZgB1AGUAbAAgAHQAeQBwAGUAOgAgAGsATAAsACAAbQAzACwAIABHAEoAXAAiACwAIABcACIASQBuAHAAdQB0AFwAIgA7AFwAbgAgACAAIAAgACAAIAAgACAAIAAgAFwAIgBFAEMAXwBTAEMAcQBcACIALAAgAFwAIgBFAG4AZQByAGcAeQAgAGMAbwBuAHQAZQBuAHQAIABmAGEAYwB0AG8AcgAgAGYAbwByACAAcwB0AGEAdABpAG8AbgBhAHIAeQAgAGMAbwBtAGIAdQBzAHQAaQBvAG4AIABvAHAAZQByAGEAdABpAG8AbgBzAFwAIgAsACAAXAAiAEcASgAgAC8AIAB1AG4AaQB0ACAAbwBmACAAZgB1AGUAbABcACIALAAgAFwAIgBDAG8AbgBzAHQAYQBuAHQAXAAiADsAXABuACAAIAAgACAAIAAgACAAIAAgACAAXAAiAEUARgBfAFMAQwAxAHEAZwBcACIALAAgAFwAIgBTAGMAbwBwAGUAIAAxACAAZQBtAGkAcwBzAGkAbwBuACAAZgBhAGMAdABvAHIAIABmAG8AcgAgAHMAdABhAHQAaQBvAG4AYQByAHkAIABjAG8AbQBiAHUAcwB0AGkAbwBu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MAQwBcACIALAAgAFwAIgBTAHQAYQB0AGkAbwBuAGEAcgB5ACAAYwBvAG0AYgB1AHMAdABpAG8AbgBcACIALAAgAFwAIgBcACIALAAgAFwAIgBDAG8AbgBzAHQAYQBuAHQAXAAiADsAXABuACAAIAAgACAAIAAgACAAIAAgACAAXAAiAGcAXAAiACwAIABcACIARwByAGUAZQBuAGgAbwB1AHMAZQAgAGcAYQBzAFwAIgAsACAAXAAiAFwAIgAsACAAXAAiAEMAbwBuAHMAdABhAG4AdABcACIAOwBcAG4AIAAgACAAIAAgACAAIAAgACAAIABcACIAMQBcACIALAAgAFwAIgBTAGMAbwBwAGUAIAAxAFwAIgAsACAAXAAiAFwAIgAsACAAXAAiAEMAbwBuAHMAdABhAG4AdABcACIAXABuACAAIAAgACAAIAAgACAAIAB9ACwAIAByACwAIABjACkAXABuACAAIAAgACAAIAAgACkAXABuACAAIAAgACAAKQBcAG4AIAAgACkAOwBcAG4AXABuACIAfQAsAHsAIgBwAGEAdABoACIAOgAiAC8AcAByAG8AagBlAGMAdABzAC8ARgB1AGUAbABfAEkAbgBwAHUAdABGAHUAbgBjAHQAaQBvAG4AcwAiACwAIgB0AGUAeAB0ACIAOgAiAEYAdQBlAGwAXwBHAGUAdABUAHIAYQBuAHMAcABvAHIAdABGAHUAZQBsAFMAdAByAGkAbgBnAFwAbgA9AEwAQQBNAEIARABBACgAXABuACAAIAAgACAAQwBlAGwAbAAsAFwAbgAgACAAIAAgAEwARQBGAFQAKABDAGUAbABsACwAIABGAEkATgBEACgAXAAiACwAIABcACIALABDAGUAbABsACkAIAAtADEAKQBcAG4AKQA7AFwAbgBcAG4ARgB1AGUAbABfAEcAZQB0AFMAdABhAHQAaQBvAG4AYQByAHkARgB1AGUAbABTAHQAcgBpAG4AZwBcAG4APQBMAEEATQBCAEQAQQAoAFwAbgAgACAAIAAgAEMAZQBsAGwALABcAG4AIAAgACAAIABSAEkARwBIAFQAKABDAGUAbABsACwATABFAE4AKABDAGUAbABsACkALQBGAEkATgBEACgAXAAiACwAIABcACIALABDAGUAbABsACkAKQBcAG4AKQA7AFwAbgBcAG4ARgB1AGUAbABfAFQAbwB0AGEAbABDAG8AbgBzAHUAbQBwAHQAaQBvAG4AXABuAD0AIABMAEEATQBCAEQAQQAoAFwAbgAgACAAIAAgAEYAdQBlAGwAQwBvAG4AcwB1AG0AcAB0AGkAbwBuAEEAcgByAGEAeQAsACAARgB1AGUAbABVAHMAZQBBAHIAcgBhAHkALAAgAEYAdQBlAGwAVQBzAGUALAAgAEYAdQBlAGwAVAB5AHAAZQBBAHIAcgBhAHkALAAgAEYAdQBlAGwAVAB5AHAAZQAsAFwAbgAgACAAIAAgAEkARgBFAFIAUgBPAFIAKABcAG4AIAAgACAAIABTAFUATQAoAFwAbgAgACAAIAAgACAAIABGAEkATABUAEUAUgAoAFwAbgAgACAAIAAgACAAIAAgACAARgB1AGUAbABDAG8AbgBzAHUAbQBwAHQAaQBvAG4AQQByAHIAYQB5ACwAXABuACAAIAAgACAAIAAgACAAIAAoAEYAdQBlAGwAVAB5AHAAZQBBAHIAcgBhAHkAIAA9ACAARgB1AGUAbABUAHkAcABlACkAIAAqACAAXABuACAAIAAgACAAIAAgACAAIAAoAEYAdQBlAGwAVQBzAGUAQQByAHIAYQB5ACAAPQAgAEYAdQBlAGwAVQBzAGUAKQBcAG4AIAAgACAAIAAgACAAKQBcAG4AIAAgACAAIAApACwAXABuACAAIAAgACAAMABcAG4AIAAgACkAXABuACkAOwAiAH0ALAB7ACIAcABhAHQAaAAiADoAIgAvAHAAcgBvAGoAZQBjAHQAcwAvAEYAdQBlAGwAXwBTAG8AdQByAGMAZQBEAGEAdABhACIALAAiAHQAZQB4AHQAIgA6ACIALwAqAFwAbgA9AD0APQA9AD0APQA9AD0APQA9AD0APQA9AD0APQA9AD0APQA9AD0APQA9AD0APQA9AD0APQA9AD0APQA9AD0APQA9AD0APQA9AD0APQA9AD0APQA9AD0APQA9AD0APQA9AD0APQA9AD0APQA9AD0APQA9AD0APQA9AD0APQA9AD0APQA9AD0APQA9AD0APQA9AD0APQA9AFwAbgBGAHUAZQBsACAAcwBjAG8AcABlACAAMQ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QBFAG0AaQBzAHMAaQBvAG4ARgBhAGMAdABvAHIAcwBTAHQAYQB0AGkAbwBuAGEAcgB5AEcAYQBzAGUAbwB1AHMAXwBUAGkAdABsAGUAXABuAD0ATABBAE0AQgBEAEEAKAAoAFwAIgBGAHUAZQBsACAAcwBjAG8AcABlACAAMQAgAGUAbQBpAHMAcwBpAG8AbgAgAGYAYQBjAHQAbwByAHMAIAAtACAAUwB0AGEAdABpAG8AbgBhAHIAeQAgAGcAYQBzAGUAbwB1AHMAIABmAHUAZQBsAHMAXAAiACkAKQA7AFwAbgBcAG4ARgB1AGUAbABfAFMAYwBvAHAAZQAxAEUAbQBpAHMAcwBpAG8AbgBGAGEAYwB0AG8AcgBzAFMAdABhAHQAaQBvAG4AYQByAHkARwBhAHMAZQBvAHUAcwBfAEQAZQBzAGMAcgBpAHAAdABpAG8AbgBcAG4APQBMAEEATQBCAEQAQQAoACgAXAAiAEQAaQByAGUAYwB0ACAAKABTAGMAbwBwAGUAIAAxACkAIABlAG0AaQBzAHMAaQBvAG4AIABmAGEAYwB0AG8AcgBzACAAZgBvAHIAIAB0AGgAZQAgAGMAbwBuAHMAdQBtAHAAdABpAG8AbgAgAG8AZgAgAGcAYQBzAGUAbwB1AHMAIABmAHUAZQBsAHMAIABpAG4AYwBsAHUAZABpAG4AZwAgAGwAaQBxAHUAZQBmAGkAZQBkACAAbgBhAHQAdQByAGEAbAAgAGcAYQBzACAAIABcACIAKQApADsAXABuAFwAbgBGAHUAZQBsAF8AUwBjAG8AcABlADE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UAXAAiACkAKQA7AFwAbgBcAG4ARgB1AGUAbABfAFMAYwBvAHAAZQAxAEUAbQBpAHMAcwBpAG8AbgBGAGEAYwB0AG8AcgBzAFMAdABhAHQAaQBvAG4AYQByAHkARwBhAHMAZQBvAHUAcwBfAEQAYQB0AGEAXABuAD0ATABBAE0AQgBEAEEAKABcAG4AIAAgAE0AQQBLAEUAQQBSAFIAQQBZACgAMQA5ACwAIAA3ACwAXABuACAAIAAgACAATABBAE0AQgBEAEEAKAByACwAYwAsAFwAbgAgACAAIAAgACAAIABJAE4ARABFAFgAKAB7AFwAbgAgACAAIAAgACAAIAAgACAAXAAiAEYAdQBlAGwAIABjAG8AbQBiAHUAcwB0AGUAZABcACIALAAgAFwAIgBFAG4AZQByAGcAeQAgAEMAbwBuAHQAZQBuAHQAIABGAGEAYwB0AG8AcgAgACgARwBKACAAcABlAHIAIAB1AG4AaQB0ACAAbwBmACAAZgB1AGUAbAApAFwAIgAsACAAXAAiAEYAdQBlAGwAIAB1AG4AaQB0AFwAIgAsACAAXAAiAFMAYwBvAHAAZQAgADEAIABFAG0AaQBzAHMAaQBvAG4AIABGAGEAYwB0AG8AcgAgACgAawBnACAAQwBPADIAIAAtACAAZQAgAC8AIABHAEoAKQAgAEMATwAyAFwAIgAsACAAXAAiAFMAYwBvAHAAZQAgADEAIABFAG0AaQBzAHMAaQBvAG4AIABGAGEAYwB0AG8AcgAgACgAawBnACAAQwBPADIAIAAtACAAZQAgAC8AIABHAEoAKQAgAEMASAA0AFwAIgAsACAAXAAiAFMAYwBvAHAAZQAgADEAIABFAG0AaQBzAHMAaQBvAG4AIABGAGEAYwB0AG8AcgAgACgAawBnACAAQwBPADIAIAAtACAAZQAgAC8AIABHAEoAKQAgAE4AMgBPAFwAIgAsACAAXAAiAFMAYwBvAHAAZQAgADEAIABFAG0AaQBzAHMAaQBvAG4AIABGAGEAYwB0AG8AcgAgACgAawBnACAAQwBPADIAIAAtACAAZQAgAC8AIABHAEoAKQAgAEMAbwBtAGIAaQBuAGUAZAAgAGcAYQBzAGUAcwBcACIAOwBcAG4AIAAgACAAIAAgACAAIAAgAFwAIgBOAGEAdAB1AHIAYQBsACAAZwBhAHMAIABkAGkAcwB0AHIAaQBiAHUAdABlAGQAIABpAG4AIABhACAAcABpAHAAZQBsAGkAbgBlAFwAIgAsACAAMAAuADAAMwA5ADMALAAgAFwAIgBtADMAXAAiACwAIAA1ADEALgA0ACwAIAAwAC4AMQAsACAAMAAuADAAMwAsACAANQAxAC4ANQAzADsAXABuACAAIAAgACAAIAAgACAAIABcACIAQwBvAGEAbAAgAHMAZQBhAG0AIABtAGUAdABoAGEAbgBlACAAdABoAGEAdAAgAGkAcwAgAGMAYQBwAHQAdQByAGUAZAAgAGYAbwByACAAYwBvAG0AYgB1AHMAdABpAG8AbgBcACIALAAgADAALgAwADMANwA3ACwAIABcACIAbQAzAFwAIgAsACAANQAxAC4ANAAsACAAMAAuADIALAAgADAALgAwADMALAAgADUAMQAuADYAMwA7AFwAbgAgACAAIAAgACAAIAAgACAAXAAiAEMAbwBhAGwAIABtAGkAbgBlACAAdwBhAHMAdABlACAAZwBhAHMAIAB0AGgAYQB0ACAAaQBzACAAYwBhAHAAdAB1AHIAZQBkACAAZgBvAHIAIABjAG8AbQBiAHUAcwB0AGkAbwBuAFwAIgAsACAAMAAuADAAMwA3ADcALAAgAFwAIgBtADMAXAAiACwAIAA1ADEALgA5ACwAIAA0AC4ANgAsACAAMAAuADMALAAgADUANgAuADgAOwBcAG4AIAAgACAAIAAgACAAIAAgAFwAIgBDAG8AbQBwAHIAZQBzAHMAZQBkACAAbgBhAHQAdQByAGEAbAAgAGcAYQBzACgAcgBlAHYAZQByAHQAaQBuAGcAIAB0AG8AIABzAHQAYQBuAGQAYQByAGQAIABjAG8AbgBkAGkAdABpAG8AbgBzACkAXAAiACwAIAAwAC4AMAAzADkAMwAsACAAXAAiAG0AMwBcACIALAAgADUAMQAuADQALAAgADAALgAxACwAIAAwAC4AMAAzACwAIAA1ADEALgA1ADMAOwBcAG4AIAAgACAAIAAgACAAIAAgAFwAIgBVAG4AcAByAG8AYwBlAHMAcwBlAGQAIABuAGEAdAB1AHIAYQBsACAAZwBhAHMAXAAiACwAIAAwAC4AMAAzADkAMwAsACAAXAAiAG0AMwBcACIALAAgADUAMQAuADQALAAgADAALgAxACwAIAAwAC4AMAAzACwAIAA1ADEALgA1ADMAOwBcAG4AIAAgACAAIAAgACAAIAAgAFwAIgBFAHQAaABhAG4AZQBcACIALAAgADAALgAwADYAMgA5ACwAIABcACIAbQAzAFwAIgAsACAANQA2AC4ANQAsACAAMAAuADAAMwAsACAAMAAuADAAMwAsACAANQA2AC4ANQA2ADsAXABuACAAIAAgACAAIAAgACAAIABcACIAQwBvAGsAZQAgAG8AdgBlAG4AIABnAGEAcwBcACIALAAgADAALgAwADEAOAAxACwAIABcACIAbQAzAFwAIgAsACAAMwA3AC4AMAAsACAAMAAuADAAMwAsACAAMAAuADAANQAsACAAMwA3AC4AMAA4ADsAXABuACAAIAAgACAAIAAgACAAIABcACIAQgBsAGEAcwB0ACAAZgB1AHIAbgBhAGMAZQAgAGcAYQBzAFwAIgAsACAAMAAuADAAMAA0ADAALAAgAFwAIgBtADMAXAAiACwAIAAyADMANAAuADAALAAgADAALgAwADMALAAgADAALgAwADIALAAgADIAMwA0AC4AMAA1ADsAXABuACAAIAAgACAAIAAgACAAIABcACIAVABvAHcAbgAgAGcAYQBzAFwAIgAsACAAMAAuADAAMwA5ADAALAAgAFwAIgBtADMAXAAiACwAIAA2ADAALgAyACwAIAAwAC4AMAA0ACwAIAAwAC4AMAAzACwAIAA2ADAALgAyADcAOwBcAG4AIAAgACAAIAAgACAAIAAgAFwAIgBMAGkAcQB1AGUAZgBpAGUAZAAgAG4AYQB0AHUAcgBhAGwAIABnAGEAcwBcACIALAAgADIANQAuADMALAAgAFwAIgBrAEwAXAAiACwAIAA1ADEALgA0ACwAIAAwAC4AMQAsACAAMAAuADAAMwAsACAANQAxAC4ANQAzADsAXABuACAAIAAgACAAIAAgACAAIABcACIARwBhAHMAZQBvAHUAcwAgAGYAbwBzAHMAaQBsACAAZgB1AGUAbABzACAAbwB0AGgAZQByACAAdABoAGEAbgAgAHQAaABvAHMAZQAgAG0AZQBuAHQAaQBvAG4AZQBkACAAaQBuACAAdABoAGUAIABpAHQAZQBtAHMAIABhAGIAbwB2AGUAXAAiACwAIAAwAC4AMAAzADkAMAAsACAAXAAiAG0AMwBcACIALAAgADUAMQAuADQALAAgADAALgAxACwAIAAwAC4AMAAzACwAIAA1ADEALgA1ADMAOwBcAG4AIAAgACAAIAAgACAAIAAgAFwAIgBMAGEAbgBkAGYAaQBsAGwAIABiAGkAbwBnAGEAcwAgAHQAaABhAHQAIABpAHMAIABjAGEAcAB0AHUAcgBlAGQAIABmAG8AcgAgAGMAbwBtAGIAdQBzAHQAaQBvAG4AIAAoAG0AZQB0AGgAYQBuAGUAIABvAG4AbAB5ACkAXAAiACwAIAAwAC4AMAAzADcANwAsACAAXAAiAG0AMwBcACIALAAgADAALgAwACwAIAA2AC4ANAAsACAAMAAuADAAMwAsACAANgAuADQAMwA7AFwAbgAgACAAIAAgACAAIAAgACAAXAAiAFMAbAB1AGQAZwBl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BACAAYgBpAG8AZwBhAHMAIAB0AGgAYQB0ACAAaQBzACAAYwBhAHAAdAB1AHIAZQBkACAAZgBvAHIAIABjAG8AbQBiAHUAcwB0AGkAbwBuACwAIABvAHQAaABlAHIAIAB0AGgAYQBuACAAdABoAG8AcwBlACAAbQBlAG4AdABpAG8AbgBlAGQAIABpAG4AIAB0AGgAZQAgAGkAdABlAG0AcwAgAGEAYgBvAHYAZQBcACIALAAgADAALgAwADMANwAwACwAIABcACIAbQAzAFwAIgAsACAAMAAuADAALAAgADYALgA0ACwAIAAwAC4AMAAzACwAIAA2AC4ANAAzADsAXABuACAAIAAgACAAIAAgACAAIABcACIAQgBpAG8AbQBlAHQAaABhAG4AZQBcACIALAAgADAALgAwADMAOQAzACwAIABcACIAbQAzAFwAIgAsACAAMAAuADAALAAgADAALgAxACwAIAAwAC4AMAAzACwAIAAwAC4AMQAzADsAXABuACAAIAAgACAAIAAgACAAIABcACIASAB5AGQAcgBvAGcAZQBuAFwAIgAsACAAMAAuADAAMQAyADIALAAgAFwAIgBtADMAXAAiACwAIAAwAC4AMAAsACAAMAAuADAALAAgADAALgA1ACwAIAAwAC4ANQA7AFwAbgAgACAAIAAgACAAIAAgACAAXAAiAE4AYQB0AHUAcgBhAGwAIABnAGEAcwAgAGQAaQBzAHQAcgBpAGIAdQB0AGUAZAAgAGkAbgAgAGEAIABwAGkAcABlAGwAaQBuAGUAIAAtACAARwBpAGcAYQBqAG8AdQBsAGUAcwBcACIALAAgADEALAAgAFwAIgBHAEoAXAAiACwAIAA1ADEALgA0ACwAIAAwAC4AMQAsACAAMAAuADAAMwAsACAANQAxAC4ANQAzADsAXABuACAAIAAgACAAIAAgACAAIABcACIAVABvAHcAbgAgAGcAYQBzACAALQAgAEcAaQBnAGEAagBvAHUAbABlAHMAXAAiACwAIAAxACwAIABcACIARwBKAFwAIgAsACAANgAwAC4AMgAsACAAMAAuADAANAAsACAAMAAuADAAMwAsACAANgAwAC4AMgA3AFwAbgAgACAAIAAgACAAIAB9ACwAIAByACwAIABjACkAXABuACkAKQApADsAXABuAFwAbgBGAHUAZQBsAF8AUwBjAG8AcABlADEARQBtAGkAcwBzAGkAbwBuAEYAYQBjAHQAbwByAHMAUwB0AGEAdABpAG8AbgBhAHIAeQBHAGEAcwBlAG8AdQBzAF8AVgBhAHIAaQBhAHQAaQBvAG4AXABuAD0ATABBAE0AQgBEAEEAKAAoAFwAIgBWAEEAUgBJAEEAVABJAE8ATgAgAE8ARgAgAFMATwBVAFIAQwBFACAARABBAFQAQQA6ACAAXAB1ADAAMAAyADcATgBhAHQAdQByAGEAbAAgAGcAYQBzACAAZABpAHMAdAByAGkAYgB1AHQAZQBkACAAaQBuACAAYQAgAHAAaQBwAGUAbABpAG4AZQAgAC0AIABHAGkAZwBhAGoAbwB1AGwAZQBzAFwAdQAwADAAMgA3ACAAYQBuAGQAIABcAHUAMAAwADIANwBUAG8AdwBuACAAZwBhAHMAIAAtACAARwBpAGcAYQBqAG8AdQBsAGUAcwBcAHUAMAAwADIANwAgAHcAZQByAGUAIABhAGQAZABlAGQALAAgAGUAYQBjAGgAIAB3AGkAdABoACAAYQBuACAAZQBuAGUAcgBnAHkAIABjAG8AbgB0AGUAbgB0ACAAZgBhAGMAdABvAHIAIABvAGYAIAAxACAARwBKACAAcABlAHIAIAB1AG4AaQB0ACAAbwBmACAAZgB1AGUAbAAuACAAVABoAGkAcwAgAGkAcwAgAGYAbwByACAAdQBzAGUAcgBzACAAdwBoAG8AIABoAGEAdgBlACAAZgB1AGUAbAAgAGMAbwBuAHMAdQBtAHAAdABpAG8AbgAgAGQAYQB0AGEAIABpAG4AIABHAEoAIAByAGEAdABoAGUAcgAgAHQAaABhAG4AIABtADMALgBcACIAKQApADsAXABuAFwAbgBcAG4ALwAqAFwAbgA9AD0APQA9AD0APQA9AD0APQA9AD0APQA9AD0APQA9AD0APQA9AD0APQA9AD0APQA9AD0APQA9AD0APQA9AD0APQA9AD0APQA9AD0APQA9AD0APQA9AD0APQA9AD0APQA9AD0APQA9AD0APQA9AD0APQA9AD0APQA9AD0APQA9AD0APQA9AD0APQA9AD0APQA9AD0APQA9AFwAbgBGAHUAZQBsACAAcwBjAG8AcABlACAAMwAgAGUAbQBpAHMAcwBpAG8AbgAgAGYAYQBjAHQAbwByAHMAIAAtACAAUwB0AGEAdABpAG8AbgBhAHIAeQAgAGcAYQBzAGUAbwB1AHMAIABmAHUAZQBsAHMAXABuAD0APQA9AD0APQA9AD0APQA9AD0APQA9AD0APQA9AD0APQA9AD0APQA9AD0APQA9AD0APQA9AD0APQA9AD0APQA9AD0APQA9AD0APQA9AD0APQA9AD0APQA9AD0APQA9AD0APQA9AD0APQA9AD0APQA9AD0APQA9AD0APQA9AD0APQA9AD0APQA9AD0APQA9AD0APQA9AD0AXABuACoALwBcAG4AXABuAEYAdQBlAGwAXwBTAGMAbwBwAGUAMwBFAG0AaQBzAHMAaQBvAG4ARgBhAGMAdABvAHIAcwBTAHQAYQB0AGkAbwBuAGEAcgB5AEcAYQBzAGUAbwB1AHMAXwBUAGkAdABsAGUAXABuAD0ATABBAE0AQgBEAEEAKAAoAFwAIgBGAHUAZQBsACAAcwBjAG8AcABlACAAMwAgAGUAbQBpAHMAcwBpAG8AbgAgAGYAYQBjAHQAbwByAHMAIAAtACAAUwB0AGEAdABpAG8AbgBhAHIAeQAgAGcAYQBzAGUAbwB1AHMAIABmAHUAZQBsAHMAXAAiACkAKQA7AFwAbgBcAG4ARgB1AGUAbABfAFMAYwBvAHAAZQAzAEUAbQBpAHMAcwBpAG8AbgBGAGEAYwB0AG8AcgBzAFMAdABhAHQAaQBvAG4AYQByAHkARwBhAHMAZQBvAHUAcwBfAEQAZQBzAGMAcgBpAHAAdABpAG8AbgBcAG4APQBMAEEATQBCAEQAQQAoACgAXAAiAEkAbgBkAGkAcgBlAGMAdAAgACgAUwBjAG8AcABlACAAMwApACAAZQBtAGkAcwBzAGkAbwBuACAAZgBhAGMAdABvAHIAcwAgAGYAbwByACAAdABoAGUAIABjAG8AbgBzAHUAbQBwAHQAaQBvAG4AIABvAGYAIABuAGEAdAB1AHIAYQBsACAAZwBhAHMALgBcACIAKQApADsAXABuAFwAbgBGAHUAZQBsAF8AUwBjAG8AcABlADMARQBtAGkAcwBzAGkAbwBuAEYAYQBjAHQAbwByAHMAUwB0AGEAdABpAG8AbgBhAHIAeQBHAGEAcwBlAG8AdQBzAF8AUwBvAHUAcgBjAGUAXABuAD0ATABBAE0AQgBEAEEAKAAoAFwAIgBBAHUAcwB0AHIAYQBsAGkAYQBuACAATgBhAHQAaQBvAG4AYQBsACAARwByAGUAZQBuAGgAbwB1AHMAZQAgAEEAYwBjAG8AdQBuAHQAcwAgAEYAYQBjAHQAbwByAHMAIAAyADAAMgA1ACAALQAgAFQAYQBiAGwAZQAgADYAXAAiACkAKQA7AFwAbgBcAG4ARgB1AGUAbABfAFMAYwBvAHAAZQAzAEUAbQBpAHMAcwBpAG8AbgBGAGEAYwB0AG8AcgBzAFMAdABhAHQAaQBvAG4AYQByAHkARwBhAHMAZQBvAHUAcwBfAEQAYQB0AGEAXABuAD0ATABBAE0AQgBEAEEAKABcAG4AIAAgAE0AQQBLAEUAQQBSAFIAQQBZACgAOQAsACAAMwAsAFwAbgAgACAAIAAgAEwAQQBNAEIARABBACgAcgAsAGMALABcAG4AIAAgACAAIAAgACAASQBOAEQARQBYACgAewBcAG4AIAAgACAAIAAgACAAIAAgAFwAIgBTAHQAYQB0AGUAIABvAHIAIAB0AGUAcgByAGkAdABvAHIAeQBcACIALAAgAFwAIgBTAGMAbwBwAGUAIAAzACAARQBtAGkAcwBzAGkAbwBuACAARgBhAGMAdABvAHIAcwAgAGYAbwByACAATgBhAHQAdQByAGEAbAAgAEcAYQBzACAAKABrAGcAIABDAE8AMgAgAC0AIABlACAALwAgAEcASgApACAATQBlAHQAcgBvAFwAIgAsACAAXAAiAFMAYwBvAHAAZQAgADMAIABFAG0AaQBzAHMAaQBvAG4AIABGAGEAYwB0AG8AcgBzACAAZgBvAHIAIABOAGEAdAB1AHIAYQBsACAARwBhAHMAIAAoAGsAZwAgAEMATwAyACAALQAgAGUAIAAvACAARwBKACkAIABOAG8AbgAgAC0AIABNAGUAdAByAG8AXAAiADsAXABuACAAIAAgACAAIAAgACAAIABcACIATgBlAHcAIABTAG8AdQB0AGgAIABXAGEAbABlAHMAXAAiACwAIAAxADMALgAxACwAIAAxADQALgAwADsAXABuACAAIAAgACAAIAAgACAAIABcACIAQQBDAFQAXAAiACwAIAAxADMALgAxACwAIAAxADQALgAwADsAXABuACAAIAAgACAAIAAgACAAIABcACIAVgBpAGMAdABvAHIAaQBhAFwAIgAsACAANAAuADAALAAgADQALgAwADsAXABuACAAIAAgACAAIAAgACAAIABcACIAUQB1AGUAZQBuAHMAbABhAG4AZABcACIALAAgADgALgA4ACwAIAA3AC4AOQA7AFwAbgAgACAAIAAgACAAIAAgACAAXAAiAFMAbwB1AHQAaAAgAEEAdQBzAHQAcgBhAGwAaQBhAFwAIgAsACAAMQAwAC4ANwAsACAAMQAwAC4ANgA7AFwAbgAgACAAIAAgACAAIAAgACAAXAAiAFcAZQBzAHQAZQByAG4AIABBAHUAcwB0AHIAYQBsAGkAYQBcACIALAAgADQALgAxACwAIAA0AC4AMAA7AFwAbgAgACAAIAAgACAAIAAgACAAXAAiAFQAYQBzAG0AYQBuAGkAYQBcACIALAAgADQALgAwACwAIAA0AC4AMAA7AFwAbgAgACAAIAAgACAAIAAgACAAXAAiAE4AbwByAHQAaABlAHIAbgAgAFQAZQByAHIAaQB0AG8AcgB5AFwAIgAsACAANAAuADEALAAgADQALgAwAFwAbgAgACAAIAAgACAAIAB9ACwAIAByACwAIABjACkAXABuACkAKQApADsAXABuAFwAbgBGAHUAZQBsAF8AUwBjAG8AcABlADMARQBtAGkAcwBzAGkAbwBuAEYAYQBjAHQAbwByAHMAUwB0AGEAdABpAG8AbgBhAHIAeQBHAGEAcwBlAG8AdQBzAF8AVgBhAHIAaQBhAHQAaQBvAG4AXABuAD0ATABBAE0AQgBEAEEAKAAoAFwAIgBWAEEAUgBJAEEAVABJAE8ATgAgAE8ARgAgAFMATwBVAFIAQwBFACAARABBAFQAQQA6ACAATgBTAFcAIABhAG4AZAAgAEEAQwBUACAAcwBwAGwAaQB0ACAAaQBuAHQAbwAgAHMAZQBwAGEAcgBhAHQAZQAgAHIAbwB3AHMALgAgAFwAdQAwADAAMgA3AEMAXAB1ADAAMAAyADcAIABWAGEAbAB1AGUAcwAgAGYAbwByACAAVABhAHMAbQBhAG4AaQBhACAAYQBuAGQAIABOAG8AcgB0AGgAZQByAG4AIABUAGUAcgByAGkAdABvAHIAeQAgAHIAZQBwAGwAYQBjAGUAZAAgAHcAaQB0AGgAIAB0AGgAbwBzAGUAIABmAG8AcgAgAFYAaQBjAHQAbwByAGkAYQAgAGEAbgBkACAAVwBlAHMAdABlAHIAbgAgAEEAdQBzAHQAcgBhAGwAaQBhACAAcgBlAHMAcABlAGMAdABpAHYAZQBsAHkALgAgACgAUwBlAGUAIABhAHAAcABlAG4AZABpAGMAZQBzACkAXAAiACkAKQA7AFwAbgBcAG4ARgB1AGUAbABfAFMAYwBvAHAAZQAzAEUAbQBpAHMAcwBpAG8AbgBGAGEAYwB0AG8AcgBzAFMAdABhAHQAaQBvAG4AYQByAHkARwBhAHMAZQBvAHUAcwBfAEEAcABwAGUAbgBkAGkAYwBlAHMAXABuAD0ATABBAE0AQgBEAEEAKABcAG4AIAAgAE0AQQBLAEUAQQBSAFIAQQBZACgAMQAyACwAIAAyACwAXABuACAAIAAgACAATABBAE0AQgBEAEEAKAByACwAYwAsAFwAbgAgACAAIAAgACAAIABJAE4ARABFAFgAKAB7AFwAbgAgACAAIAAgACAAIAAgACAAXAAiAC0AXAAiACwAIABcACIAQQBzACAAUwBjAG8AcABlACAAMwAgAGYAYQBjAHQAbwByAHMAIABhAHIAZQAgAGMAYQBsAGMAdQBsAGEAdABlAGQAIABhAHQAIAB0AGgAZQAgAHAAbwBpAG4AdAAgAHcAaABlAHIAZQAgAG4AYQB0AHUAcgBhAGwAIABnAGEAcwAgAGkAcwAgAGQAZQBsAGkAdgBlAHIAZQBkACAAdABvACAAZQBuAGQAIAB1AHMAZQByAHMALAAgAGkAdAAgAGkAcwAgAG4AZQBjAGUAcwBzAGEAcgB5ACAAdABvACAAYwBhAGwAYwB1AGwAYQB0AGUAIABjAG8AbgBzAHUAbQBwAHQAaQBvAG4AIABhAHQAIABlAGEAYwBoACAAbwBmACAAdABoAGUAIABsAG8AYQBkACAAYwBlAG4AdAByAGUAcwAuAFwAIgA7AFwAbgAgACAAIAAgACAAIAAgACAAXAAiAFwAIgAsACAAXAAiAEcAYQBzACAAcgBlAGEAYwBoAGUAcwAgAGUAbgBkACAAdQBzAGUAcgBzACAAZQBpAHQAaABlAHIAIABmAHIAbwBtACAAdABoAGUAIABtAGUAdAByAG8AIABkAGkAcwB0AHIAaQBiAHUAdABpAG8AbgAgAG4AZQB0AHcAbwByAGsAcwAgAG8AcgAgAGQAaQByAGUAYwB0ACAAZgByAG8AbQAgAHQAaABlACAAaABpAGcAaAAgAC0AIABwAHIAZQBzAHMAdQByAGUAIABkAGkAcwB0AHIAaQBiAHUAdABpAG8AbgAgAHAAaQBwAGUAbABpAG4AZQBzAC4AXAAiADsAXABuACAAIAAgACAAIAAgACAAIABcACIAXAAiACwAIABcACIASABvAHUAcwBlAGgAbwBsAGQAcwAgAGEAbgBkACAAYwBvAG0AbQBlAHIAYwBpAGEAbAAgAHUAcwBlAHIAcwAgAHQAZQBuAGQAIAB0AG8AIABiAGUAIABzAGUAcgB2AGUAZAAgAGIAeQAgAHQAaABlACAAZgBvAHIAbQBlAHIALAAgAGEAbgBkACAAZQBsAGUAYwB0AHIAaQBjAGkAdAB5ACAAZwBlAG4AZQByAGEAdABvAHIAcwAgAGEAbgBkACAAbABhAHIAZwBlACAAaQBuAGQAdQBzAHQAcgBpAGEAbAAgAHAAbABhAG4AdABzACAAZgByAG8AbQAgAHQAaABlACAAbABhAHQAdABlAHIALgBcACIAOwBcAG4AIAAgACAAIAAgACAAIAAgAFwAIgAtAFwAIgAsACAAXAAiAE0AZQB0AHIAbwAgAGkAcwAgAGQAZQBmAGkAbgBlAGQAIABhAHMAIABsAG8AYwBhAHQAZQBkACAAbwBuACAAbwByACAAZQBhAHMAdAAgAG8AZgAgAHQAaABlACAAZABpAHYAaQBkAGkAbgBnACAAcgBhAG4AZwBlACAAaQBuACAATgBTAFcALAAgAGkAbgBjAGwAdQBkAGkAbgBnACAAQwBhAG4AYgBlAHIAcgBhACAAYQBuAGQAIABRAHUAZQBhAG4AYgBlAHkAYQBuACwAIABNAGUAbABiAG8AdQByAG4AZQAsACAAQgByAGkAcwBiAGEAbgBlACwAIABBAGQAZQBsAGEAaQBkAGUAIABvAHIAIABQAGUAcgB0AGgALgBcACIAOwBcAG4AIAAgACAAIAAgACAAIAAgAFwAIgBcACIALAAgAFwAIgBPAHQAaABlAHIAdwBpAHMAZQAsACAAdABoAGUAIABuAG8AbgAgAC0AIABtAGUAdAByAG8AIABmAGEAYwB0AG8AcgAgAHMAaABvAHUAbABkACAAYgBlACAAdQBzAGUAZAAuAFwAIgA7AFwAbgAgACAAIAAgACAAIAAgACAAXAAiAC0AXAAiACwAIABcACIARgBhAGMAdABvAHIAcwAgAGEAcgBlACAAYwBhAGwAYwB1AGwAYQB0AGUAZAAgAGYAbwByACAAYQBsAGwAIABuAGEAdAB1AHIAYQBsACAAZwBhAHMAIABkAGkAcwB0AHIAaQBiAHUAdABlAGQAIABpAG4AIABhACAAcABpAHAAZQBsAGkAbgBlACAAdwBoAGkAYwBoACAAbQBhAHkAIABpAG4AYwBsAHUAZABlACAAYwBvAGEAbAAgAHMAZQBhAG0AIABtAGUAdABoAGEAbgBlAC4AXAAiADsAXABuACAAIAAgACAAIAAgACAAIABcACIALQBcACIALAAgAFwAIgBUAGEAYgBsAGUAIAA2ACAAaQBzACAAbgBvAHQAIABhAHAAcABsAGkAYwBhAGIAbABlACAAdABvACAAZQB0AGgAYQBuAGUALgAgAFMAZQBlACAAVABhAGIAbABlACAANwAgAEkAbgBkAGkAcgBlAGMAdAAgACgAUwBjAG8AcABlACAAMwApACAAZQBtAGkAcwBzAGkAbwBuAHMAIABmAHIAbwBtACAAdABoAGUAIABjAG8AbgBzAHUAbQBwAHQAaQBvAG4AIABvAGYAIABlAHQAaABhAG4AZQAuAFwAIgA7AFwAbgAgACAAIAAgACAAIAAgACAAXAAiAC0AXAAiACwAIABcACIAQwAgAD0AIABDAG8AbgBmAGkAZABlAG4AdABpAGEAbAAuACAAUwBjAG8AcABlACAAMwAgAGUAbQBpAHMAcwBpAG8AbgAgAGYAYQBjAHQAbwByAHMAIABmAG8AcgAgAFQAYQBzAG0AYQBuAGkAYQAgAGEAbgBkACAAdABoAGUAIABOAG8AcgB0AGgAZQByAG4AIABUAGUAcgByAGkAdABvAHIAeQAgAGEAcgBlACAAbgBvAHQAIABhAHYAYQBpAGwAYQBiAGwAZQAgAGQAdQBlACAAdABvACAAYwBvAG4AZgBpAGQAZQBuAHQAaQBhAGwAaQB0AHkAIABjAG8AbgBzAHQAcgBhAGkAbgB0AHMAIAB0AGgAYQB0ACAAYQByAGkAcwBlAFwAIgA7AFwAbgAgACAAIAAgACAAIAAgACAAXAAiAFwAIgAsACAAXAAiAGYAcgBvAG0AIAB0AGgAZQAgAHUAcwBlACAAbwBmACAAYQAgAGwAaQBtAGkAdABlAGQAIABuAHUAbQBiAGUAcgAgAG8AZgAgAE4ARwBFAFIAIABkAGEAdABhACAAaQBuAHAAdQB0AHMALgAgAEkAdAAgAGkAcwAgAHMAdQBnAGcAZQBzAHQAZQBkACAAdABoAGEAdAAgAGYAbwByACAAVABhAHMAbQBhAG4AaQBhACAAdABoAGUAIAB1AHMAZQAgAG8AZgAgAHQAaABlACAAVgBpAGMAdABvAHIAaQBhAG4AIABlAG0AaQBzAHMAaQBvAG4AIABmAGEAYwB0AG8AcgBzACAAaQBzACAAYQBwAHAAcgBvAHAAcgBpAGEAdABlACwAXAAiADsAXABuACAAIAAgACAAIAAgACAAIABcACIAXAAiACwAIABcACIAdwBoAGkAbABlACAAZgBvAHIAIABOAG8AcgB0AGgAZQByAG4AIABUAGUAcgByAGkAdABvAHIAeQAgAHQAaABlACAAdQBzAGUAIABvAGYAIAB0AGgAZQAgAFcAZQBzAHQAZQByAG4AIABBAHUAcwB0AHIAYQBsAGkAYQBuACAAZQBtAGkAcwBzAGkAbwBuACAAZgBhAGMAdABvAHIAcwAgAGkAcwAgAGEAcABwAHIAbwBwAHIAaQBhAHQAZQAuAFwAIgA7AFwAbgAgACAAIAAgACAAIAAgACAAXAAiAC0AXAAiACwAIABcACIAUwBjAG8AcABlACAAMwAgAGUAbQBpAHMAcwBpAG8AbgAgAGYAYQBjAHQAbwByAHMAIABkAG8AIABuAG8AdAAgAGkAbgBjAGwAdQBkAGUAIABmAHUAZwBpAHQAaQB2AGUAIABlAG0AaQBzAHMAaQBvAG4AIABsAGUAYQBrAGEAZwBlACAAZgByAG8AbQAgAGwAbwB3ACAAcAByAGUAcwBzAHUAcgBlACAAbgBhAHQAdQByAGEAbAAgAGcAYQBzACAAZABpAHMAdAByAGkAYgB1AHQAaQBvAG4AIABwAGkAcABlAGwAaQBuAGUAIABuAGUAdAB3AG8AcgBrAHMAIAB3AGgAaQBsAGUAIAB0AGgAbwBzAGUAIABmAHIAbwBtACAAaABpAGcAaAAgAHAAcgBlAHMAcwB1AHIAZQBcACIAOwBcAG4AIAAgACAAIAAgACAAIAAgAFwAIgBcACIALAAgAFwAIgBnAGEAcwAgAG4AZQB0AHcAbwByAGsAcwAgAGEAcgBlACAAYwBvAG4AcwBpAGQAZQByAGUAZAAgAG4AZQBnAGwAaQBnAGkAYgBsAGUALg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TAHQAYQB0AGkAbwBuAGEAcgB5ACAAbABpAHEAdQBpAGQAIABmAHU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TAHQAYQB0AGkAbwBuAGEAcgB5AEwAaQBxAHUAaQBkAF8AVABpAHQAbABlAFwAbgA9AEwAQQBNAEIARABBACgAKABcACIARgB1AGUAbAAgAHMAYwBvAHAAZQAgADEAIABhAG4AZAAgADMAIABlAG0AaQBzAHMAaQBvAG4AIABmAGEAYwB0AG8AcgBzACAALQAgAFMAdABhAHQAaQBvAG4AYQByAHkAIABsAGkAcQB1AGkAZAAgAGYAdQBlAGwAcwBcACIAKQApADsAXABuAFwAbgBGAHUAZQBsAF8AUwBjAG8AcABlADEAUwBjAG8AcABlADMARQBtAGkAcwBzAGkAbwBuAEYAYQBjAHQAbwByAHMAUwB0AGEAdABpAG8AbgBhAHIAeQBMAGkAcQB1AGkAZABfAEQAZQBzAGMAcgBpAHAAdABpAG8AbgBcAG4APQBMAEEATQBCAEQAQQAoACgAXAAiAEQAaQByAGUAYwB0ACAAKABTAGMAbwBwAGUAIAAxACkAIABhAG4AZAAgAGkAbgBkAGkAcgBlAGMAdAAgACgAcwBjAG8AcABlACAAMwApACAAZQBtAGkAcwBzAGkAbwBuACAAZgBhAGMAdABvAHIAcwAgAGYAbwByACAAdABoAGUAIABjAG8AbgBzAHUAbQBwAHQAaQBvAG4AIABvAGYAIABsAGkAcQB1AGkAZAAgAGYAdQBlAGwAcwAsACAAaQBuAGMAbAB1AGQAaQBuAGcAIABjAGUAcgB0AGEAaQBuACAAcABlAHQAcgBvAGwAZQB1AG0AIABiAGEAcwBlAGQAIABwAHIAbwBkAHUAYwB0AHMAIABmAG8AcgAgAHMAdABhAHQAaQBvAG4AYQByAHkAIABlAG4AZQByAGcAeQAgAHAAdQByAHAAbwBzAGUAcwAuAFwAIgApACkAOwBcAG4AXABuAEYAdQBlAGwAXwBTAGMAbwBwAGUAMQBTAGMAbwBwAGUAMwBFAG0AaQBzAHMAaQBvAG4ARgBhAGMAdABvAHIAcwBTAHQAYQB0AGkAbwBuAGEAcgB5AEwAaQBxAHUAaQBkAF8AUwBvAHUAcgBjAGUAXABuAD0ATABBAE0AQgBEAEEAKAAoAFwAIgBBAHUAcwB0AHIAYQBsAGkAYQBuACAATgBhAHQAaQBvAG4AYQBsACAARwByAGUAZQBuAGgAbwB1AHMAZQAgAEEAYwBjAG8AdQBuAHQAcwAgAEYAYQBjAHQAbwByAHMAIAAyADAAMgA1ACAALQAgAFQAYQBiAGwAZQAgADgAXAAiACkAKQA7AFwAbgBcAG4ARgB1AGUAbABfAFMAYwBvAHAAZQAxAFMAYwBvAHAAZQAzAEUAbQBpAHMAcwBpAG8AbgBGAGEAYwB0AG8AcgBzAFMAdABhAHQAaQBvAG4AYQByAHkATABpAHEAdQBpAGQAXwBEAGEAdABhAFwAbgA9AEwAQQBNAEIARABBACgAXABuACAAIABNAEEASwBFAEEAUgBSAEEAWQAoADIANQAsACAAOA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7AFwAbgAgACAAIAAgACAAIAAgACAAXAAiAFAAZQB0AHIAbwBsAGUAdQBtACAAYgBhAHMAZQBkACAAbwBpAGwAcwAgACgAbwB0AGgAZQByACAAdABoAGEAbgAgAHAAZQB0AHIAbwBsAGUAdQBtACAAYgBhAHMAZQBkACAAbwBpAGwAIAB1AHMAZQBkACAAYQBzACAAZgB1AGUAbAApACwAIABlAC4AZwAuACAAbAB1AGIAcgBpAGMAYQBuAHQAcwBcACIALAAgADMAOAAuADgALAAgAFwAIgBrAGwAXAAiACwAIAAxADMALgA5ACwAIAAwAC4AMAAsACAAMAAuADAALAAgADEAMwAuADkALAAgADEAOAAuADAAOwBcAG4AIAAgACAAIAAgACAAIAAgAFwAIgBQAGUAdAByAG8AbABlAHUAbQAgAGIAYQBzAGUAZAAgAGcAcgBlAGEAcwBlAHMAXAAiACwAIAAzADgALgA4ACwAIABcACIAawBsAFwAIgAsACAAMwAuADUALAAgADAALgAwACwAIAAwAC4AMAAsACAAMwAuADUALAAgADEAOAAuADAAOwBcAG4AIAAgACAAIAAgACAAIAAgAFwAIgBDAHIAdQBkAGUAIABvAGkAbAAgAGkAbgBjAGwAdQBkAGkAbgBnACAAYwByAHUAZABlACAAbwBpAGwAIABjAG8AbgBkAGUAbgBzAGEAdABlAHMAXAAiACwAIAA0ADUALgAzACwAIABcACIAdABcACIALAAgADYAOQAuADYALAAgADAALgAwADgALAAgADAALgAyACwAIAA2ADkALgA4ADgALAAgAFwAIgBOAEUAXAAiADsAXABuACAAIAAgACAAIAAgACAAIABcACIATwB0AGgAZQByACAAbgBhAHQAdQByAGEAbAAgAGcAYQBzACAAbABpAHEAdQBpAGQAcwBcACIALAAgADQANgAuADUALAAgAFwAIgB0AFwAIgAsACAANgAxAC4AMAAsACAAMAAuADAAOAAsACAAMAAuADIALAAgADYAMQAuADIAOAAsACAAXAAiAE4ARQBcACIAOwBcAG4AIAAgACAAIAAgACAAIAAgAFwAIgBBAHUAdABvAG0AbwB0AGkAdgBlACAAZwBhAHMAbwBsAGkAbgBlACAALwAgAHAAZQB0AHIAbwBsACAAKABvAHQAaABlAHIAIAB0AGgAYQBuACAAZgBvAHIAIAB1AHMAZQAgAGEAcwAgAGYAdQBlAGwAIABpAG4AIABhAG4AIABhAGkAcgBjAHIAYQBmAHQAKQBcACIALAAgADMANAAuADIALAAgAFwAIgBrAEwAXAAiACwAIAA2ADcALgA0ACwAIAAwAC4AMgAsACAAMAAuADIALAAgADYANwAuADgAMAAsACAAMQA3AC4AMgA7AFwAbgAgACAAIAAgACAAIAAgACAAXAAiAEEAdgBpAGEAdABpAG8AbgAgAGcAYQBzAG8AbABpAG4AZQBcACIALAAgADMAMwAuADEALAAgAFwAIgBrAEwAXAAiACwAIAA2ADcALAAgADAALgAyACwAIAAwAC4AMgAsACAANgA3AC4ANAAwACwAIAAxADgALgAwADsAXABuACAAIAAgACAAIAAgACAAIABcACIASwBlAHIAbwBzAGUAbgBlACAAKABvAHQAaABlAHIAIAB0AGgAYQBuACAAZgBvAHIAIAB1AHMAZQAgAGEAcwAgAGYAdQBlAGwAIABpAG4AIABhAG4AIABhAGkAcgBjAHIAYQBmAHQAKQBcACIALAAgADMANwAuADUALAAgAFwAIgBrAEwAXAAiACwAIAA2ADgALgA5ACwAIAAwAC4AMAAxACwAIAAwAC4AMgAsACAANgA5AC4AMQAxACwAIAAxADgALgAwADsAXABuACAAIAAgACAAIAAgACAAIABcACIAQQB2AGkAYQB0AGkAbwBuACAAdAB1AHIAYgBpAG4AZQAgAGYAdQBlAGwAIAAvACAAawBlAHIAbwBzAGUAbgBlAFwAIgAsACAAMwA2AC4AOAAsACAAXAAiAGsATABcACIALAAgADYAOQAuADYALAAgADAALgAwADIALAAgADAALgAyACwAIAA2ADkALgA4ADIALAAgADEAOAAuADAAOwBcAG4AIAAgACAAIAAgACAAIAAgAFwAIgBIAGUAYQB0AGkAbgBnACAAbwBpAGwAXAAiACwAIAAzADcALgAzACwAIABcACIAawBMAFwAIgAsACAANgA5AC4ANQAsACAAMAAuADAAMwAsACAAMAAuADIALAAgADYAOQAuADcAMwAsACAAMQA4AC4AMAA7AFwAbgAgACAAIAAgACAAIAAgACAAXAAiAEQAaQBlAHMAZQBsACAAbwBpAGwAXAAiACwAIAAzADgALgA2ACwAIABcACIAawBMAFwAIgAsACAANgA5AC4AOQAsACAAMAAuADEALAAgADAALgAyACwAIAA3ADAALgAyADAALAAgADEANwAuADMAOwBcAG4AIAAgACAAIAAgACAAIAAgAFwAIgBGAHUAZQBsACAAbwBpAGwAXAAiACwAIAAzADkALgA3ACwAIABcACIAawBMAFwAIgAsACAANwAzAC4ANgAsACAAMAAuADAANAAsACAAMAAuADIALAAgADcAMwAuADgANAAsACAAMQA4AC4AMAA7AFwAbgAgACAAIAAgACAAIAAgACAAXAAiAEwAaQBxAHUAZQBmAGkAZQBkACAAYQByAG8AbQBhAHQAaQBjACAAaAB5AGQAcgBvAGMAYQByAGIAbwBuAHMAXAAiACwAIAAzADQALgA0ACwAIABcACIAawBMAFwAIgAsACAANgA5AC4ANwAsACAAMAAuADAAMwAsACAAMAAuADIALAAgADYAOQAuADkAMwAsACAAMQA4AC4AMAA7AFwAbgAgACAAIAAgACAAIAAgACAAXAAiAFMAbwBsAHYAZQBuAHQAcwA6ACAAbQBpAG4AZQByAGEAbAAgAHQAdQByAHAAZQBuAHQAaQBuAGUAIABvAHIAIAB3AGgAaQB0AGUAIABzAHAAaQByAGkAdABzAFwAIgAsACAAMwA0AC4ANAAsACAAXAAiAGsATABcACIALAAgADYAOQAuADcALAAgADAALgAwADMALAAgADAALgAyACwAIAA2ADkALgA5ADMALAAgADEAOAAuADAAOwBcAG4AIAAgACAAIAAgACAAIAAgAFwAIgBMAGkAcQB1AGUAZgBpAGUAZAAgAHAAZQB0AHIAbwBsAGUAdQBtACAAZwBhAHMAIAAoAEwAUABHACkAXAAiACwAIAAyADUALgA3ACwAIABcACIAawBMAFwAIgAsACAANgAwAC4AMgAsACAAMAAuADIALAAgADAALgAyACwAIAA2ADAALgA2ADAALAAgADIAMAAuADIAOwBcAG4AIAAgACAAIAAgACAAIAAgAFwAIgBOAGEAcABoAHQAaABhAFwAIgAsACAAMwAxAC4ANAAsACAAXAAiAGsATABcACIALAAgADYAOQAuADgALAAgADAALgAwADEALAAgADAALgAwADEALAAgADYAOQAuADgAMgAsACAAMQA4AC4AMAA7AFwAbgAgACAAIAAgACAAIAAgACAAXAAiAFAAZQB0AHIAbwBsAGUAdQBtACAAYwBvAGsAZQBcACIALAAgADMANAAuADIALAAgAFwAIgB0AFwAIgAsACAAOQAyAC4ANgAsACAAMAAuADAAOAAsACAAMAAuADIALAAgADkAMgAuADgAOAAsACAAMQA4AC4AMAA7AFwAbgAgACAAIAAgACAAIAAgACAAXAAiAFIAZQBmAGkAbgBlAHIAeQAgAGcAYQBzACAAYQBuAGQAIABsAGkAcQB1AGkAZABzAFwAIgAsACAANAAyAC4AOQAsACAAXAAiAHQAXAAiACwAIAA1ADQALgA3ACwAIAAwAC4AMAAzACwAIAAwAC4AMAAzACwAIAA1ADQALgA3ADYALAAgADEAOAAuADAAOwBcAG4AIAAgACAAIAAgACAAIAAgAFwAIgBSAGUAZgBpAG4AZQByAHkAIABjAG8AawBlAFwAIgAsACAAMwA0AC4AMgAsACAAXAAiAHQAXAAiACwAIAA5ADIALgA2ACwAIAAwAC4AMAA4ACwAIAAwAC4AMgAsACAAOQAyAC4AOAA4ACwAIAAxADgALgAwADsAXABuACAAIAAgACAAIAAgACAAIABcACIAUABlAHQAcgBvAGwAZQB1AG0AIABiAGEAcwBlAGQAIABwAHIAbwBkAHUAYwB0AHMAIABvAHQAaABlAHIAIAB0AGgAYQBuACAAbQBlAG4AdABpAG8AbgBlAGQAIABpAG4AIAB0AGgAZQAgAGkAdABlAG0AcwAgAGEAYgBvAHYAZQBcACIALAAgADMANAAuADQALAAgAFwAIgBrAEwAXAAiACwAIAA2ADkALgA4ACwAIAAwAC4AMAAyACwAIAAwAC4AMQAsACAANgA5AC4AOQAyACwAIAAxADgALgAwADsAXABuACAAIAAgACAAIAAgACAAIABcACIAQgBpAG8AZABpAGUAcwBlAGwAXAAiACwAIAAzADQALgA2ACwAIABcACIAawBMAFwAIgAsACAAMAAuADAALAAgADAALgAwADgALAAgADAALgAyACwAIAAwAC4AMgA4ACwAIABcACIATgBFAFwAIgA7AFwAbgAgACAAIAAgACAAIAAgACAAXAAiAEUAdABoAGEAbgBvAGwAIABmAG8AcgAgAHUAcwBlACAAYQBzACAAYQAgAGYAdQBlAGwAIABpAG4AIABhAG4AIABpAG4AdABlAHIAbgBhAGwAIABjAG8AbQBiAHUAcwB0AGkAbwBuACAAZQBuAGcAaQBuAGUAXAAiACwAIAAyADMALgA0ACwAIABcACIAawBMAFwAIgAsACAAMAAuADAALAAgADAALgAwADgALAAgADAALgAyACwAIAAwAC4AMgA4ACwAIABcACIATgBFAFwAIgA7AFwAbgAgACAAIAAgACAAIAAgACAAXAAiAEIAaQBvAGYAdQBlAGwAcwAgAG8AdABoAGUAcgAgAHQAaABhAG4AIAB0AGgAbwBzAGUAIABtAGUAbgB0AGkAbwBuAGUAZAAgAGkAbgAgAHQAaABlACAAaQB0AGUAbQBzACAAYQBiAG8AdgBlACAAYQBuAGQAIABiAGUAbABvAHcAXAAiACwAIAAyADMALgA0ACwAIABcACIAawBMAFwAIgAsACAAMAAuADAALAAgADAALgAwADgALAAgADAALgAyACwAIAAwAC4AMgA4ACwAIABcACIATgBFAFwAIgA7AFwAbgAgACAAIAAgACAAIAAgACAAXAAiAFIAZQBuAGUAdwBhAGIAbABlACAAYQB2AGkAYQB0AGkAbwBuACAAawBlAHIAbwBzAGUAbgBlAFwAIgAsACAAMwA2AC4AOAAsACAAXAAiAGsATABcACIALAAgADAALgAwACwAIAAwAC4AMAAyACwAIAAwAC4AMgAsACAAMAAuADIAMgAsACAAXAAiAE4ARQBcACIAOwBcAG4AIAAgACAAIAAgACAAIAAgAFwAIgBSAGUAbgBlAHcAYQBiAGwAZQAgAGQAaQBlAHMAZQBsAFwAIgAsACAAMwA4AC4ANgAsACAAXAAiAGsATABcACIALAAgADAALgAwACwAIAAwAC4AMQAsACAAMAAuADIALAAgADAALgAzADAALAAgAFwAIgBOAEUAXAAiAFwAbgAgACAAIAAgACAAIAB9ACwAIAByACwAIABjACkAXABuACkAKQApADsAXABuAFwAbgBGAHUAZQBsAF8AUwBjAG8AcABlADEAUwBjAG8AcABlADMARQBtAGkAcwBzAGkAbwBuAEYAYQBjAHQAbwByAHMAUwB0AGEAdABpAG8AbgBhAHIAeQBMAGkAcQB1AGkAZ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C8AKgBcAG4APQA9AD0APQA9AD0APQA9AD0APQA9AD0APQA9AD0APQA9AD0APQA9AD0APQA9AD0APQA9AD0APQA9AD0APQA9AD0APQA9AD0APQA9AD0APQA9AD0APQA9AD0APQA9AD0APQA9AD0APQA9AD0APQA9AD0APQA9AD0APQA9AD0APQA9AD0APQA9AD0APQA9AD0APQA9AD0APQBcAG4ARgB1AGUAbAAgAHMAYwBvAHAAZQAgADEAIABhAG4AZAAgADMAIABlAG0AaQBzAHMAaQBvAG4AIABmAGEAYwB0AG8AcgBzACAALQAgAFQAcgBhAG4AcwBwAG8AcgB0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XwBUAGkAdABsAGUAXABuAD0ATABBAE0AQgBEAEEAKAAoAFwAIgBGAHUAZQBsACAAcwBjAG8AcABlACAAMQAgAGEAbgBkACAAMwAgAGUAbQBpAHMAcwBpAG8AbgAgAGYAYQBjAHQAbwByAHMAIAAtACAAVAByAGEAbgBzAHAAbwByAHQAXAAiACkAKQA7AFwAbgBcAG4ARgB1AGUAbABfAFMAYwBvAHAAZQAxAFMAYwBvAHAAZQAzAEUAbQBpAHMAcwBpAG8AbgBGAGEAYwB0AG8AcgBzAFQAcgBhAG4AcwBwAG8AcgB0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HQAcgBhAG4AcwBwAG8AcgB0ACAAZgB1AGUAbABzACAAaQBuACAAZABpAGYAZgBlAHIAZQBuAHQAIAB0AHIAYQBuAHMAcABvAHIAdAAgAGUAcQB1AGkAcABtAGUAbgB0AFwAIgApACkAOwBcAG4AXABuAEYAdQBlAGwAXwBTAGMAbwBwAGUAMQBTAGMAbwBwAGUAMwBFAG0AaQBzAHMAaQBvAG4ARgBhAGMAdABvAHIAcwBUAHIAYQBuAHMAcABvAHIAdABfAFMAbwB1AHIAYwBlAFwAbgA9AEwAQQBNAEIARABBACgAKABcACIAQQB1AHMAdAByAGEAbABpAGEAbgAgAE4AYQB0AGkAbwBuAGEAbAAgAEcAcgBlAGUAbgBoAG8AdQBzAGUAIABBAGMAYwBvAHUAbgB0AHMAIABGAGEAYwB0AG8AcgBzACAAMgAwADIANQAgAC0AIABUAGEAYgBsAGUAIAA5AFwAIgApACkAOwBcAG4AXABuAEYAdQBlAGwAXwBTAGMAbwBwAGUAMQBTAGMAbwBwAGUAMwBFAG0AaQBzAHMAaQBvAG4ARgBhAGMAdABvAHIAcwBUAHIAYQBuAHMAcABvAHIAdABfAEQAYQB0AGEAXABuAD0ATABBAE0AQgBEAEEAKABcAG4AIAAgAE0AQQBLAEUAQQBSAFIAQQBZACgAMgA2ACwAIAAxADAALABcAG4AIAAgACAAIABMAEEATQBCAEQAQQAoAHIALABjACwAXABuACAAIAAgACAAIAAgAEkATgBEAEUAWAAoAHsAXABuACAAIAAgACAAIAAgACAAIABcACIAVAByAGEAbgBzAHAAbwByAHQAIAB0AHkAcABlAFwAIgAsACAAXAAiAEYAdQBlAGwAIABjAG8AbQBiAHUAcwB0AGUAZABcACIALAAgAFwAIgBFAG4AZQByAGcAeQAgAEMAbwBuAHQAZQBuAHQAIABGAGEAYwB0AG8Acg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CwAIABcACIAUwBjAG8AcABlACAAMwAgAEUAbQBpAHMAcwBpAG8AbgAgAEYAYQBjAHQAbwByACAAKABrAGcAIABDAE8AMgAgAC0AIABlACAALwAgAEcASgApAFwAIgAsACAAXAAiAFMAbwB1AHIAYwBlAFwAIgA7AFwAbgAgACAAIAAgACAAIAAgACAAXAAiAEMAYQByAHMAIABhAG4AZAAgAGwAaQBnAGgAdAAgAGMAbwBtAG0AZQByAGMAaQBhAGwAIAB2AGUAaABpAGMAbABlAHMAXAAiACwAIABcACIARwBhAHMAbwBsAGkAbgBlAFwAIgAsACAAMwA0AC4AMgAsACAAXAAiAGsAbABcACIALAAgADYANwAuADQALAAgADAALgAwADIALAAgADAALgAyACwAIAA2ADcALgA2ADIALAAgADEANwAuADIALAAgAFwAIgBOAEcAQQBGACAAMgAwADIANQA6ACAAVABhAGIAbABlACAAOQBcACIAOwBcAG4AIAAgACAAIAAgACAAIAAgAFwAIgBDAGEAcgBzACAAYQBuAGQAIABsAGkAZwBoAHQAIABjAG8AbQBtAGUAcgBjAGkAYQBsACAAdgBlAGgAaQBjAGwAZQBzAFwAIgAsACAAXAAiAEQAaQBlAHMAZQBsACAAbwBpAGwAXAAiACwAIAAzADgALgA2ACwAIABcACIAawBsAFwAIgAsACAANgA5AC4AOQAsACAAMAAuADAAMQAsACAAMAAuADUALAAgADcAMAAuADQAMQAsACAAMQA3AC4AMwAsACAAXAAiAE4ARwBBAEYAIAAyADAAMgA1ADoAIABUAGEAYgBsAGUAIAA5AFwAIgA7AFwAbgAgACAAIAAgACAAIAAgACAAXAAiAEMAYQByAHMAIABhAG4AZAAgAGwAaQBnAGgAdAAgAGMAbwBtAG0AZQByAGMAaQBhAGwAIAB2AGUAaABpAGMAbABlAHMAXAAiACwAIABcACIATABpAHEAdQBlAGYAaQBlAGQAIABwAGUAdAByAG8AbABlAHUAbQAgAGcAYQBzACAAKABMAFAARwApAFwAIgAsACAAMgA2AC4AMgAsACAAXAAiAGsAbABcACIALAAgADYAMAAuADIALAAgADAALgA1ACwAIAAwAC4AMwAsACAANgAxAC4AMAAwACwAIAAyADAALgAyACwAIABcACIATgBHAEEARgAgADIAMAAyADUAOgAgAFQAYQBiAGwAZQAgADkAXAAiADsAXABuACAAIAAgACAAIAAgACAAIABcACIAQwBhAHIAcwAgAGEAbgBkACAAbABpAGcAaAB0ACAAYwBvAG0AbQBlAHIAYwBpAGEAbAAgAHYAZQBoAGkAYwBsAGUAcwBcACIALAAgAFwAIgBGAHUAZQBsACAAbwBpAGwAXAAiACwAIAAzADkALgA3ACwAIABcACIAawBsAFwAIgAsACAANwAzAC4ANgAsACAAMAAuADAAOAAsACAAMAAuADUALAAgADcANAAuADEAOAAsACAAMQA4AC4AMAAsACAAXAAiAE4ARwBBAEYAIAAyADAAMgA1ADoAIABUAGEAYgBsAGUAIAA5AFwAIgA7AFwAbgAgACAAIAAgACAAIAAgACAAXAAiAEMAYQByAHMAIABhAG4AZAAgAGwAaQBnAGgAdAAgAGMAbwBtAG0AZQByAGMAaQBhAGwAIAB2AGUAaABpAGMAbABlAHMAXAAiACwAIABcACIARQB0AGgAYQBuAG8AbABcACIALAAgADIAMwAuADQALAAgAFwAIgBrAGwAXAAiACwAIAAwAC4AMAAsACAAMAAuADIALAAgADAALgAyACwAIAAwAC4ANAAsACAAXAAiAE4ARQBcACIALAAgAFwAIgBOAEcAQQBGACAAMgAwADIANQA6ACAAVABhAGIAbABlACAAOQBcACIAOwBcAG4AIAAgACAAIAAgACAAIAAgAFwAIgBDAGEAcgBzACAAYQBuAGQAIABsAGkAZwBoAHQAIABjAG8AbQBtAGUAcgBjAGkAYQBsACAAdgBlAGgAaQBjAGwAZQBzAFwAIgAsACAAXAAiAEIAaQBvAGQAaQBlAHMAZQBsAFwAIgAsACAAMwA0AC4ANgAsACAAXAAiAGsAbABcACIALAAgADAALgAwACwAIAAwAC4AOAAsACAAMQAuADcALAAgADIALgA1ACwAIABcACIATgBFAFwAIgAsACAAXAAiAE4ARwBBAEYAIAAyADAAMgA1ADoAIABUAGEAYgBsAGUAIAA5AFwAIgA7AFwAbgAgACAAIAAgACAAIAAgACAAXAAiAEMAYQByAHMAIABhAG4AZAAgAGwAaQBnAGgAdAAgAGMAbwBtAG0AZQByAGMAaQBhAGwAIAB2AGUAaABpAGMAbABlAHMAXAAiACwAIABcACIAUgBlAG4AZQB3AGEAYgBsAGUAIABkAGkAZQBzAGUAbABcACIALAAgADMAOAAuADYALAAgAFwAIgBrAGwAXAAiACwAIAAwAC4AMAAsACAAMAAuADAAMQAsACAAMAAuADUALAAgADAALgA1ADEALAAgAFwAIgBOAEUAXAAiACwAIABcACIATgBHAEEARgAgADIAMAAyADUAOgAgAFQAYQBiAGwAZQAgADkAXAAiADsAXABuACAAIAAgACAAIAAgACAAIABcACIAQwBhAHIAcwAgAGEAbgBkACAAbABpAGcAaAB0ACAAYwBvAG0AbQBlAHIAYwBpAGEAbAAgAHYAZQBoAGkAYwBsAGUAcwBcACIALAAgAFwAIgBPAHQAaABlAHIAIABiAGkAbwBmAHUAZQBsAHMAXAAiACwAIAAyADMALgA0ACwAIABcACIAawBsAFwAIgAsACAAMAAuADAALAAgADAALgA4ACwAIAAxAC4ANwAsACAAMgAuADUALAAgAFwAIgBOAEUAXAAiACwAIABcACIATgBHAEEARgAgADIAMAAyADUAOgAgAFQAYQBiAGwAZQAgADkAXAAiADsAXABuACAAIAAgACAAIAAgACAAIABcACIATABpAGcAaAB0ACAAZAB1AHQAeQAgAHYAZQBoAGkAYwBsAGUAcwBcACIALAAgAFwAIgBDAG8AbQBwAHIAZQBzAHMAZQBkACAAbgBhAHQAdQByAGEAbAAgAGcAYQBzAFwAIgAsACAAMAAuADAAMwA5ADMALAAgAFwAIgBtADMAXAAiACwAIAA1ADEALgA0ACwAIAA3AC4AMwAsACAAMAAuADMALAAgADUAOQAuADAALAAgADEAOAAuADAALAAgAFwAIgBOAEcAQQBGACAAMgAwADIANQA6ACAAVABhAGIAbABlACAAOQBcACIAOwBcAG4AIAAgACAAIAAgACAAIAAgAFwAIgBMAGkAZwBoAHQAIABkAHUAdAB5ACAAdgBlAGgAaQBjAGwAZQBzAFwAIgAsACAAXAAiAEwAaQBxAHUAZQBmAGkAZQBkACAAbgBhAHQAdQByAGEAbAAgAGcAYQBzAFwAIgAsACAAMgA1AC4AMwAsACAAXAAiAGsAbABcACIALAAgADUAMQAuADQALAAgADcALgAzACwAIAAwAC4AMwAsACAANQA5AC4AMAAsACAAMQA4AC4AMAAsACAAXAAiAE4ARwBBAEYAIAAyADAAMgA1ADoAIABUAGEAYgBsAGUAIAA5AFwAIgA7AFwAbgAgACAAIAAgACAAIAAgACAAXAAiAEgAZQBhAHYAeQAgAGQAdQB0AHkAIAB2AGUAaABpAGMAbABlAHMAXAAiACwAIABcACIAQwBvAG0AcAByAGUAcwBzAGUAZAAgAG4AYQB0AHUAcgBhAGwAIABnAGEAcwBcACIALAAgADAALgAwADMAOQAzACwAIABcACIAbQAzAFwAIgAsACAANQAxAC4ANAAsACAAMgAuADgALAAgADAALgAzACwAIAA1ADQALgA1ACwAIAAxADgALgAwACwAIABcACIATgBHAEEARgAgADIAMAAyADUAOgAgAFQAYQBiAGwAZQAgADkAXAAiADsAXABuACAAIAAgACAAIAAgACAAIABcACIASABlAGEAdgB5ACAAZAB1AHQAeQAgAHYAZQBoAGkAYwBsAGUAcwBcACIALAAgAFwAIgBMAGkAcQB1AGUAZgBpAGUAZAAgAG4AYQB0AHUAcgBhAGwAIABnAGEAcwBcACIALAAgADIANQAuADMALAAgAFwAIgBrAGwAXAAiACwAIAA1ADEALgA0ACwAIAAyAC4AOAAsACAAMAAuADMALAAgADUANAAuADUALAAgADEAOAAuADAALAAgAFwAIgBOAEcAQQBGACAAMgAwADIANQA6ACAAVABhAGIAbABlACAAOQBcACIAOwBcAG4AIAAgACAAIAAgACAAIAAgAFwAIgBIAGUAYQB2AHkAIABkAHUAdAB5ACAAdgBlAGgAaQBjAGwAZQBzAFwAIgAsACAAXAAiAEQAaQBlAHMAZQBsACAAbwBpAGwAIAAtACAARQB1AHIAbwAgAGkAdgAgAG8AcgAgAGgAaQBnAGgAZQByAFwAIgAsACAAMwA4AC4ANgAsACAAXAAiAGsAbABcACIALAAgADYAOQAuADkALAAgADAALgAwADcALAAgADAALgA0ACwAIAA3ADAALgAzADcALAAgADEANwAuADMALAAgAFwAIgBOAEcAQQBGACAAMgAwADIANQA6ACAAVABhAGIAbABlACAAOQBcACIAOwBcAG4AIAAgACAAIAAgACAAIAAgAFwAIgBIAGUAYQB2AHkAIABkAHUAdAB5ACAAdgBlAGgAaQBjAGwAZQBzAFwAIgAsACAAXAAiAEQAaQBlAHMAZQBsACAAbwBpAGwAIAAtACAARQB1AHIAbwAgAGkAaQBpAFwAIgAsACAAMwA4AC4ANgAsACAAXAAiAGsAbABcACIALAAgADYAOQAuADkALAAgADAALgAxACwAIAAwAC4ANAAsACAANwAwAC4ANAAsACAAMQA3AC4AMwAsACAAXAAiAE4ARwBBAEYAIAAyADAAMgA1ADoAIABUAGEAYgBsAGUAIAA5AFwAIgA7AFwAbgAgACAAIAAgACAAIAAgACAAXAAiAEgAZQBhAHYAeQAgAGQAdQB0AHkAIAB2AGUAaABpAGMAbABlAHMAXAAiACwAIABcACIARABpAGUAcwBlAGwAIABvAGkAbAAgAC0AIABFAHUAcgBvACAAaQBcACIALAAgADMAOAAuADYALAAgAFwAIgBrAGwAXAAiACwAIAA2ADkALgA5ACwAIAAwAC4AMgAsACAAMAAuADQALAAgADcAMAAuADUALAAgADEANwAuADMALAAgAFwAIgBOAEcAQQBGACAAMgAwADIANQA6ACAAVABhAGIAbABlACAAOQBcACIAOwBcAG4AIAAgACAAIAAgACAAIAAgAFwAIgBIAGUAYQB2AHkAIABkAHUAdAB5ACAAdgBlAGgAaQBjAGwAZQBzAFwAIgAsACAAXAAiAFIAZQBuAGUAdwBhAGIAbABlACAAZABpAGUAcwBlAGwAIAATICAARQB1AHIAbwAgAGkAdgAgAG8AcgAgAGgAaQBnAGgAZQByAFwAIgAsACAAMwA4AC4ANgAsACAAXAAiAGsAbABcACIALAAgADAALgAwACwAIAAwAC4AMAA3ACwAIAAwAC4ANAAsACAAMAAuADQANwAsACAAXAAiAE4ARQBcACIALAAgAFwAIgBOAEcAQQBGACAAMgAwADIANQA6ACAAVABhAGIAbABlACAAOQBcACIAOwBcAG4AIAAgACAAIAAgACAAIAAgAFwAIgBIAGUAYQB2AHkAIABkAHUAdAB5ACAAdgBlAGgAaQBjAGwAZQBzAFwAIgAsACAAXAAiAFIAZQBuAGUAdwBhAGIAbABlACAAZABpAGUAcwBlAGwAIAATICAARQB1AHIAbwAgAGkAaQBpAFwAIgAsACAAMwA4AC4ANgAsACAAXAAiAGsAbABcACIALAAgADAALgAwACwAIAAwAC4AMQAsACAAMAAuADQALAAgADAALgA1ACwAIABcACIATgBFAFwAIgAsACAAXAAiAE4ARwBBAEYAIAAyADAAMgA1ADoAIABUAGEAYgBsAGUAIAA5AFwAIgA7AFwAbgAgACAAIAAgACAAIAAgACAAXAAiAEgAZQBhAHYAeQAgAGQAdQB0AHkAIAB2AGUAaABpAGMAbABlAHMAXAAiACwAIABcACIAUgBlAG4AZQB3AGEAYgBsAGUAIABkAGkAZQBzAGUAbAAgABMgIABFAHUAcgBvACAAaQBcACIALAAgADMAOAAuADYALAAgAFwAIgBrAGwAXAAiACwAIAAwAC4AMAAsACAAMAAuADIALAAgADAALgA0ACwAIAAwAC4ANgAsACAAXAAiAE4ARQBcACIALAAgAFwAIgBOAEcAQQBGACAAMgAwADIANQA6ACAAVABhAGIAbABlACAAOQBcACIAOwBcAG4AIAAgACAAIAAgACAAIAAgAFwAIgBBAHYAaQBhAHQAaQBvAG4AXAAiACwAIABcACIARwBhAHMAbwBsAGkAbgBlACAAZgBvAHIAIAB1AHMAZQAgAGEAcwAgAGYAdQBlAGwAIABpAG4AIABhAG4AIABhAGkAcgBjAHIAYQBmAHQAXAAiACwAIAAzADMALgAxACwAIABcACIAawBsAFwAIgAsACAANgA3AC4AMAAsACAAMAAuADAANgAsACAAMAAuADYALAAgADYANwAuADYANgAsACAAMQA4AC4AMAAsACAAXAAiAE4ARwBBAEYAIAAyADAAMgA1ADoAIABUAGEAYgBsAGUAIAA5AFwAIgA7AFwAbgAgACAAIAAgACAAIAAgACAAXAAiAEEAdgBpAGEAdABpAG8AbgBcACIALAAgAFwAIgBLAGUAcgBvAHMAZQBuAGUAIABmAG8AcgAgAHUAcwBlACAAYQBzACAAZgB1AGUAbAAgAGkAbgAgAGEAbgAgAGEAaQByAGMAcgBhAGYAdABcACIALAAgADMANgAuADgALAAgAFwAIgBrAGwAXAAiACwAIAA2ADkALgA2ACwAIAAwAC4AMAAxACwAIAAwAC4ANgAsACAANwAwAC4AMgAxACwAIAAxADgALgAwACwAIABcACIATgBHAEEARgAgADIAMAAyADUAOgAgAFQAYQBiAGwAZQAgADkAXAAiADsAXABuACAAIAAgACAAIAAgACAAIABcACIAQQB2AGkAYQB0AGkAbwBuAFwAIgAsACAAXAAiAFIAZQBuAGUAdwBhAGIAbABlACAAYQB2AGkAYQB0AGkAbwBuACAAawBlAHIAbwBzAGUAbgBlAFwAIgAsACAAMwA2AC4AOAAsACAAXAAiAGsAbABcACIALAAgADAALgAwACwAIAAwAC4AMAAxACwAIAAwAC4ANgAsACAAMAAuADYAMQAsACAAXAAiAE4ARQBcACIALAAgAFwAIgBOAEcAQQBGACAAMgAwADIANQA6ACAAVABhAGIAbABlACAAOQBcACIAOwBcAG4AIAAgACAAIAAgACAAIAAgAFwAIgBWAGUAcwBzAGUAbABzAFwAIgAsACAAXAAiAEcAYQBzAG8AbABpAG4AZQBcACIALAAgADMANAAuADIALAAgAFwAIgBrAEwAXAAiACwAIAA2ADcALgA0ACwAIAAxADAALgAxACwAIAAwAC4AMwAsACAAXAAiAFwAIgAsACAAMQA3AC4AMgAsACAAXAAiAFYARQBFAFIARwAgADIAMAAyADYAOgAgAFQAYQBiAGwAZQAgAEEALgA0AC4AMgAuADEAXAAiADsAXABuACAAIAAgACAAIAAgACAAIABcACIAVgBlAHMAcwBlAGwAcwBcACIALAAgAFwAIgBEAGkAZQBzAGUAbAAgAG8AaQBsAFwAIgAsACAAMwA4AC4ANgAsACAAXAAiAGsATABcACIALAAgADYAOQAuADkALAAgADAALgAyACwAIAAwAC4ANQAsACAAXAAiAFwAIgAsACAAMQA3AC4AMwAsACAAXAAiAFYARQBFAFIARwAgADIAMAAyADYAOgAgAFQAYQBiAGwAZQAgAEEALgA0AC4AMgAuADEAXAAiADsAXABuACAAIAAgACAAIAAgACAAIABcACIAVgBlAHMAcwBlAGwAcwBcACIALAAgAFwAIgBGAHUAZQBsACAATwBpAGwAXAAiACwAIAAzADkALgA3ACwAIABcACIAawBMAFwAIgAsACAANwAzAC4ANgAsACAAMAAuADIALAAgADAALgA1ACwAIABcACIAXAAiACwAIAAxADgALgAwACwAIABcACIAVgBFAEUAUgBHACAAMgAwADIANgA6ACAAVABhAGIAbABlACAAQQAuADQALgAyAC4AMQBcACIAOwBcAG4AIAAgACAAIAAgACAAIAAgAFwAIgBPAGYAZgAtAHIAbwBhAGQAIABBAGcAcgBpAGMAdQBsAHQAdQByAGUAIABhAG4AZAAgAGYAbwByAGUAcwB0AHIAeQAgAGUAcQB1AGkAcABtAGUAbgB0AFwAIgAsACAAXAAiAEQAaQBlAHMAZQBsACAAbwBpAGwAXAAiACwAIAAzADgALgA2ACwAIABcACIAawBMAFwAIgAsACAANgA5AC4AOQAsACAAMAAuADMALAAgADAALgA1ACwAIABcACIAXAAiACwAIAAxADcALgAzACwAIABcACIAVgBFAEUAUgBHACAAMgAwADIANgA6ACAAVABhAGIAbABlACAAQQAuADQALgAyAC4AMQBcACIAXABuACAAIAAgACAAIAAgAH0ALAAgAHIALAAgAGMAKQBcAG4AKQApACkAOwBcAG4AXABuAEYAdQBlAGwAXwBTAGMAbwBwAGUAMQBTAGMAbwBwAGUAMwBFAG0AaQBzAHMAaQBvAG4ARgBhAGMAdABvAHIAcwBUAHIAYQBuAHMAcABvAHIAdABfAFYAYQByAGkAYQB0AGkAbwBuAFwAbgA9AEwAQQBNAEIARABBACgAXAAiAFYAQQBSAEkAQQBUAEkATwBOACAATwBGACAAUwBPAFUAUgBDAEUAIABEAEEAVABBADoAIABcAHUAMAAwADIANwBOAEUAXAB1ADAAMAAyADcAIAB2AGEAbAB1AGUAcwAgAHIAZQB0AHUAcgBuAGUAZAAgAGEAcwAgAHoAZQByAG8AIABmAG8AcgAgAGMAYQBsAGMAdQBsAGEAdABpAG8AbgBzAC4AXAAiACkAOwBcAG4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PAGYAZgAtAHIAYQBkACAAZQBxAHUAaQBwAG0AZQBuAHQAIABhAG4AZAAgAHYAZQBzAHMAZQBsAHMAXABuAD0APQA9AD0APQA9AD0APQA9AD0APQA9AD0APQA9AD0APQA9AD0APQA9AD0APQA9AD0APQA9AD0APQA9AD0APQA9AD0APQA9AD0APQA9AD0APQA9AD0APQA9AD0APQA9AD0APQA9AD0APQA9AD0APQA9AD0APQA9AD0APQA9AD0APQA9AD0APQA9AD0APQA9AD0APQA9AD0AXABuACoALwBcAG4AXABuAEYAdQBlAGwAXwBTAGMAbwBwAGUAMQBTAGMAbwBwAGUAMwBFAG0AaQBzAHMAaQBvAG4ARgBhAGMAdABvAHIAcwBUAHIAYQBuAHMAcABvAHIAdABPAGYAZgBSAG8AYQBkAF8AVABpAHQAbABlAFwAbgA9AEwAQQBNAEIARABBACgAKABcACIARgB1AGUAbAAgAHMAYwBvAHAAZQAgADEAIABhAG4AZAAgADMAIABlAG0AaQBzAHMAaQBvAG4AIABmAGEAYwB0AG8AcgBzACAALQAgAE8AZgBmAC0AcgBvAGEAZAAgAGUAcQB1AGkAcABtAGUAbgB0ACAAYQBuAGQAIAB2AGUAcwBzAGUAbABzAFwAIgApACkAOwBcAG4AXABuAEYAdQBlAGwAXwBTAGMAbwBwAGUAMQBTAGMAbwBwAGUAMwBFAG0AaQBzAHMAaQBvAG4ARgBhAGMAdABvAHIAcwBUAHIAYQBuAHMAcABvAHIAdABPAGYAZgBSAG8AYQBkAF8ARABlAHMAYwByAGkAcAB0AGkAbwBuAFwAbgA9AEwAQQBNAEIARABBACgAKABcACIARABpAHIAZQBjAHQAIAAoAHMAYwBvAHAAZQAgADEAKQAgAGEAbgBkACAAaQBuAGQAaQByAGUAYwB0ACAAKABzAGMAbwBwAGUAIAAzACkAIABlAG0AaQBzAHMAaQBvAG4AIABmAGEAYwB0AG8AcgBzACAAZgBvAHIAIAB0AGgAZQAgAGMAbwBuAHMAdQBtAHAAdABpAG8AbgAgAG8AZgAgAGYAdQBlAGwAcwAgAGkAbgAgAG8AZgBmAC0AcgBvAGEAZAAgAGUAcQB1AGkAcABtAGUAbgB0ACAAYQBuAGQAIAB2AGUAcwBzAGUAbABzAFwAIgApACkAOwBcAG4AXABuAEYAdQBlAGwAXwBTAGMAbwBwAGUAMQBTAGMAbwBwAGUAMwBFAG0AaQBzAHMAaQBvAG4ARgBhAGMAdABvAHIAcwBUAHIAYQBuAHMAcABvAHIAdABPAGYAZgBSAG8AYQBkAF8AUwBvAHUAcgBjAGUAXABuAD0ATABBAE0AQgBEAEEAKAAoAFwAIgBWAEUARQBSAEcAIAAyADAAMgA2ADoAIABUAGEAYgBsAGUAIABBAC4ANAAuADIALgAxAFwAIgApACkAOwBcAG4AXABuAEYAdQBlAGwAXwBTAGMAbwBwAGUAMQBTAGMAbwBwAGUAMwBFAG0AaQBzAHMAaQBvAG4ARgBhAGMAdABvAHIAcwBUAHIAYQBuAHMAcABvAHIAdABPAGYAZgBSAG8AYQBkAF8ARABhAHQAYQBcAG4APQBMAEEATQBCAEQAQQAoAFwAbgAgACAATQBBAEsARQBBAFIAUgBBAFkAKAA1ACwAIAA3ACwAXABuACAAIAAgACAATABBAE0AQgBEAEEAKAByACwAYwAsAFwAbgAgACAAIAAgACAAIABJAE4ARABFAFgAKAB7AFwAbgAgACAAIAAgACAAIAAgACAAXAAiAFQAcgBhAG4AcwBwAG8AcgB0ACAAdAB5AHAAZQAgAHQAXAAiACwAIABcACIARgB1AGUAbAAgAHQAeQBwAGUAIABxAFwAIgAsACAAXAAiAEUAQwBUAHIAYQBuAHMALABxACAAKABHAEoALwBrAEwAKQBcACIALAAgAFwAIgBTAGMAbwBwAGUAIAAxACAAQwBPADIAIABFAEYAVAByAGEAbgAsADEALAB0AHEAZwAgACgAawBnACAAQwBPADIALQBlAC8ARwBKACkAXAAiACwAIABcACIAUwBjAG8AcABlACAAMQAgAEMASAA0ACAARQBGAFQAcgBhAG4ALAAxACwAdABnAGcAIAAoAGsAZwAgAEMATwAyAC0AZQAvAEcASgApAFwAIgAsACAAXAAiAFMAYwBvAHAAZQAgADEAIABOADIATwAgAEUARgBUAHIAYQBuACwAMQAsAHQAZwBnACAAKABrAGcAIABDAE8AMgAtAGUALwBHAEoAKQBcACIALAAgAFwAIgBTAGMAbwBwAGUAIAAzACAARQBGAFQAcgBhAG4AcwAsADMALABxACAAKABrAGcAIABDAE8AMgAtAGUALwBHAEoAKQBcACIAOwBcAG4AIAAgACAAIAAgACAAIAAgAFwAIgBWAGUAcwBzAGUAbABcACIALAAgAFwAIgBQAGUAdAByAG8AbABcACIALAAgADMANAAuADIALAAgADYANwAuADQALAAgADEAMAAuADEALAAgADAALgAzACwAIAAxADcALgAyADsAXABuACAAIAAgACAAIAAgACAAIABcACIAVgBlAHMAcwBlAGwAXAAiACwAIABcACIARABpAGUAcwBlAGwAXAAiACwAIAAzADgALgA2ACwAIAA2ADkALgA5ACwAIAAwAC4AMgAsACAAMAAuADUALAAgADEANwAuADMAOwBcAG4AIAAgACAAIAAgACAAIAAgAFwAIgBWAGUAcwBzAGUAbABcACIALAAgAFwAIgBGAHUAZQBsACAATwBpAGwAXAAiACwAIAAzADkALgA3ACwAIAA3ADMALgA2ACwAIAAwAC4AMgAsACAAMAAuADUALAAgADEAOAAuADAAOwBcAG4AIAAgACAAIAAgACAAIAAgAFwAIgBPAGYAZgAtAHIAbwBhAGQAIABBAGcAcgBpAGMAdQBsAHQAdQByAGUAIABhAG4AZAAgAGYAbwByAGUAcwB0AHIAeQAgAGUAcQB1AGkAcABtAGUAbgB0AFwAIgAsACAAXAAiAEQAaQBlAHMAZQBsAFwAIgAsACAAMwA4AC4ANgAsACAANgA5AC4AOQAsACAAMAAuADMALAAgADAALgA1ACwAIAAxADcALgAzAFwAbgAgACAAIAAgACAAIAB9ACwAIAByACwAIABjACkAXABuACkAKQApADsAXABuAFwAbgBcAG4AXABuACIAfQAsAHsAIgBwAGEAdABoACIAOgAiAC8AcAByAG8AagBlAGMAdABzAC8ARgBlAHIAdABpAGwAaQBzAGUAcgBfAEUAcQB1AGEAdABpAG8AbgBzAF8ASQBuAG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xACAASQBuAG8AcgBnAGEAbgBpAGMAIABmAGUAcgB0AGkAbABpAHMAZQByACAAYQBwAHAAbABpAGMAYQB0AGkAbwBuAFwAbgA9AD0APQA9AD0APQA9AD0APQA9AD0APQA9AD0APQA9AD0APQA9AD0APQA9AD0APQA9AD0APQA9AD0APQA9AD0APQA9AD0APQA9AD0AXABuACoALwBcAG4AXABuAC8AKgAgAFwAbgAtAC0ALQAtAC0ALQAtAC0ALQAtAC0ALQAtAC0ALQAtAC0ALQAtAC0ALQAtAC0ALQAtAC0ALQAtAC0ALQAtAC0ALQAtAC0ALQAtAC0AXABuAFYARQBFAFIARwBfADUAXwAxAF8AMQBfADEAXwBfADEAXwBJAG4AbwByAGcAYQBuAGkAYwBGAGUAcgB0AGkAbABpAHMAZQByAEEAcABwAGwAaQBjAGEAdABpAG8AbgBOADIATwBFAG0AaQBzAHMAaQBvAG4AcwBcAG4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BuAEUAXwBOADIATwBcAG4AdAAgAE4AMgBPAFwAbgBcAFwAcwB1AG0AXwB7AGoAfQBcAFwAcwB1AG0AXwB7AGYAfQAoACgATQBOAF8AewBqAGYAfQBcAFwAdABpAG0AZQBzACAARQBGAF8AewBqACwATgAyAE8AfQBcAFwAdABpAG0AZQBzACAAQwBfAHsATgAyAE8AfQApAFwAXAB0AGkAbQBlAHMAIAAxADAAXgB7AC0AMwB9ACkAXABuAE0ATgBfAGoAZgBcAG4ARQBGAF8AagBOADIATwBcAG4AQwBfAE4AMgBPAFwAbgBqAFwAbgBmAFwAbgAtAC0ALQAtAC0ALQAtAC0ALQAtAC0ALQAtAC0ALQAtAC0ALQAtAC0ALQAtAC0ALQAtAC0ALQAtAC0ALQAtAC0ALQAtAC0ALQAtAC0AXABuACoALwBcAG4AXABuAFYARQBFAFIARwBfADUAXwAxAF8AMQBfADEAXwBfADEAXwBJAG4AbwByAGcAYQBuAGkAYwBGAGUAcgB0AGkAbABpAHMAZQByAEEAcABwAGwAaQBjAGEAdABpAG8AbgBOADIATwBFAG0AaQBzAHMAaQBvAG4AcwBcAG4AIAAgAD0ATABBAE0AQgBEAEEAKABcAG4AIAAgACAAIABNAE4AXwBqAGYALAAgAEUARgBfAGoATgAyAE8ALAAgAEMAXwBOADIATwAsAFwAbgAgACAAIAAgACgATQBOAF8AagBmACAAKgAgAEUARgBfAGoATgAyAE8AIAAqACAAQwBfAE4AMgBPACkAIAAqACAAMQAwACAAXgAgAC0AMwBcAG4AIAAgACkAOwBcAG4AXABuAFYARQBFAFIARwBfADUAXwAxAF8AMQBfADEAXwBfADEAXwBJAG4AbwByAGcAYQBuAGkAYwBGAGUAcgB0AGkAbABpAHMAZQByAEEAcABwAGwAaQBjAGEAdABpAG8AbgBOADIATwBFAG0AaQBzAHMAaQBvAG4AcwBfAFQAaQB0AGwAZQBcAG4AIAAgAD0ATABBAE0AQgBEAEEAKABcACIATgBpAHQAcgBvAHUAcwAgAG8AeABpAGQAZQAgAGUAbQBpAHMAcwBpAG8AbgBzACAAZgByAG8AbQAgAHQAaABlACAAYQBwAHAAbABpAGMAYQB0AGkAbwBuACAAbwBmACAAYQBsAGwAIABpAG4AbwByAGcAYQBuAGkAYwAgAGYAZQByAHQAaQBsAGkAcwBlAHIAIAB0AHkAcABlAHMAIABmACAAdABvACAAYQBsAGwAIABwAHIAbwBkAHUAYwB0AGkAbwBuACAAcwB5AHMAdABlAG0AcwAgAGoAXAAiACkAOwBcAG4AXABuAFYARQBFAFIARwBfADUAXwAxAF8AMQBfADEAXwBfADEAXwBJAG4AbwByAGcAYQBuAGkAYwBGAGUAcgB0AGkAbABpAHMAZQByAEEAcABwAGwAaQBjAGEAdABpAG8AbgBOADIATwBFAG0AaQBzAHMAaQBvAG4AcwBfAFYAYQByAGkAYQBiAGwAZQBcAG4AIAAgAD0ATABBAE0AQgBEAEEAKABcACIARQBfAE4AMgBPAFwAIgApADsAXABuAFwAbgBWAEUARQBSAEcAXwA1AF8AMQBfADEAXwAxAF8AXwAxAF8ASQBuAG8AcgBnAGEAbgBpAGMARgBlAHIAdABpAGwAaQBzAGUAcgBBAHAAcABsAGkAYwBhAHQAaQBvAG4ATgAyAE8ARQBtAGkAcwBzAGkAbwBuAHMAXwBVAG4AaQB0AFwAbgAgACAAPQBMAEEATQBCAEQAQQAoAFwAIgB0ACAATgAyAE8AXAAiACkAOwBcAG4AXABuAFYARQBFAFIARwBfADUAXwAxAF8AMQBfADEAXwBfADEAXwBJAG4AbwByAGcAYQBuAGkAYwBGAGUAcgB0AGkAbABpAHMAZQByAEEAcABwAGwAaQBjAGEAdABpAG8AbgBOADIATwBFAG0AaQBzAHMAaQBvAG4AcwBfAFMAbwB1AHIAYwBlAFwAbgAgACAAPQBMAEEATQBCAEQAQQAoAFwAIgBWAEUARQBSAEcAIAAyADAAMgA2ADoAIAA1AC4AMQAuADEALgAxACwAIABFAHEAdQBhAHQAaQBvAG4AIAAoADEAKQBcACIAKQA7AFwAbgBcAG4AVgBFAEUAUgBHAF8ANQBfADEAXwAxAF8AMQBfAF8AMQBfAEkAbgBvAHIAZwBhAG4AaQBjAEYAZQByAHQAaQBsAGkAcwBlAHIAQQBwAHAAbABpAGMAYQB0AGkAbwBuAE4AMgBPAEUAbQBpAHMAcwBpAG8AbgBzAF8ATgBJAFIAUgBlAGYAZQByAGUAbgBjAGUAXABuACAAIAA9AEwAQQBNAEIARABBACgAXAAiAFwAIgApADsAXABuAFwAbgBWAEUARQBSAEcAXwA1AF8AMQBfADEAXwAxAF8AXwAxAF8ASQBuAG8AcgBnAGEAbgBpAGMARgBlAHIAdABpAGwAaQBzAGUAcgBBAHAAcABsAGkAYwBhAHQAaQBvAG4ATgAyAE8ARQBtAGkAcwBzAGkAbwBuAHMAXwBMAGEAdABlAHgARQBxAHUAYQB0AGkAbwBuAFwAbgAgACAAPQBMAEEATQBCAEQAQQAoAFwAIgBFAF8AewBOADIATwB9AD0AXABcAHMAdQBtAF8AewBqAH0AXABcAHMAdQBtAF8AewBmAH0AKAAoAE0ATgBfAHsAagBmAH0AXABcAHQAaQBtAGUAcwAgAEUARgBfAHsAagAsAE4AMgBPAH0AXABcAHQAaQBtAGUAcwAgAEMAXwB7AE4AMgBPAH0AKQBcAFwAdABpAG0AZQBzACAAMQAwAF4AewAtADMAfQApAFwAIgApADsAXABuAFwAbgBWAEUARQBSAEcAXwA1AF8AMQBfADEAXwAxAF8AXwAxAF8ASQBuAG8AcgBnAGEAbgBpAGMARgBlAHIAdABpAGwAaQBzAGUAcgBBAHAAcABsAGkAYwBhAHQAaQBvAG4ATgAyAE8ARQBtAGkAcwBzAGkAbwBuAHMAXwBBAHIAZwB1AG0AZQBuAHQAcwBcAG4AIAAgAD0ATABBAE0AQgBEAEEAKABcAG4AIAAgACAAIABNAEEASwBFAEEAUgBSAEEAWQAoADc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HQAeQBwAGUAIABmACAAYQBwAHAAbABpAGUAZAAgAHQAbwAgAHAAcgBvAGQAdQBjAHQAaQBvAG4AIABzAHkAcwB0AGUAbQAgAGoAXAAiACwAIABcACIAawBnACAATgBcACIALAAgAFwAIgBDAGEAbABjAHUAbABhAHQAZQBkACAAZgByAG8AbQAgADUALgAxAC4AMQAuADEAIAAoADIAKQBcACIAOwBcAG4AIAAgACAAIAAgACAAIAAgACAAIABcACIARQBGAF8AagBOADIATwBcACIALABcACIAZQBtAGkAcwBzAGkAbwBuACAAZgBhAGMAdABvAHIAIABmAG8AcgAgAG4AaQB0AHIAbwB1AHMAIABvAHgAaQBkAGUAIABmAG8AcgAgAGkAbgBvAHIAZwBhAG4AaQBjACAAZgBlAHIAdABpAGwAaQBzAGUAcgBzAFwAIgAsACAAXAAiAGsAZwAgAE4AMgBPAC0ATgAvAGsAZwAgAE4AIABhAHAAcABsAGkAZQBk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VgBFAEUAUgBHAF8ANQBfADEAXwAxAF8AMQBfAF8AMQBfAEkAbgBvAHIAZwBhAG4AaQBjAEYAZQByAHQAaQBsAGkAcwBlAHIAQQBwAHAAbABpAGMAYQB0AGkAbwBuAE4AMgBPAEUAbQBpAHMAcwBpAG8AbgBzAF8AQQByAGcAdQBtAGUAbgB0AHMAXwBNAGUAdABoAG8AZAAyAFwAbgAgACAAPQBMAEEATQBCAEQAQQAoAFwAbgAgACAAIAAgAE0AQQBLAEUAQQBSAFIAQQBZACgAOAAsACAANAAsACAAXABuACAAIAAgACAAIAAgAEwAQQBNAEIARABBACgAcgAsAGMALAAgAFwAbgAgACAAIAAgACAAIAAgACAASQBOAEQARQBYACgAewBcAG4AIAAgACAAIAAgACAAIAAgACAAIABcACIATQBOAF8AagBmAFwAIgAsAFwAIgBtAGEAcwBzACAAbwBmACAAbgBpAHQAcgBvAGcAZQBuACAAaQBuACAAaQBuAG8AcgBnAGEAbgBpAGMAIABmAGUAcgB0AGkAbABpAHMAZQByACAAdAB5AHAAZQAgAGYAIABhAHAAcABsAGkAZQBkACAAdABvACAAcAByAG8AZAB1AGMAdABpAG8AbgAgAHMAeQBzAHQAZQBtACAAagBcACIALAAgAFwAIgBrAGcAIABOAFwAIgAsACAAXAAiAEMAYQBsAGMAdQBsAGEAdABlAGQAIABmAHIAbwBtACAANQAuADEALgAxAC4AMQAgACgAMgApAFwAIgA7AFwAbgAgACAAIAAgACAAIAAgACAAIAAgAFwAIgBFAEYAXwBqAE4AMgBPAFwAIgAsAFwAIgBlAG0AaQBzAHMAaQBvAG4AIABmAGEAYwB0AG8AcgAgAGYAbwByACAAbgBpAHQAcgBvAHUAcwAgAG8AeABpAGQAZQAgAGYAbwByACAAaQBuAG8AcgBnAGEAbgBpAGMAIABmAGUAcgB0AGkAbABpAHMAZQByAHMAXAAiACwAIABcACIAawBnACAATgAyAE8ALQBOAC8AawBnACAATgAgAGEAcABwAGwAaQBlAGQAXAAiACwAIABcACIAQwBhAGwAYwB1AGwAYQB0AGUAZAAgAGYAcgBvAG0AIAA1AC4AMQAuADEALgAyACAAKAAxACkAKAAyACkAKAAzACk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MAXAAiACwAXAAiAEMAcgBvAHAAIAB0AHkAcABlAFwAIgAsACAAXAAiAFwAIgAsACAAXAAiAEkAbgBwAHUAdABcACIAOwBcAG4AIAAgACAAIAAgACAAIAAgACAAIABcACIAZgBcACIALABcACIASQBuAG8AcgBnAGEAbgBpAGMAIABmAGUAcgB0AGkAbABpAHMAZQByACAAdAB5AHAAZQBcACIALAAgAFwAIgBcACIALAAgAFwAIgBDAG8AbgBzAHQAYQBuAHQAXAAiADsAXABuACAAIAAgACAAIAAgACAAIAAgACAAXAAiAGkAcgBcACIALAAgAFwAIgBpAHIAcgBpAGcAYQB0AGkAbwBuACAAbQBlAHQAaABvAGQAXAAiACwAIABcACIAXAAiACwAIABcACIASQBuAHAAdQB0AFwAIgA7AFwAbgAgACAAIAAgACAAIAAgACAAIAAgAFwAIgB6AFwAIgAsACAAXAAiAHIAYQBpAG4AZgBhAGwAbAAgAHoAbwBuAGU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EAXwAxAF8AMQBfAF8AMgBfAE0AYQBzAHMATwBmAE4AaQB0AHIAbwBnAGUAbgBJAG4ASQBuAG8AcgBnAGEAbgBpAGMARgBlAHIAdABpAGwAaQBzAGUAcgBcAG4ATQBhAHMAcwAgAG8AZgAgAG4AaQB0AHIAbwBnAGUAbgAgAGkAbgAgAGkAbgBvAHIAZwBhAG4AaQBjACAAZgBlAHIAdABpAGwAaQBzAGUAcgAgAGEAcABwAGwAaQBlAGQAIAB0AG8AIABwAHIAbwBkAHUAYwB0AGkAbwBuACAAcwB5AHMAdABlAG0AXABuAE0ATgBfAGoAZgBcAG4AawBnACAATgBcAG4AewBNAE4AfQBfAHsAagBmAH0APQBUAE0AXwB7AGoAZgB9AFwAXAB0AGkAbQBlAHMAIABGAE4AXwB7AGkAbgBvAHIAZwBhAG4AaQBjACwAZgB9AFwAbgBUAE0AXwBqAGYAXABuAEYATgBfAGkAbgBvAHIAZwBhAG4AaQBjAGYAXABuAGoAXABuAGkAbgBvAHIAZwBhAG4AaQBjAFwAbgBmAFwAbgAtAC0ALQAtAC0ALQAtAC0ALQAtAC0ALQAtAC0ALQAtAC0ALQAtAC0ALQAtAC0ALQAtAC0ALQAtAC0ALQAtAC0ALQAtAC0ALQAtAC0AXABuACoALwBcAG4AXABuAFYARQBFAFIARwBfADUAXwAxAF8AMQBfADEAXwBfADIAXwBNAGEAcwBzAE8AZgBOAGkAdAByAG8AZwBlAG4ASQBuAEkAbgBvAHIAZwBhAG4AaQBjAEYAZQByAHQAaQBsAGkAcwBlAHIAXABuACAAIAA9AEwAQQBNAEIARABBACgAXABuACAAIAAgACAAVABNAF8AagBmACwAIABGAE4AXwBpAG4AbwByAGcAYQBuAGkAYwBmACwAXABuACAAIAAgACAAVABNAF8AagBmACAAKgAgAEYATgBfAGkAbgBvAHIAZwBhAG4AaQBjAGYAXABuACAAIAApADsAXABuAFwAbgBWAEUARQBSAEcAXwA1AF8AMQBfADEAXwAxAF8AXwAyAF8ATQBhAHMAcwBPAGYATgBpAHQAcgBvAGcAZQBuAEkAbgBJAG4AbwByAGcAYQBuAGkAYwBGAGUAcgB0AGkAbABpAHMAZQByAF8AVABpAHQAbABlAFwAbgAgACAAPQBMAEEATQBCAEQAQQAoAFwAIgBNAGEAcwBzACAAbwBmACAAbgBpAHQAcgBvAGcAZQBuACAAaQBuACAAaQBuAG8AcgBnAGEAbgBpAGMAIABmAGUAcgB0AGkAbABpAHMAZQByACAAYQBwAHAAbABpAGUAZAAgAHQAbwAgAHAAcgBvAGQAdQBjAHQAaQBvAG4AIABzAHkAcwB0AGUAbQBcACIAKQA7AFwAbgBcAG4AVgBFAEUAUgBHAF8ANQBfADEAXwAxAF8AMQBfAF8AMgBfAE0AYQBzAHMATwBmAE4AaQB0AHIAbwBnAGUAbgBJAG4ASQBuAG8AcgBnAGEAbgBpAGMARgBlAHIAdABpAGwAaQBzAGUAcgBfAFYAYQByAGkAYQBiAGwAZQBcAG4AIAAgAD0ATABBAE0AQgBEAEEAKABcACIATQBOAF8AagBmAFwAIgApADsAXABuAFwAbgBWAEUARQBSAEcAXwA1AF8AMQBfADEAXwAxAF8AXwAyAF8ATQBhAHMAcwBPAGYATgBpAHQAcgBvAGcAZQBuAEkAbgBJAG4AbwByAGcAYQBuAGkAYwBGAGUAcgB0AGkAbABpAHMAZQByAF8AVQBuAGkAdABcAG4AIAAgAD0ATABBAE0AQgBEAEEAKABcACIAawBnACAATgBcACIAKQA7AFwAbgBcAG4AVgBFAEUAUgBHAF8ANQBfADEAXwAxAF8AMQBfAF8AMgBfAE0AYQBzAHMATwBmAE4AaQB0AHIAbwBnAGUAbgBJAG4ASQBuAG8AcgBnAGEAbgBpAGMARgBlAHIAdABpAGwAaQBzAGUAcgBfAFMAbwB1AHIAYwBlAFwAbgAgACAAPQBMAEEATQBCAEQAQQAoAFwAIgBWAEUARQBSAEcAIAAyADAAMgA2ADoAIAA1AC4AMQAuADEALgAxACwAIABFAHEAdQBhAHQAaQBvAG4AIAAoADIAKQBcACIAKQA7AFwAbgBcAG4AVgBFAEUAUgBHAF8ANQBfADEAXwAxAF8AMQBfAF8AMgBfAE0AYQBzAHMATwBmAE4AaQB0AHIAbwBnAGUAbgBJAG4ASQBuAG8AcgBnAGEAbgBpAGMARgBlAHIAdABpAGwAaQBzAGUAcgBfAE4ASQBSAFIAZQBmAGUAcgBlAG4AYwBlAFwAbgAgACAAPQBMAEEATQBCAEQAQQAoAFwAIgBcACIAKQA7AFwAbgBcAG4AVgBFAEUAUgBHAF8ANQBfADEAXwAxAF8AMQBfAF8AMgBfAE0AYQBzAHMATwBmAE4AaQB0AHIAbwBnAGUAbgBJAG4ASQBuAG8AcgBnAGEAbgBpAGMARgBlAHIAdABpAGwAaQBzAGUAcgBfAEwAYQB0AGUAeABFAHEAdQBhAHQAaQBvAG4AXABuACAAIAA9AEwAQQBNAEIARABBACgAXAAiAHsATQBOAH0AXwB7AGoAZgB9AD0AVABNAF8AewBqAGYAfQBcAFwAdABpAG0AZQBzACAARgBOAF8AewBpAG4AbwByAGcAYQBuAGkAYwAsAGYAfQBcACIAKQA7AFwAbgBcAG4AVgBFAEUAUgBHAF8ANQBfADEAXwAxAF8AMQBfAF8AMgBfAE0AYQBzAHMATwBmAE4AaQB0AHIAbwBnAGUAbgBJAG4ASQBuAG8AcgBnAGEAbgBpAGMARgBlAHIAdABpAGwAaQBzAGUAcgBfAEEAcgBnAHUAbQBlAG4AdABzAFwAbgAgACAAPQBMAEEATQBCAEQAQQAoAFwAbgAgACAAIAAgAE0AQQBLAEUAQQBSAFIAQQBZACgAMgAsACAANAAsACAAXABuACAAIAAgACAAIAAgAEwAQQBNAEIARABBACgAcgAsAGMALAAgAFwAbgAgACAAIAAgACAAIAAgACAASQBOAEQARQBYACgAewBcAG4AIAAgACAAIAAgACAAIAAgACAAIABcACIAVABNAF8AagBmAFwAIgAsAFwAIgB0AG8AdABhAGwAIABtAGEAcwBzACAAbwBmACAAaQBuAG8AcgBnAGEAbgBpAGMAIABmAGUAcgB0AGkAbABpAHMAZQByACAAdAB5AHAAZQAgAGYAIABhAHAAcABsAGkAZQBkACAAdABvACAAcAByAG8AZAB1AGMAdABpAG8AbgAgAHMAeQBzAHQAZQBtACAAagBcACIALAAgAFwAIgBrAGcAXAAiACwAIABcACIASQBuAHAAdQB0AFwAIgA7AFwAbgAgACAAIAAgACAAIAAgACAAIAAgAFwAIgBGAE4AXwBpAG4AbwByAGcAYQBuAGkAYwBmAFwAIgAsAFwAIgBmAHIAYQBjAHQAaQBvAG4AIABvAGYAIABuAGkAdAByAG8AZwBlAG4AIABpAG4AIABpAG4AbwByAGcAYQBuAGkAYwAgAGYAZQByAHQAaQBsAGkAcwBlAHIAIAB0AHkAcABlACAAZgAgAFwAIgAsACAAXAAiAGsAZwAgAE4ALwBrAGc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xAF8AMQBfADIAXwBfADEAXwBFAG0AaQBzAHMAaQBvAG4ARgBhAGMAdABvAHIASQByAHIAaQBnAGEAdABlAGQATQBhAGkAegBlAFwAbgBFAG0AaQBzAHMAaQBvAG4AIABmAGEAYwB0AG8AcgAgAGYAbwByACAAbgBpAHQAcgBvAHUAcwAgAG8AeABpAGQAZQAgAGYAbwByACAAaQByAHIAaQBnAGEAdABlAGQAIABtAGEAaQB6AGUAXABuAEUARgBfAGYAagBJAHIAcgBpAGcAYQB0AGUAZABNAGEAaQB6AGUATgAyAE8AXABuAGsAZwAgAE4AMgBPAC0ATgAvAGsAZwAgAE4AIABhAHAAcABsAGkAZQBkAFwAbgBFAEYAXwB7AGYAagA9AGkAcgByAGkAZwBhAHQAZQBkAG0AYQBpAHoAZQAsAE4AMgBPAH0APQAoAC0AMAAuADEANAA3ADQAKwAoADAALgAwADAANgAxAFwAXAB0AGkAbQBlAHMAIABOAF8AewBmAGoAPQBpAHIAcgBpAGcAYQB0AGUAZABtAGEAaQB6AGUAfQApACkAXABcAHQAaQBtAGUAcwAgADEAMABeAHsALQAyAH0AXABuAE4AXwBmAGoASQByAHIAaQBnAGEAdABlAGQATQBhAGkAegBlAFwAbgBmAFwAbgAtAC0ALQAtAC0ALQAtAC0ALQAtAC0ALQAtAC0ALQAtAC0ALQAtAC0ALQAtAC0ALQAtAC0ALQAtAC0ALQAtAC0ALQAtAC0ALQAtAC0AXABuACoALwBcAG4AXABuAFYARQBFAFIARwBfADUAXwAxAF8AMQBfADIAXwBfADEAXwBFAG0AaQBzAHMAaQBvAG4ARgBhAGMAdABvAHIASQByAHIAaQBnAGEAdABlAGQATQBhAGkAegBlAFwAbgAgACAAPQBMAEEATQBCAEQAQQAoAFwAbgAgACAAIAAgAE4AXwBmAGoASQByAHIAaQBnAGEAdABlAGQATQBhAGkAegBlACwAXABuACAAIAAgACAAKAAtADAALgAxADQANwA0ACAAKwAgACgAMAAuADAAMAA2ADEAIAAqACAATgBfAGYAagBJAHIAcgBpAGcAYQB0AGUAZABNAGEAaQB6AGUAKQApACAAKgAgADEAMAAgAF4AIAAtADIAXABuACAAIAApADsAXABuAFwAbgBWAEUARQBSAEcAXwA1AF8AMQBfADEAXwAyAF8AXwAxAF8ARQBtAGkAcwBzAGkAbwBuAEYAYQBjAHQAbwByAEkAcgByAGkAZwBhAHQAZQBkAE0AYQBpAHoAZQBfAFQAaQB0AGwAZQBcAG4AIAAgAD0ATABBAE0AQgBEAEEAKABcACIARQBtAGkAcwBzAGkAbwBuACAAZgBhAGMAdABvAHIAIABmAG8AcgAgAG4AaQB0AHIAbwB1AHMAIABvAHgAaQBkAGUAIABmAG8AcgAgAGkAcgByAGkAZwBhAHQAZQBkACAAbQBhAGkAegBlAFwAIgApADsAXABuAFwAbgBWAEUARQBSAEcAXwA1AF8AMQBfADEAXwAyAF8AXwAxAF8ARQBtAGkAcwBzAGkAbwBuAEYAYQBjAHQAbwByAEkAcgByAGkAZwBhAHQAZQBkAE0AYQBpAHoAZQBfAFYAYQByAGkAYQBiAGwAZQBcAG4AIAAgAD0ATABBAE0AQgBEAEEAKABcACIARQBGAF8AZgBqAEkAcgByAGkAZwBhAHQAZQBkAE0AYQBpAHoAZQBOADIATwBcACIAKQA7AFwAbgBcAG4AVgBFAEUAUgBHAF8ANQBfADEAXwAxAF8AMgBfAF8AMQBfAEUAbQBpAHMAcwBpAG8AbgBGAGEAYwB0AG8AcgBJAHIAcgBpAGcAYQB0AGUAZABNAGEAaQB6AGUAXwBVAG4AaQB0AFwAbgAgACAAPQBMAEEATQBCAEQAQQAoAFwAIgBrAGcAIABOADIATwAtAE4ALwBrAGcAIABOACAAYQBwAHAAbABpAGUAZABcACIAKQA7AFwAbgBcAG4AVgBFAEUAUgBHAF8ANQBfADEAXwAxAF8AMgBfAF8AMQBfAEUAbQBpAHMAcwBpAG8AbgBGAGEAYwB0AG8AcgBJAHIAcgBpAGcAYQB0AGUAZABNAGEAaQB6AGUAXwBTAG8AdQByAGMAZQBcAG4AIAAgAD0ATABBAE0AQgBEAEEAKABcACIAVgBFAEUAUgBHACAAMgAwADIANgA6ACAANQAuADEALgAxAC4AMgAsACAARQBxAHUAYQB0AGkAbwBuACAAKAAxACkAXAAiACkAOwBcAG4AXABuAFYARQBFAFIARwBfADUAXwAxAF8AMQBfADIAXwBfADEAXwBFAG0AaQBzAHMAaQBvAG4ARgBhAGMAdABvAHIASQByAHIAaQBnAGEAdABlAGQATQBhAGkAegBlAF8ATgBJAFIAUgBlAGYAZQByAGUAbgBjAGUAXABuACAAIAA9AEwAQQBNAEIARABBACgAXAAiAFwAIgApADsAXABuAFwAbgBWAEUARQBSAEcAXwA1AF8AMQBfADEAXwAyAF8AXwAxAF8ARQBtAGkAcwBzAGkAbwBuAEYAYQBjAHQAbwByAEkAcgByAGkAZwBhAHQAZQBkAE0AYQBpAHoAZQBfAEwAYQB0AGUAeABFAHEAdQBhAHQAaQBvAG4AXABuACAAIAA9AEwAQQBNAEIARABBACgAXAAiAEUARgBfAHsAZgBqAD0AaQByAHIAaQBnAGEAdABlAGQAbQBhAGkAegBlACwATgAyAE8AfQA9ACgALQAwAC4AMQA0ADcANAArACgAMAAuADAAMAA2ADEAXABcAHQAaQBtAGUAcwAgAE4AXwB7AGYAagA9AGkAcgByAGkAZwBhAHQAZQBkAG0AYQBpAHoAZQB9ACkAKQBcAFwAdABpAG0AZQBzACAAMQAwAF4AewAtADIAfQBcACIAKQA7AFwAbgBcAG4AVgBFAEUAUgBHAF8ANQBfADEAXwAxAF8AMgBfAF8AMQBfAEUAbQBpAHMAcwBpAG8AbgBGAGEAYwB0AG8AcgBJAHIAcgBpAGcAYQB0AGUAZABNAGEAaQB6AGUAXwBBAHIAZwB1AG0AZQBuAHQAcwBcAG4AIAAgAD0ATABBAE0AQgBEAEEAKABcAG4AIAAgACAAIABNAEEASwBFAEEAUgBSAEEAWQAoADIALAAgADQALAAgAFwAbgAgACAAIAAgACAAIABMAEEATQBCAEQAQQAoAHIALABjACwAIABcAG4AIAAgACAAIAAgACAAIAAgAEkATgBEAEUAWAAoAHsAXABuACAAIAAgACAAIAAgACAAIAAgACAAXAAiAE4AXwBmAGoASQByAHIAaQBnAGEAdABlAGQATQBhAGkAegBlAFwAIgAsAFwAIgBhAHAAcABsAGkAYwBhAHQAaQBvAG4AIAByAGEAdABlACAAbwBmACAAaQBuAG8AcgBnAGEAbgBpAGMAIABmAGUAcgB0AGkAbABpAHMAZQByACAAdAB5AHAAZQAgAGYAIABpAG4AIAB0AGgAZQAgAGkAcgByAGkAZwBhAHQAZQBkACAAbQBhAGkAegBl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yAF8ARQBtAGkAcwBzAGkAbwBuAEYAYQBjAHQAbwByAE4AbwBuAEkAcgByAGkAZwBhAHQAZQBkAEcAcgBhAGkAbgBzAEgAaQBnAGgAUgBhAGkAbgBmAGEAbABsAFwAbgBFAG0AaQBzAHMAaQBvAG4AIABmAGEAYwB0AG8AcgAgAGYAbwByACAAbgBpAHQAcgBvAHUAcwAgAG8AeABpAGQAZQAgAGYAbwByACAAbgBvAG4ALQBpAHIAcgBpAGcAYQB0AGUAZAAgAGcAcgBhAGkAbgBzACAAaQBuACAAaABpAGcAaAAgAHIAYQBpAG4AZgBhAGwAbAAgAHoAbwBuAGUAXABuAEUARgBfAGYAagBOAG8AbgBJAHIAcgBpAGcAYQB0AGUAZABHAHIAYQBpAG4AcwBOADIATwBcAG4AawBnACAATgAyAE8ALQBOAC8AawBnACAATgAgAGEAcABwAGwAaQBlAGQAXABuAEUARgBfAHsAZgBqAD0AbgBvAG4AaQByAHIAaQBnAGEAdABlAGQAZwByAGEAaQBuAHMALABOADIATwB9AD0AKAAwAC4AMAA3ADgAMQArACgAMAAuADAAMAA3ADUAXABcAHQAaQBtAGUAcwAgAE4AXwB7AGYAagA9AG4AbwBuAGkAcgByAGkAZwBhAHQAZQBkAGcAcgBhAGkAbgBzAH0AKQApAFwAXAB0AGkAbQBlAHMAIAAxADAAXgB7AC0AMgB9AFwAbgBOAF8AZgBqAE4AbwBuAEkAcgByAGkAZwBhAHQAZQBkAEcAcgBhAGkAbgBzAFwAbgBmAFwAbgAtAC0ALQAtAC0ALQAtAC0ALQAtAC0ALQAtAC0ALQAtAC0ALQAtAC0ALQAtAC0ALQAtAC0ALQAtAC0ALQAtAC0ALQAtAC0ALQAtAC0AXABuACoALwBcAG4AXABuAFYARQBFAFIARwBfADUAXwAxAF8AMQBfADIAXwBfADIAXwBFAG0AaQBzAHMAaQBvAG4ARgBhAGMAdABvAHIATgBvAG4ASQByAHIAaQBnAGEAdABlAGQARwByAGEAaQBuAHMASABpAGcAaABSAGEAaQBuAGYAYQBsAGwAXABuACAAIAA9AEwAQQBNAEIARABBACgAXABuACAAIAAgACAATgBfAGYAagBOAG8AbgBJAHIAcgBpAGcAYQB0AGUAZABHAHIAYQBpAG4AcwAsAFwAbgAgACAAIAAgACgAMAAuADAANwA4ADEAIAArACAAKAAwAC4AMAAwADcANQAgACoAIABOAF8AZgBqAE4AbwBuAEkAcgByAGkAZwBhAHQAZQBkAEcAcgBhAGkAbgBzACkAKQAgACoAIAAxADAAIABeACAALQAyAFwAbgAgACAAKQA7AFwAbgBcAG4AVgBFAEUAUgBHAF8ANQBfADEAXwAxAF8AMgBfAF8AMgBfAEUAbQBpAHMAcwBpAG8AbgBGAGEAYwB0AG8AcgBOAG8AbgBJAHIAcgBpAGcAYQB0AGUAZABHAHIAYQBpAG4AcwBIAGkAZwBoAFIAYQBpAG4AZgBhAGwAbABfAFQAaQB0AGwAZQBcAG4AIAAgAD0ATABBAE0AQgBEAEEAKABcACIARQBtAGkAcwBzAGkAbwBuACAAZgBhAGMAdABvAHIAIABmAG8AcgAgAG4AaQB0AHIAbwB1AHMAIABvAHgAaQBkAGUAIABmAG8AcgAgAG4AbwBuAC0AaQByAHIAaQBnAGEAdABlAGQAIABnAHIAYQBpAG4AcwAgAGkAbgAgAGgAaQBnAGgAIAByAGEAaQBuAGYAYQBsAGwAIAB6AG8AbgBlAFwAIgApADsAXABuAFwAbgBWAEUARQBSAEcAXwA1AF8AMQBfADEAXwAyAF8AXwAyAF8ARQBtAGkAcwBzAGkAbwBuAEYAYQBjAHQAbwByAE4AbwBuAEkAcgByAGkAZwBhAHQAZQBkAEcAcgBhAGkAbgBzAEgAaQBnAGgAUgBhAGkAbgBmAGEAbABsAF8AVgBhAHIAaQBhAGIAbABlAFwAbgAgACAAPQBMAEEATQBCAEQAQQAoAFwAIgBFAEYAXwBmAGoATgBvAG4ASQByAHIAaQBnAGEAdABlAGQARwByAGEAaQBuAHMATgAyAE8AXAAiACkAOwBcAG4AXABuAFYARQBFAFIARwBfADUAXwAxAF8AMQBfADIAXwBfADIAXwBFAG0AaQBzAHMAaQBvAG4ARgBhAGMAdABvAHIATgBvAG4ASQByAHIAaQBnAGEAdABlAGQARwByAGEAaQBuAHMASABpAGcAaABSAGEAaQBuAGYAYQBsAGwAXwBVAG4AaQB0AFwAbgAgACAAPQBMAEEATQBCAEQAQQAoAFwAIgBrAGcAIABOADIATwAtAE4ALwBrAGcAIABOACAAYQBwAHAAbABpAGUAZABcACIAKQA7AFwAbgBcAG4AVgBFAEUAUgBHAF8ANQBfADEAXwAxAF8AMgBfAF8AMgBfAEUAbQBpAHMAcwBpAG8AbgBGAGEAYwB0AG8AcgBOAG8AbgBJAHIAcgBpAGcAYQB0AGUAZABHAHIAYQBpAG4AcwBIAGkAZwBoAFIAYQBpAG4AZgBhAGwAbABfAFMAbwB1AHIAYwBlAFwAbgAgACAAPQBMAEEATQBCAEQAQQAoAFwAIgBWAEUARQBSAEcAIAAyADAAMgA2ADoAIAA1AC4AMQAuADEALgAyACwAIABFAHEAdQBhAHQAaQBvAG4AIAAoADIAKQBcACIAKQA7AFwAbgBcAG4AVgBFAEUAUgBHAF8ANQBfADEAXwAxAF8AMgBfAF8AMgBfAEUAbQBpAHMAcwBpAG8AbgBGAGEAYwB0AG8AcgBOAG8AbgBJAHIAcgBpAGcAYQB0AGUAZABHAHIAYQBpAG4AcwBIAGkAZwBoAFIAYQBpAG4AZgBhAGwAbABfAE4ASQBSAFIAZQBmAGUAcgBlAG4AYwBlAFwAbgAgACAAPQBMAEEATQBCAEQAQQAoAFwAIgBcACIAKQA7AFwAbgBcAG4AVgBFAEUAUgBHAF8ANQBfADEAXwAxAF8AMgBfAF8AMgBfAEUAbQBpAHMAcwBpAG8AbgBGAGEAYwB0AG8AcgBOAG8AbgBJAHIAcgBpAGcAYQB0AGUAZABHAHIAYQBpAG4AcwBIAGkAZwBoAFIAYQBpAG4AZgBhAGwAbABfAEwAYQB0AGUAeABFAHEAdQBhAHQAaQBvAG4AXABuACAAIAA9AEwAQQBNAEIARABBACgAXAAiAEUARgBfAHsAZgBqAD0AbgBvAG4AaQByAHIAaQBnAGEAdABlAGQAZwByAGEAaQBuAHMALABOADIATwB9AD0AKAAwAC4AMAA3ADgAMQArACgAMAAuADAAMAA3ADUAXABcAHQAaQBtAGUAcwAgAE4AXwB7AGYAagA9AG4AbwBuAGkAcgByAGkAZwBhAHQAZQBkAGcAcgBhAGkAbgBzAH0AKQApAFwAXAB0AGkAbQBlAHMAIAAxADAAXgB7AC0AMgB9AFwAIgApADsAXABuAFwAbgBWAEUARQBSAEcAXwA1AF8AMQBfADEAXwAyAF8AXwAyAF8ARQBtAGkAcwBzAGkAbwBuAEYAYQBjAHQAbwByAE4AbwBuAEkAcgByAGkAZwBhAHQAZQBkAEcAcgBhAGkAbgBzAEgAaQBnAGgAUgBhAGkAbgBmAGEAbABsAF8AQQByAGcAdQBtAGUAbgB0AHMAXABuACAAIAA9AEwAQQBNAEIARABBACgAXABuACAAIAAgACAATQBBAEsARQBBAFIAUgBBAFkAKAAyACwAIAA0ACwAIABcAG4AIAAgACAAIAAgACAATABBAE0AQgBEAEEAKAByACwAYwAsACAAXABuACAAIAAgACAAIAAgACAAIABJAE4ARABFAFgAKAB7AFwAbgAgACAAIAAgACAAIAAgACAAIAAgAFwAIgBOAF8AZgBqAE4AbwBuAEkAcgByAGkAZwBhAHQAZQBkAEcAcgBhAGkAbgBzAFwAIgAsAFwAIgBhAHAAcABsAGkAYwBhAHQAaQBvAG4AIAByAGEAdABlACAAbwBmACAAaQBuAG8AcgBnAGEAbgBpAGMAIABmAGUAcgB0AGkAbABpAHMAZQByACAAdAB5AHAAZQAgAGYAIABpAG4AIAB0AGgAZQAgAGcAcgBhAGkAbgBzACAAYwByAG8AcABcACIALAAgAFwAIgBrAGcAIABOAC8AaABhAFwAIgAsACAAXAAiAEkAbgBwAHUAdABcACIAOwBcAG4AIAAgACAAIAAgACAAIAAgACAAIABcACIAZgBcACIALABcACIASQBuAG8AcgBnAGEAbgBpAGMAIABmAGUAcgB0AGkAbABpAHMAZQByACAAdAB5AHAAZ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1AF8AMQBfADEAXwAyAF8AXwAzAF8ARQBtAGkAcwBzAGkAbwBuAEYAYQBjAHQAbwByAEMAbwB0AHQAbwBuAFwAbgBFAG0AaQBzAHMAaQBvAG4AIABmAGEAYwB0AG8AcgAgAGYAbwByACAAbgBpAHQAcgBvAHUAcwAgAG8AeABpAGQAZQAgAGYAbwByACAAYwBvAHQAdABvAG4AXABuAEUARgBfAGYAagBDAG8AdAB0AG8AbgBOADIATwBcAG4AawBnACAATgAyAE8ALQBOAC8AawBnACAATgAgAGEAcABwAGwAaQBlAGQAXABuAEUARgBfAHsAZgBqAD0AYwBvAHQAdABvAG4ALABOADIATwB9AD0AXABcAG0AaQBuAFwAXABsAGUAZgB0ACgAKAAwAC4AMAAxAFwAXAB0AGkAbQBlAHMAKAAwAC4AMgA5ACsAMAAuADAAMAA3AFwAXAB0AGkAbQBlAHMAKAAoAGUAXgB7ACgAMAAuADAAMwA3AFwAXAB0AGkAbQBlAHMAIABOAF8AewBmAGoAPQBjAG8AdAB0AG8AbgB9ACkAfQAtADEAKQAvAE4AXwB7AGYAagA9AGMAbwB0AHQAbwBuAH0AKQApACkAXABcAHQAaQBtAGUAcwAgADEAMABeAHsALQAyAH0ALAAwAC4AMAAxADgAMwBcAFwAcgBpAGcAaAB0ACkAXABuAE4AXwBmAGoAQwBvAHQAdABvAG4AXABuAGYAXABuAC0ALQAtAC0ALQAtAC0ALQAtAC0ALQAtAC0ALQAtAC0ALQAtAC0ALQAtAC0ALQAtAC0ALQAtAC0ALQAtAC0ALQAtAC0ALQAtAC0ALQBcAG4AKgAvAFwAbgBcAG4AVgBFAEUAUgBHAF8ANQBfADEAXwAxAF8AMgBfAF8AMwBfAEUAbQBpAHMAcwBpAG8AbgBGAGEAYwB0AG8AcgBDAG8AdAB0AG8AbgBcAG4AIAAgAD0ATABBAE0AQgBEAEEAKABcAG4AIAAgACAAIABOAF8AZgBqAEMAbwB0AHQAbwBuACwAXABuACAAIAAgACAAKAAwAC4AMAAxACAAKgAgACgAMAAuADIAOQAgACsAIAAoACAAIAAoADAALgAwADAANwAgACoAIAAoAEUAWABQACgAMAAuADAAMwA3ACAAKgAgAE4AXwBmAGoAQwBvAHQAdABvAG4AKQAgAC0AIAAxACkAKQAgAC8AIABOAF8AZgBqAEMAbwB0AHQAbwBuACAAIAApACAAKQApACAAKgAgADEAMAAgAF4AIAAtADIAXABuACAAIAApADsAXABuAFwAbgBWAEUARQBSAEcAXwA1AF8AMQBfADEAXwAyAF8AXwAzAF8ARQBtAGkAcwBzAGkAbwBuAEYAYQBjAHQAbwByAEMAbwB0AHQAbwBuAF8AVABpAHQAbABlAFwAbgAgACAAPQBMAEEATQBCAEQAQQAoAFwAIgBFAG0AaQBzAHMAaQBvAG4AIABmAGEAYwB0AG8AcgAgAGYAbwByACAAbgBpAHQAcgBvAHUAcwAgAG8AeABpAGQAZQAgAGYAbwByACAAYwBvAHQAdABvAG4AXAAiACkAOwBcAG4AXABuAFYARQBFAFIARwBfADUAXwAxAF8AMQBfADIAXwBfADMAXwBFAG0AaQBzAHMAaQBvAG4ARgBhAGMAdABvAHIAQwBvAHQAdABvAG4AXwBWAGEAcgBpAGEAYgBsAGUAXABuACAAIAA9AEwAQQBNAEIARABBACgAXAAiAEUARgBfAGYAagBDAG8AdAB0AG8AbgBOADIATwBcACIAKQA7AFwAbgBcAG4AVgBFAEUAUgBHAF8ANQBfADEAXwAxAF8AMgBfAF8AMwBfAEUAbQBpAHMAcwBpAG8AbgBGAGEAYwB0AG8AcgBDAG8AdAB0AG8AbgBfAFUAbgBpAHQAXABuACAAIAA9AEwAQQBNAEIARABBACgAXAAiAGsAZwAgAE4AMgBPAC0ATgAvAGsAZwAgAE4AIABhAHAAcABsAGkAZQBkAFwAIgApADsAXABuAFwAbgBWAEUARQBSAEcAXwA1AF8AMQBfADEAXwAyAF8AXwAzAF8ARQBtAGkAcwBzAGkAbwBuAEYAYQBjAHQAbwByAEMAbwB0AHQAbwBuAF8AUwBvAHUAcgBjAGUAXABuACAAIAA9AEwAQQBNAEIARABBACgAXAAiAFYARQBFAFIARwAgADIAMAAyADYAOgAgADUALgAxAC4AMQAuADIALAAgAEUAcQB1AGEAdABpAG8AbgAgACgAMwApAFwAIgApADsAXABuAFwAbgBWAEUARQBSAEcAXwA1AF8AMQBfADEAXwAyAF8AXwAzAF8ARQBtAGkAcwBzAGkAbwBuAEYAYQBjAHQAbwByAEMAbwB0AHQAbwBuAF8ATgBJAFIAUgBlAGYAZQByAGUAbgBjAGUAXABuACAAIAA9AEwAQQBNAEIARABBACgAXAAiAFwAIgApADsAXABuAFwAbgBWAEUARQBSAEcAXwA1AF8AMQBfADEAXwAyAF8AXwAzAF8ARQBtAGkAcwBzAGkAbwBuAEYAYQBjAHQAbwByAEMAbwB0AHQAbwBuAF8ATABhAHQAZQB4AEUAcQB1AGEAdABpAG8AbgBcAG4AIAAgAD0ATABBAE0AQgBEAEEAKABcACIARQBGAF8AewBmAGoAPQBjAG8AdAB0AG8AbgAsAE4AMgBPAH0APQAoADAALgAwADEAIABcAFwAdABpAG0AZQBzACAAKAAwAC4AMgA5ACAAKwAgAFwAXABmAHIAYQBjAHsAMAAuADAAMAA3ACgAZQBeAHsAMAAuADAAMwA3ACAAXABcAHQAaQBtAGUAcwAgAE4AXwB7AGYAagA9AGMAbwB0AHQAbwBuAH0AfQAtADEAKQB9AHsATgBfAHsAZgBqAD0AYwBvAHQAdABvAG4AfQB9ACkAKQAgAFwAXAB0AGkAbQBlAHMAIAAxADAAXgB7AC0AMgB9AFwAbgBcACIAKQA7AFwAbgBcAG4AVgBFAEUAUgBHAF8ANQBfADEAXwAxAF8AMgBfAF8AMwBfAEUAbQBpAHMAcwBpAG8AbgBGAGEAYwB0AG8AcgBDAG8AdAB0AG8AbgBfAEEAcgBnAHUAbQBlAG4AdABzAFwAbgAgACAAPQBMAEEATQBCAEQAQQAoAFwAbgAgACAAIAAgAE0AQQBLAEUAQQBSAFIAQQBZACgAMgAsACAANAAsACAAXABuACAAIAAgACAAIAAgAEwAQQBNAEIARABBACgAcgAsAGMALAAgAFwAbgAgACAAIAAgACAAIAAgACAASQBOAEQARQBYACgAewBcAG4AIAAgACAAIAAgACAAIAAgACAAIABcACIATgBfAGYAagBDAG8AdAB0AG8AbgBcACIALABcACIAYQBwAHAAbABpAGMAYQB0AGkAbwBuACAAcgBhAHQAZQAgAG8AZgAgAGkAbgBvAHIAZwBhAG4AaQBjACAAZgBlAHIAdABpAGwAaQBzAGUAcgAgAHQAeQBwAGUAIABmACAAaQBuACAAdABoAGUAIABjAG8AdAB0AG8AbgAgAGMAcgBvAHAAXAAiACwAIABcACIAawBnACAATgAvAGgAYQBcACIALAAgAFwAIgBJAG4AcAB1AHQAXAAiADsAXABuACAAIAAgACAAIAAgACAAIAAgACAAXAAiAGYAXAAiACwAXAAiAEkAbgBvAHIAZwBhAG4AaQBjACAAZgBlAHIAdABpAGwAaQBzAGUAcgAgAHQAeQBwAGUAXAAiACwAIABcACIAXAAiACwAIABcACIAQwBvAG4AcwB0AGEAbgB0AFwAIgBcAG4AIAAgACAAIAAgACAAIAAgAH0ALAAgAHIALAAgAGMAKQBcAG4AIAAgACAAIAAgACAAKQBcAG4AIAAgACAAIAApAFwAbgAgACAAKQA7AFwAbgBcAG4AIgB9ACwAewAiAHAAYQB0AGgAIgA6ACIALwBwAHIAbwBqAGUAYwB0AHMALwBGAGUAcgB0AGkAbABpAHMAZQByAF8ARQBxAHUAYQB0AGkAbwBuAHMAXwBJAG4AbwByAGcAYQBuAGkAYwBDAE8AMgAiACwAIgB0AGUAeAB0ACIAOgAiAC8AKgBcAG4APQA9AD0APQA9AD0APQA9AD0APQA9AD0APQA9AD0APQA9AD0APQA9AD0APQA9AD0APQA9AD0APQA9AD0APQA9AD0APQA9AD0APQA9AFwAbgA1ADoAIABGAGUAcgB0AGkAbABpAHMAZQByACAAVQBzAGUAXABuAD0APQA9AD0APQA9AD0APQA9AD0APQA9AD0APQA9AD0APQA9AD0APQA9AD0APQA9AD0APQA9AD0APQA9AD0APQA9AD0APQA9AD0APQBcAG4ANQAuADEAIABJAG4Ab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EAXwAxAF8AMwBfAF8AMQBfAEkAbgBvAHIAZwBhAG4AaQBjAEYAZQByAHQAaQBsAGkAcwBlAHIAQQBwAHAAbABpAGMAYQB0AGkAbwBuAEMATwAyAEUAbQBpAHMAcwBpAG8AbgBzAFwAbgBDAGEAcgBiAG8AbgAgAGQAaQBvAHgAaQBkAGUAIABlAG0AaQBzAHMAaQBvAG4AcwAgAHIAZQBzAHUAbAB0AGkAbgBnACAAZgByAG8AbQAgAHQAaABlACAAdQBzAGUAIABvAGYAIABhAGwAbAAgAGkAbgBvAHIAZwBhAG4AaQBjACwAIAB1AHIAZQBhAC0AYgBhAHMAZQBkACAAZgBlAHIAdABpAGwAaQBzAGUAcgBzAFwAbgBFAF8AQwBPADIAXABuAHQAIABDAE8AMgBcAG4ARQBfAHsAQwBPADIAfQA9AFwAXABzAHUAbQBfAHsAagB9AFwAXABzAHUAbQBfAHsAZgB9ACgAKABNAFUAXwB7AGoAZgB9AFwAXAB0AGkAbQBlAHMAIABFAEYAXwB7AHUAcgBlAGEALABDAE8AMgB9AFwAXAB0AGkAbQBlAHMAIABDAF8AewBDAE8AMgB9ACkAXABcAHQAaQBtAGUAcwAgADEAMABeAHsALQAzAH0AKQBcAG4ATQBVAF8AagBmAFwAbgBFAEYAXwB1AHIAZQBhAEMATwAyAFwAbgBDAF8AQwBPADIAXABuAGoAXABuAGYAXABuAC0ALQAtAC0ALQAtAC0ALQAtAC0ALQAtAC0ALQAtAC0ALQAtAC0ALQAtAC0ALQAtAC0ALQAtAC0ALQAtAC0ALQAtAC0ALQAtAC0ALQBcAG4AKgAvAFwAbgBcAG4AVgBFAEUAUgBHAF8ANQBfADEAXwAxAF8AMwBfAF8AMQBfAEkAbgBvAHIAZwBhAG4AaQBjAEYAZQByAHQAaQBsAGkAcwBlAHIAQQBwAHAAbABpAGMAYQB0AGkAbwBuAEMATwAyAEUAbQBpAHMAcwBpAG8AbgBzAFwAbgAgACAAPQBMAEEATQBCAEQAQQAoAFwAbgAgACAAIAAgAE0AVQBfAGoAZgAsACAARQBGAF8AdQByAGUAYQBDAE8AMgAsACAAQwBfAEMATwAyACwAXABuACAAIAAgACAAKABNAFUAXwBqAGYAIAAqACAARQBGAF8AdQByAGUAYQBDAE8AMgAgACoAIABDAF8AQwBPADIAKQAgACoAIAAxADAAIABeACAALQAzAFwAbgAgACAAKQA7AFwAbgBcAG4AVgBFAEUAUgBHAF8ANQBfADEAXwAxAF8AMwBfAF8AMQBfAEkAbgBvAHIAZwBhAG4AaQBjAEYAZQByAHQAaQBsAGkAcwBlAHIAQQBwAHAAbABpAGMAYQB0AGkAbwBuAEMATwAyAEUAbQBpAHMAcwBpAG8AbgBzAF8AVABpAHQAbABlAFwAbgAgACAAPQBMAEEATQBCAEQAQQAoAFwAIgBDAGEAcgBiAG8AbgAgAGQAaQBvAHgAaQBkAGUAIABlAG0AaQBzAHMAaQBvAG4AcwAgAHIAZQBzAHUAbAB0AGkAbgBnACAAZgByAG8AbQAgAHQAaABlACAAdQBzAGUAIABvAGYAIABhAGwAbAAgAGkAbgBvAHIAZwBhAG4AaQBjACwAIAB1AHIAZQBhAC0AYgBhAHMAZQBkACAAZgBlAHIAdABpAGwAaQBzAGUAcgBzAFwAIgApADsAXABuAFwAbgBWAEUARQBSAEcAXwA1AF8AMQBfADEAXwAzAF8AXwAxAF8ASQBuAG8AcgBnAGEAbgBpAGMARgBlAHIAdABpAGwAaQBzAGUAcgBBAHAAcABsAGkAYwBhAHQAaQBvAG4AQwBPADIARQBtAGkAcwBzAGkAbwBuAHMAXwBWAGEAcgBpAGEAYgBsAGUAXABuACAAIAA9AEwAQQBNAEIARABBACgAXAAiAEUAXwBDAE8AMgBcACIAKQA7AFwAbgBcAG4AVgBFAEUAUgBHAF8ANQBfADEAXwAxAF8AMwBfAF8AMQBfAEkAbgBvAHIAZwBhAG4AaQBjAEYAZQByAHQAaQBsAGkAcwBlAHIAQQBwAHAAbABpAGMAYQB0AGkAbwBuAEMATwAyAEUAbQBpAHMAcwBpAG8AbgBzAF8AVQBuAGkAdABcAG4AIAAgAD0ATABBAE0AQgBEAEEAKABcACIAdAAgAEMATwAyAFwAIgApADsAXABuAFwAbgBWAEUARQBSAEcAXwA1AF8AMQBfADEAXwAzAF8AXwAxAF8ASQBuAG8AcgBnAGEAbgBpAGMARgBlAHIAdABpAGwAaQBzAGUAcgBBAHAAcABsAGkAYwBhAHQAaQBvAG4AQwBPADIARQBtAGkAcwBzAGkAbwBuAHMAXwBTAG8AdQByAGMAZQBcAG4AIAAgAD0ATABBAE0AQgBEAEEAKABcACIAVgBFAEUAUgBHACAAMgAwADIANgA6ACAANQAuADEALgAxAC4AMwAsACAARQBxAHUAYQB0AGkAbwBuACAAKAAxACkAXAAiACkAOwBcAG4AXABuAFYARQBFAFIARwBfADUAXwAxAF8AMQBfADMAXwBfADEAXwBJAG4AbwByAGcAYQBuAGkAYwBGAGUAcgB0AGkAbABpAHMAZQByAEEAcABwAGwAaQBjAGEAdABpAG8AbgBDAE8AMgBFAG0AaQBzAHMAaQBvAG4AcwBfAE4ASQBSAFIAZQBmAGUAcgBlAG4AYwBlAFwAbgAgACAAPQBMAEEATQBCAEQAQQAoAFwAIgBcACIAKQA7AFwAbgBcAG4AVgBFAEUAUgBHAF8ANQBfADEAXwAxAF8AMwBfAF8AMQBfAEkAbgBvAHIAZwBhAG4AaQBjAEYAZQByAHQAaQBsAGkAcwBlAHIAQQBwAHAAbABpAGMAYQB0AGkAbwBuAEMATwAyAEUAbQBpAHMAcwBpAG8AbgBzAF8ATABhAHQAZQB4AEUAcQB1AGEAdABpAG8AbgBcAG4AIAAgAD0ATABBAE0AQgBEAEEAKABcACIARQBfAHsAQwBPADIAfQA9AFwAXABzAHUAbQBfAHsAagB9AFwAXABzAHUAbQBfAHsAZgB9ACgAKABNAFUAXwB7AGoAZgB9AFwAXAB0AGkAbQBlAHMAIABFAEYAXwB7AHUAcgBlAGEALABDAE8AMgB9AFwAXAB0AGkAbQBlAHMAIABDAF8AewBDAE8AMgB9ACkAXABcAHQAaQBtAGUAcwAgADEAMABeAHsALQAzAH0AKQBcACIAKQA7AFwAbgBcAG4AVgBFAEUAUgBHAF8ANQBfADEAXwAxAF8AMwBfAF8AMQBfAEkAbgBvAHIAZwBhAG4AaQBjAEYAZQByAHQAaQBsAGkAcwBlAHIAQQBwAHAAbABpAGMAYQB0AGkAbwBuAEMATwAyAEUAbQBpAHMAcwBpAG8AbgBzAF8AQQByAGcAdQBtAGUAbgB0AHMAXABuACAAIAA9AEwAQQBNAEIARABBACgAXABuACAAIAAgACAATQBBAEsARQBBAFIAUgBBAFkAKAA1ACwAIAA0ACwAIABcAG4AIAAgACAAIAAgACAATABBAE0AQgBEAEEAKAByACwAYwAsACAAXABuACAAIAAgACAAIAAgACAAIABJAE4ARABFAFgAKAB7AFwAbgAgACAAIAAgACAAIAAgACAAIAAgAFwAIgBNAFUAXwBqAGYAXAAiACwAXAAiAG0AYQBzAHMAIABvAGYAIAB1AHIAZQBhACAAbwBmACAAaQBuAG8AcgBnAGEAbgBpAGMAIABmAGUAcgB0AGkAbABpAHMAZQByACAAdAB5AHAAZQAgAGYAIABhAHAAcABsAGkAZQBkACAAdABvACAAcAByAG8AZAB1AGMAdABpAG8AbgAgAHMAeQBzAHQAZQBtACAAagBcACIALAAgAFwAIgBrAGcAIAB1AHIAZQBhAFwAIgAsACAAXAAiAEMAYQBsAGMAdQBsAGEAdABlAGQAXAAiADsAXABuACAAIAAgACAAIAAgACAAIAAgACAAXAAiAEUARgBfAHUAcgBlAGEAQwBPADIAXAAiACwAXAAiAGUAbQBpAHMAcwBpAG8AbgAgAGYAYQBjAHQAbwByACAAZgBvAHIAIABjAGEAcgBiAG8AbgAgAGUAbQBpAHMAcwBpAG8AbgBzACAAZgByAG8AbQAgAHUAcgBlAGEALQBiAGEAcwBlAGQAIABmAGUAcgB0AGkAbABpAHMAZQByAHMAXAAiACwAIABcACIAawBnACAAQwAvAGsAZwAgAHUAcgBlAGEAXAAiACwAIABcACIAQwBvAG4AcwB0AGEAbgB0AFwAIgA7AFwAbgAgACAAIAAgACAAIAAgACAAIAAgAFwAIgBDAF8AQwBPADIAXAAiACwAXAAiAGYAYQBjAHQAbwByACAAdABvACAAYwBvAG4AdgBlAHIAdAAgAGUAbABlAG0AZQBuAHQAYQBsACAAbQBhAHMAcwAgAG8AZgAgAGMAYQByAGIAbwBuACAAdABvACAAbQBvAGwAZQBjAHUAbABhAHIAIABtAGEAcwBzACAAbwBmACAAYwBhAHIAYgBvAG4AIABkAGkAbwB4AGkAZABlAFwAIgAsACAAXAAiAFwAIgAsACAAXAAiAEMAbwBuAHMAdABhAG4AdABcACIAOwBcAG4AIAAgACAAIAAgACAAIAAgACAAIABcACIAagBcACIALABcACIAUAByAG8AZAB1AGMAdABpAG8AbgAgAHMAeQBzAHQAZQBtAFwAIgAsACAAXAAiAFwAIgAsACAAXAAiAEkAbgBwAHUAdABcACIAOwBcAG4AIAAgACAAIAAgACAAIAAgACAAIABcACIAZgBcACIALABcACIASQBuAG8AcgBnAGEAbgBpAGMAIABmAGUAcgB0AGkAbABpAHMAZQByACAAdAB5AHAAZQBcACIALAAgAFwAIgBcACIALAAgAFwAIgBMAG8AbwBrAHUAcABcACIAXABuACAAIAAgACAAIAAgACAAIAB9ACwAIAByACwAIABjACkAXABuACAAIAAgACAAIAAgACkAXABuACAAIAAgACAAKQBcAG4AIAAgACkAOwBcAG4AXABuAC8AKgAgAFwAbgAtAC0ALQAtAC0ALQAtAC0ALQAtAC0ALQAtAC0ALQAtAC0ALQAtAC0ALQAtAC0ALQAtAC0ALQAtAC0ALQAtAC0ALQAtAC0ALQAtAC0AXABuAFYARQBFAFIARwBfADUAXwAxAF8AMQBfADMAXwBfADIAXwBNAGEAcwBzAE8AZgBVAHIAZQBhAEkAbgBJAG4AbwByAGcAYQBuAGkAYwBGAGUAcgB0AGkAbABpAHMAZQByAFwAbgBNAGEAcwBzACAAbwBmACAAdQByAGUAYQAgAGEAcABwAGwAaQBlAGQAIAB0AG8AIABwAHIAbwBkAHUAYwB0AGkAbwBuACAAcwB5AHMAdABlAG0AXABuAE0AVQBfAGoAZgBcAG4AawBnACAAdQByAGUAYQBcAG4AewBNAFUAfQBfAHsAagBmAH0APQBUAE0AXwB7AGoAZgB9AFwAXAB0AGkAbQBlAHMAIABGAFUAXwBmAFwAbgBUAE0AXwBqAGYAXABuAEYAVQBfAGYAXABuAGoAXABuAGYAXABuAC0ALQAtAC0ALQAtAC0ALQAtAC0ALQAtAC0ALQAtAC0ALQAtAC0ALQAtAC0ALQAtAC0ALQAtAC0ALQAtAC0ALQAtAC0ALQAtAC0ALQBcAG4AKgAvAFwAbgBcAG4AVgBFAEUAUgBHAF8ANQBfADEAXwAxAF8AMwBfAF8AMgBfAE0AYQBzAHMATwBmAFUAcgBlAGEASQBuAEkAbgBvAHIAZwBhAG4AaQBjAEYAZQByAHQAaQBsAGkAcwBlAHIAXABuACAAIAA9AEwAQQBNAEIARABBACgAXABuACAAIAAgACAAVABNAF8AagBmACwAIABGAFUAXwBmACwAXABuACAAIAAgACAAVABNAF8AagBmACAAKgAgAEYAVQBfAGYAXABuACAAIAApADsAXABuAFwAbgBWAEUARQBSAEcAXwA1AF8AMQBfADEAXwAzAF8AXwAyAF8ATQBhAHMAcwBPAGYAVQByAGUAYQBJAG4ASQBuAG8AcgBnAGEAbgBpAGMARgBlAHIAdABpAGwAaQBzAGUAcgBfAFQAaQB0AGwAZQBcAG4AIAAgAD0ATABBAE0AQgBEAEEAKABcACIATQBhAHMAcwAgAG8AZgAgAHUAcgBlAGEAIABhAHAAcABsAGkAZQBkACAAdABvACAAcAByAG8AZAB1AGMAdABpAG8AbgAgAHMAeQBzAHQAZQBtAFwAIgApADsAXABuAFwAbgBWAEUARQBSAEcAXwA1AF8AMQBfADEAXwAzAF8AXwAyAF8ATQBhAHMAcwBPAGYAVQByAGUAYQBJAG4ASQBuAG8AcgBnAGEAbgBpAGMARgBlAHIAdABpAGwAaQBzAGUAcgBfAFYAYQByAGkAYQBiAGwAZQBcAG4AIAAgAD0ATABBAE0AQgBEAEEAKABcACIATQBVAF8AagBmAFwAIgApADsAXABuAFwAbgBWAEUARQBSAEcAXwA1AF8AMQBfADEAXwAzAF8AXwAyAF8ATQBhAHMAcwBPAGYAVQByAGUAYQBJAG4ASQBuAG8AcgBnAGEAbgBpAGMARgBlAHIAdABpAGwAaQBzAGUAcgBfAFUAbgBpAHQAXABuACAAIAA9AEwAQQBNAEIARABBACgAXAAiAGsAZwAgAHUAcgBlAGEAXAAiACkAOwBcAG4AXABuAFYARQBFAFIARwBfADUAXwAxAF8AMQBfADMAXwBfADIAXwBNAGEAcwBzAE8AZgBVAHIAZQBhAEkAbgBJAG4AbwByAGcAYQBuAGkAYwBGAGUAcgB0AGkAbABpAHMAZQByAF8AUwBvAHUAcgBjAGUAXABuACAAIAA9AEwAQQBNAEIARABBACgAXAAiAFYARQBFAFIARwAgADIAMAAyADYAOgAgADUALgAxAC4AMQAuADMALAAgAEUAcQB1AGEAdABpAG8AbgAgACgAMgApAFwAIgApADsAXABuAFwAbgBWAEUARQBSAEcAXwA1AF8AMQBfADEAXwAzAF8AXwAyAF8ATQBhAHMAcwBPAGYAVQByAGUAYQBJAG4ASQBuAG8AcgBnAGEAbgBpAGMARgBlAHIAdABpAGwAaQBzAGUAcgBfAE4ASQBSAFIAZQBmAGUAcgBlAG4AYwBlAFwAbgAgACAAPQBMAEEATQBCAEQAQQAoAFwAIgBcACIAKQA7AFwAbgBcAG4AVgBFAEUAUgBHAF8ANQBfADEAXwAxAF8AMwBfAF8AMgBfAE0AYQBzAHMATwBmAFUAcgBlAGEASQBuAEkAbgBvAHIAZwBhAG4AaQBjAEYAZQByAHQAaQBsAGkAcwBlAHIAXwBMAGEAdABlAHgARQBxAHUAYQB0AGkAbwBuAFwAbgAgACAAPQBMAEEATQBCAEQAQQAoAFwAIgB7AE0AVQB9AF8AewBqAGYAfQA9AFQATQBfAHsAagBmAH0AXABcAHQAaQBtAGUAcwAgAEYAVQBfAGYAXAAiACkAOwBcAG4AXABuAFYARQBFAFIARwBfADUAXwAxAF8AMQBfADMAXwBfADIAXwBNAGEAcwBzAE8AZgBVAHIAZQBhAEkAbgBJAG4Ab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UAE0AXwBqAGYAXAAiACwAXAAiAHQAbwB0AGEAbAAgAG0AYQBzAHMAIABvAGYAIABpAG4AbwByAGcAYQBuAGkAYwAgAGYAZQByAHQAaQBsAGkAcwBlAHIAIAB0AHkAcABlACAAZgAgAGEAcABwAGwAaQBlAGQAIAB0AG8AIABwAHIAbwBkAHUAYwB0AGkAbwBuACAAcwB5AHMAdABlAG0AIABqAFwAIgAsAFwAIgBrAGcAXAAiACwAIABcACIASQBuAHAAdQB0AFwAIgA7AFwAbgAgACAAIAAgACAAIAAgACAAIAAgAFwAIgBGAFUAXwBmAFwAIgAsAFwAIgBmAHIAYQBjAHQAaQBvAG4AIABvAGYAIAB1AHIAZQBhACAAaQBuACAAZgBlAHIAdABpAGwAaQBzAGUAcgAgAHQAeQBwAGUAIABmAFwAIgAsAFwAIgBrAGcAIAB1AHIAZQBhAC8AawBnAFwAIgAsACAAXAAiAEwAbwBvAGsAdQBwAFwAIgBcAG4AIAAgACAAIAAgACAAIAAgAH0ALAAgAHIALAAgAGMAKQBcAG4AIAAgACAAIAAgACAAKQBcAG4AIAAgACAAIAApAFwAbgAgACAAKQA7AFwAbgAiAH0ALAB7ACIAcABhAHQAaAAiADoAIgAvAHAAcgBvAGoAZQBjAHQAcwAvAEYAZQByAHQAaQBsAGkAcwBlAHIAXwBFAHEAdQBhAHQAaQBvAG4AcwBfAE8AcgBnAGEAbgBpAGMATgAyAE8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yACAATwByAGcAYQBuAGkAYw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IAXwAxAF8AMQBfAF8AMQBfAE8AcgBnAGEAbgBpAGMARgBlAHIAdABpAGwAaQBzAGUAcgBBAHAAcABsAGkAYwBhAHQAaQBvAG4ATgAyAE8ARQBtAGkAcwBzAGkAbwBuAHMAXABu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BuAEUAXwBOADIATwBcAG4AdAAgAE4AMgBPAFwAbgBFAF8AewBOADIATwB9AD0AXABcAHMAdQBtAF8AewBqAH0AXABcAHMAdQBtAF8AewBmAH0AKAAoAE0ATgBTAG8AaQBsAF8AewBqAGYAfQBcAFwAdABpAG0AZQBzACAARQBGAF8AewBOADIATwAsAGkAfQBcAFwAdABpAG0AZQBzACAAQwBfAHsATgAyAE8AfQApAFwAXAB0AGkAbQBlAHMAIAAxADAAXgB7AC0AMwB9ACkAXABuAE0ATgBTAG8AaQBsAF8AagBmAFwAbgBFAEYAXwBOADIATwBpAFwAbgBDAF8ATgAyAE8AXABuAGoAXABuAGkAXABuAGYAXABuAC0ALQAtAC0ALQAtAC0ALQAtAC0ALQAtAC0ALQAtAC0ALQAtAC0ALQAtAC0ALQAtAC0ALQAtAC0ALQAtAC0ALQAtAC0ALQAtAC0ALQBcAG4AKgAvAFwAbgBcAG4AVgBFAEUAUgBHAF8ANQBfADIAXwAxAF8AMQBfAF8AMQBfAE8AcgBnAGEAbgBpAGMARgBlAHIAdABpAGwAaQBzAGUAcgBBAHAAcABsAGkAYwBhAHQAaQBvAG4ATgAyAE8ARQBtAGkAcwBzAGkAbwBuAHMAXABuACAAIAA9AEwAQQBNAEIARABBACgAXABuACAAIAAgACAATQBOAFMAbwBpAGwAXwBqAGYALAAgAEUARgBfAE4AMgBPAGkALAAgAEMAXwBOADIATwAsAFwAbgAgACAAIAAgACgATQBOAFMAbwBpAGwAXwBqAGYAIAAqACAARQBGAF8ATgAyAE8AaQAgACoAIABDAF8ATgAyAE8AKQAgACoAIAAxADAAIABeACAALQAzAFwAbgAgACAAKQA7AFwAbgBcAG4AVgBFAEUAUgBHAF8ANQBfADIAXwAxAF8AMQBfAF8AMQBfAE8AcgBnAGEAbgBpAGMARgBlAHIAdABpAGwAaQBzAGUAcgBBAHAAcABsAGkAYwBhAHQAaQBvAG4ATgAyAE8ARQBtAGkAcwBzAGkAbwBuAHMAXwBUAGkAdABsAGUAXABuACAAIAA9AEwAQQBNAEIARABBACgAXAAiAE4AaQB0AHIAbwB1AHMAIABvAHgAaQBkAGUAIABlAG0AaQBzAHMAaQBvAG4AcwAgAGYAcgBvAG0AIAB0AGgAZQAgAGEAcABwAGwAaQBjAGEAdABpAG8AbgAgAG8AZgAgAGEAbABsACAAbwByAGcAYQBuAGkAYwAgAGYAZQByAHQAaQBsAGkAcwBlAHIAIAB0AHkAcABlAHMAIABmACAAdABvACAAYQBsAGwAIABwAHIAbwBkAHUAYwB0AGkAbwBuACAAcwB5AHMAdABlAG0AcwAgAGoAXAAiACkAOwBcAG4AXABuAFYARQBFAFIARwBfADUAXwAyAF8AMQBfADEAXwBfADEAXwBPAHIAZwBhAG4AaQBjAEYAZQByAHQAaQBsAGkAcwBlAHIAQQBwAHAAbABpAGMAYQB0AGkAbwBuAE4AMgBPAEUAbQBpAHMAcwBpAG8AbgBzAF8AVgBhAHIAaQBhAGIAbABlAFwAbgAgACAAPQBMAEEATQBCAEQAQQAoAFwAIgBFAF8ATgAyAE8AXAAiACkAOwBcAG4AXABuAFYARQBFAFIARwBfADUAXwAyAF8AMQBfADEAXwBfADEAXwBPAHIAZwBhAG4AaQBjAEYAZQByAHQAaQBsAGkAcwBlAHIAQQBwAHAAbABpAGMAYQB0AGkAbwBuAE4AMgBPAEUAbQBpAHMAcwBpAG8AbgBzAF8AVQBuAGkAdABcAG4AIAAgAD0ATABBAE0AQgBEAEEAKABcACIAdAAgAE4AMgBPAFwAIgApADsAXABuAFwAbgBWAEUARQBSAEcAXwA1AF8AMgBfADEAXwAxAF8AXwAxAF8ATwByAGcAYQBuAGkAYwBGAGUAcgB0AGkAbABpAHMAZQByAEEAcABwAGwAaQBjAGEAdABpAG8AbgBOADIATwBFAG0AaQBzAHMAaQBvAG4AcwBfAFMAbwB1AHIAYwBlAFwAbgAgACAAPQBMAEEATQBCAEQAQQAoAFwAIgBWAEUARQBSAEcAIAAyADAAMgA2ADoAIAA1AC4AMgAuADEALgAxACwAIABFAHEAdQBhAHQAaQBvAG4AIAAoADEAKQBcACIAKQA7AFwAbgBcAG4AVgBFAEUAUgBHAF8ANQBfADIAXwAxAF8AMQBfAF8AMQBfAE8AcgBnAGEAbgBpAGMARgBlAHIAdABpAGwAaQBzAGUAcgBBAHAAcABsAGkAYwBhAHQAaQBvAG4ATgAyAE8ARQBtAGkAcwBzAGkAbwBuAHMAXwBOAEkAUgBSAGUAZgBlAHIAZQBuAGMAZQBcAG4AIAAgAD0ATABBAE0AQgBEAEEAKABcACIAXAAiACkAOwBcAG4AXABuAFYARQBFAFIARwBfADUAXwAyAF8AMQBfADEAXwBfADEAXwBPAHIAZwBhAG4AaQBjAEYAZQByAHQAaQBsAGkAcwBlAHIAQQBwAHAAbABpAGMAYQB0AGkAbwBuAE4AMgBPAEUAbQBpAHMAcwBpAG8AbgBzAF8ATABhAHQAZQB4AEUAcQB1AGEAdABpAG8AbgBcAG4AIAAgAD0ATABBAE0AQgBEAEEAKABcACIARQBfAHsATgAyAE8AfQA9AFwAXABzAHUAbQBfAHsAagB9AFwAXABzAHUAbQBfAHsAZgB9ACgAKABNAE4AUwBvAGkAbABfAHsAagBmAH0AXABcAHQAaQBtAGUAcwAgAEUARgBfAHsATgAyAE8ALABpAH0AXABcAHQAaQBtAGUAcwAgAEMAXwB7AE4AMgBPAH0AKQBcAFwAdABpAG0AZQBzACAAMQAwAF4AewAtADMAfQApAFwAIgApADsAXABuAFwAbgBWAEUARQBSAEcAXwA1AF8AMgBfADEAXwAxAF8AXwAxAF8ATwByAGcAYQBuAGkAYwBGAGUAcgB0AGkAbABpAHMAZQByAEEAcABwAGwAaQBjAGEAdABpAG8AbgBOADIATwBFAG0AaQBzAHMAaQBvAG4AcwBfAEEAcgBnAHUAbQBlAG4AdABzAFwAbgAgACAAPQBMAEEATQBCAEQAQQAoAFwAbgAgACAAIAAgAE0AQQBLAEUAQQBSAFIAQQBZACgANQAsACAANAAsACAAXABuACAAIAAgACAAIAAgAEwAQQBNAEIARABBACgAcgAsAGMALAAgAFwAbgAgACAAIAAgACAAIAAgACAASQBOAEQARQBYACgAewBcAG4AIAAgACAAIAAgACAAIAAgACAAIABcACIATQBOAFMAbwBpAGwAXwBqAGYAXAAiACwAXAAiAG0AYQBzAHMAIABvAGYAIABuAGkAdAByAG8AZwBlAG4AIABpAG4AIABvAHIAZwBhAG4AaQBjACAAZgBlAHIAdABpAGwAaQBzAGUAcgAgAHQAeQBwAGUAIABmACAAYQBwAHAAbABpAGUAZAAgAHQAbwAgAHAAcgBvAGQAdQBjAHQAaQBvAG4AIABzAHkAcwB0AGUAbQAgAGoAXAAiACwAIABcACIAawBnACAATgBcACIALAAgAFwAIgBDAGEAbABjAHUAbABhAHQAZQBkACAAZgByAG8AbQAgADUALgAyAC4AMQAuADEAIAAoADIAKQBcACIAOwBcAG4AIAAgACAAIAAgACAAIAAgACAAIABcACIARQBGAF8ATgAyAE8AaQBcACIALABcACIAZQBtAGkAcwBzAGkAbwBuACAAZgBhAGMAdABvAHIAIABmAG8AcgAgAGQAaQByAGUAYwB0ACAAbgBpAHQAcgBvAHUAcwAgAG8AeABpAGQAZQAgAGUAbQBpAHMAcwBpAG8AbgBzACAAZgByAG8AbQAgAG8AcgBnAGEAbgBpAGMAIABmAGUAcgB0AGkAbABpAHMAZQByACAAYQBwAHAAbABpAGUAZAAgAHQAbwAgAHMAbwBpAGwAcwAgAGEAbgBkACAAYQBxAHUAYQB0AGkAYwAgAHMAeQBzAHQAZQBtAHMAIABpAG4AIABjAGwAaQBtAGEAdABlACAAegBvAG4AZQAgAGkAXAAiACwAIABcACIAawBnACAATgAyAE8ALQBOAC8AawBnACAATgBcACIALAAgAFwAIgBMAG8AbwBrAHUAc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agBcACIALABcACIAUAByAG8AZAB1AGMAdABpAG8AbgAgAHMAeQBzAHQAZQBtAFwAIgAsACAAXAAiAFwAIgAsACAAXAAiAEkAbgBwAHUAdABcACIAOwBcAG4AIAAgACAAIAAgACAAIAAgACAAIABcACIAaQBcACIALABcACIAVwBlAHQAIABvAHIAIABkAHIAeQAgAGMAbABpAG0AYQB0AGUAIAB6AG8AbgBl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yAF8AMQBfADEAXwBfADIAXwBNAGEAcwBzAE8AZgBOAGkAdAByAG8AZwBlAG4ASQBuAE8AcgBnAGEAbgBpAGMARgBlAHIAdABpAGwAaQBzAGUAcgBcAG4ATQBhAHMAcwAgAG8AZgAgAG4AaQB0AHIAbwBnAGUAbgAgAGkAbgAgAHAAdQByAGMAaABhAHMAZQBkACAAbwByAGcAYQBuAGkAYwAgAGYAZQByAHQAaQBsAGkAcwBlAHIAcwAgAGEAcABwAGwAaQBlAGQAIAB0AG8AIABwAHIAbwBkAHUAYwB0AGkAbwBuACAAcwB5AHMAdABlAG0AXABuAE0ATgBTAG8AaQBsAF8AagBmAFwAbgBrAGcAIABOAFwAbgBNAE4AUwBvAGkAbABfAHsAagBmAH0APQBNAF8AewBvAHIAZwBhAG4AaQBjACwAagBmAH0AXABcAHQAaQBtAGUAcwAgAEYATgBfAHsAbwByAGcAYQBuAGkAYwAsAGYAfQBcAG4ATQBfAG8AcgBnAGEAbgBpAGMAagBmAFwAbgBGAE4AXwBvAHIAZwBhAG4AaQBjAGYAXABuAGoAXABuAGYAXABuAC0ALQAtAC0ALQAtAC0ALQAtAC0ALQAtAC0ALQAtAC0ALQAtAC0ALQAtAC0ALQAtAC0ALQAtAC0ALQAtAC0ALQAtAC0ALQAtAC0ALQBcAG4AKgAvAFwAbgBcAG4AVgBFAEUAUgBHAF8ANQBfADIAXwAxAF8AMQBfAF8AMgBfAE0AYQBzAHMATwBmAE4AaQB0AHIAbwBnAGUAbgBJAG4ATwByAGcAYQBuAGkAYwBGAGUAcgB0AGkAbABpAHMAZQByAFwAbgAgACAAPQBMAEEATQBCAEQAQQAoAFwAbgAgACAAIAAgAE0AXwBvAHIAZwBhAG4AaQBjAGoAZgAsACAARgBOAF8AbwByAGcAYQBuAGkAYwBmACwAXABuACAAIAAgACAATQBfAG8AcgBnAGEAbgBpAGMAagBmACAAKgAgAEYATgBfAG8AcgBnAGEAbgBpAGMAZgBcAG4AIAAgACkAOwBcAG4AXABuAFYARQBFAFIARwBfADUAXwAyAF8AMQBfADEAXwBfADIAXwBNAGEAcwBzAE8AZgBOAGkAdAByAG8AZwBlAG4ASQBuAE8AcgBnAGEAbgBpAGMARgBlAHIAdABpAGwAaQBzAGUAcgBfAFQAaQB0AGwAZQBcAG4AIAAgAD0ATABBAE0AQgBEAEEAKABcACIATQBhAHMAcwAgAG8AZgAgAG4AaQB0AHIAbwBnAGUAbgAgAGkAbgAgAHAAdQByAGMAaABhAHMAZQBkACAAbwByAGcAYQBuAGkAYwAgAGYAZQByAHQAaQBsAGkAcwBlAHIAcwAgAGEAcABwAGwAaQBlAGQAIAB0AG8AIABwAHIAbwBkAHUAYwB0AGkAbwBuACAAcwB5AHMAdABlAG0AXAAiACkAOwBcAG4AXABuAFYARQBFAFIARwBfADUAXwAyAF8AMQBfADEAXwBfADIAXwBNAGEAcwBzAE8AZgBOAGkAdAByAG8AZwBlAG4ASQBuAE8AcgBnAGEAbgBpAGMARgBlAHIAdABpAGwAaQBzAGUAcgBfAFYAYQByAGkAYQBiAGwAZQBcAG4AIAAgAD0ATABBAE0AQgBEAEEAKABcACIATQBOAFMAbwBpAGwAXwBqAGYAXAAiACkAOwBcAG4AXABuAFYARQBFAFIARwBfADUAXwAyAF8AMQBfADEAXwBfADIAXwBNAGEAcwBzAE8AZgBOAGkAdAByAG8AZwBlAG4ASQBuAE8AcgBnAGEAbgBpAGMARgBlAHIAdABpAGwAaQBzAGUAcgBfAFUAbgBpAHQAXABuACAAIAA9AEwAQQBNAEIARABBACgAXAAiAGsAZwAgAE4AXAAiACkAOwBcAG4AXABuAFYARQBFAFIARwBfADUAXwAyAF8AMQBfADEAXwBfADIAXwBNAGEAcwBzAE8AZgBOAGkAdAByAG8AZwBlAG4ASQBuAE8AcgBnAGEAbgBpAGMARgBlAHIAdABpAGwAaQBzAGUAcgBfAFMAbwB1AHIAYwBlAFwAbgAgACAAPQBMAEEATQBCAEQAQQAoAFwAIgBWAEUARQBSAEcAIAAyADAAMgA2ADoAIAA1AC4AMgAuADEALgAxACwAIABFAHEAdQBhAHQAaQBvAG4AIAAoADIAKQBcACIAKQA7AFwAbgBcAG4AVgBFAEUAUgBHAF8ANQBfADIAXwAxAF8AMQBfAF8AMgBfAE0AYQBzAHMATwBmAE4AaQB0AHIAbwBnAGUAbgBJAG4ATwByAGcAYQBuAGkAYwBGAGUAcgB0AGkAbABpAHMAZQByAF8ATgBJAFIAUgBlAGYAZQByAGUAbgBjAGUAXABuACAAIAA9AEwAQQBNAEIARABBACgAXAAiAFwAIgApADsAXABuAFwAbgBWAEUARQBSAEcAXwA1AF8AMgBfADEAXwAxAF8AXwAyAF8ATQBhAHMAcwBPAGYATgBpAHQAcgBvAGcAZQBuAEkAbgBPAHIAZwBhAG4AaQBjAEYAZQByAHQAaQBsAGkAcwBlAHIAXwBMAGEAdABlAHgARQBxAHUAYQB0AGkAbwBuAFwAbgAgACAAPQBMAEEATQBCAEQAQQAoAFwAIgBNAE4AUwBvAGkAbABfAHsAagBmAH0APQBNAF8AewBvAHIAZwBhAG4AaQBjACwAagBmAH0AXABcAHQAaQBtAGUAcwAgAEYATgBfAHsAbwByAGcAYQBuAGkAYwAsAGYAfQBcACIAKQA7AFwAbgBcAG4AVgBFAEUAUgBHAF8ANQBfADIAXwAxAF8AMQBfAF8AMgBfAE0AYQBzAHMATwBmAE4AaQB0AHIAbwBnAGUAbgBJAG4ATwByAGcAYQBuAGkAYwBGAGUAcgB0AGkAbABpAHMAZQByAF8AQQByAGcAdQBtAGUAbgB0AHMAXABuACAAIAA9AEwAQQBNAEIARABBACgAXABuACAAIAAgACAATQBBAEsARQBBAFIAUgBBAFkAKAAzACwAIAA0ACwAIABcAG4AIAAgACAAIAAgACAATABBAE0AQgBEAEEAKAByACwAYwAsACAAXABuACAAIAAgACAAIAAgACAAIABJAE4ARABFAFgAKAB7AFwAbgAgACAAIAAgACAAIAAgACAAIAAgAFwAIgBNAF8AbwByAGcAYQBuAGkAYwBqAGYAXAAiACwAXAAiAG0AYQBzAHMAIABvAGYAIABvAHIAZwBhAG4AaQBjACAAZgBlAHIAdABpAGwAaQBzAGUAcgAgAHQAeQBwAGUAIABmACAAYQBwAHAAbABpAGUAZAAgAHQAbwAgAHAAcgBvAGQAdQBjAHQAaQBvAG4AIABzAHkAcwB0AGUAbQAgAGoAXAAiACwAIABcACIAawBnAFwAIgAsACAAXAAiAEkAbgBwAHUAdABcACIAOwBcAG4AIAAgACAAIAAgACAAIAAgACAAIABcACIARgBOAF8AbwByAGcAYQBuAGkAYwBmAFwAIgAsAFwAIgBuAGkAdAByAG8AZwBlAG4AIABmAHIAYQBjAHQAaQBvAG4AIABvAGYAIABvAHIAZwBhAG4AaQBjACAAZgBlAHIAdABpAGwAaQBzAGUAcgAgAHQAeQBwAGUAIABmAFwAIgAsACAAXAAiAGsAZwAgAE4ALwBrAGcAXAAiACwAIABcACIASQBuAHAAdQB0AFwAIgA7AFwAbgAgACAAIAAgACAAIAAgACAAIAAgAFwAIgBmAFwAIgAsAFwAIgBPAHIAZwBhAG4AaQBjACAAZgBlAHIAdABpAGwAaQBzAGUAcgAgAHQAeQBwAGUAXAAiACwAIABcACIAXAAiACwAIABcACIASQBuAHAAdQB0AFwAIgBcAG4AIAAgACAAIAAgACAAIAAgAH0ALAAgAHIALAAgAGMAKQBcAG4AIAAgACAAIAAgACAAKQBcAG4AIAAgACAAIAApAFwAbgAgACAAKQA7AFwAbgAiAH0ALAB7ACIAcABhAHQAaAAiADoAIgAvAHAAcgBvAGoAZQBjAHQAcwAvAEYAZQByAHQAaQBsAGkAcwBlAHIAXwBFAHEAdQBhAHQAaQBvAG4AcwBfAEwAaQBtAGUAIgAsACIAdABlAHgAdAAiADoAIgAvACoAXABuAD0APQA9AD0APQA9AD0APQA9AD0APQA9AD0APQA9AD0APQA9AD0APQA9AD0APQA9AD0APQA9AD0APQA9AD0APQA9AD0APQA9AD0APQBcAG4ANQA6ACAARgBlAHIAdABpAGwAaQBzAGUAcgAgAFUAcwBlAFwAbgA9AD0APQA9AD0APQA9AD0APQA9AD0APQA9AD0APQA9AD0APQA9AD0APQA9AD0APQA9AD0APQA9AD0APQA9AD0APQA9AD0APQA9AD0AXABuADUALgAzACAATABpAG0AZQAgAGEAcABwAGwAaQBjAGEAdABpAG8AbgBcAG4APQA9AD0APQA9AD0APQA9AD0APQA9AD0APQA9AD0APQA9AD0APQA9AD0APQA9AD0APQA9AD0APQA9AD0APQA9AD0APQA9AD0APQA9AFwAbgAqAC8AXABuAFwAbgAvACoAIABcAG4ALQAtAC0ALQAtAC0ALQAtAC0ALQAtAC0ALQAtAC0ALQAtAC0ALQAtAC0ALQAtAC0ALQAtAC0ALQAtAC0ALQAtAC0ALQAtAC0ALQAtAFwAbgBWAEUARQBSAEcAXwA1AF8AMwBfADEAXwAxAF8AXwAxAF8ATABpAG0AZQBBAHAAcABsAGkAYwBhAHQAaQBvAG4AQwBPADIARQBtAGkAcwBzAGkAbwBuAHMAXABuAEUAbQBpAHMAcwBpAG8AbgBzACAAZgByAG8AbQAgAHQAaABlACAAYQBwAHAAbABpAGMAYQB0AGkAbwBuACAAbwBmACAAbABpAG0AZQAgAGEAbgBkACAAZABvAGwAbwBtAGkAdABlACAAdABvACAAcAByAG8AZAB1AGMAdABpAG8AbgAgAHMAeQBzAHQAZQBtAHMAXABuAEUAXwBsAGkAbQBlAFwAbgB0ACAAQwBPADIAXABuAEUAXwB7AGwAaQBtAGUAfQA9AFsAKABNAF8AewBsAGkAbQBlAH0AXABcAHQAaQBtAGUAcwAgAEYAcgBhAGMATABpAG0AZQBcAFwAdABpAG0AZQBzACAAUABfAHsAbABpAG0AZQB9AFwAXAB0AGkAbQBlAHMAIABFAEYAXwB7AGwAaQBtAGUAfQApACsAKABNAF8AewBsAGkAbQBlAH0AXABcAHQAaQBtAGUAcwAgAEYAcgBhAGMARABvAGwAXABcAHQAaQBtAGUAcwAgAFAAXwB7AGQAbwBsAH0AXABcAHQAaQBtAGUAcwAgAEUARgBfAHsAZABvAGwAfQApAF0AXABcAHQAaQBtAGUAcwAgAEMAXwB7AEMATwAyAH0AXABcAHQAaQBtAGUAcwAgADEAMABeAHsALQAzAH0AXABuAE0AXwBsAGkAbQBlAFwAbgBGAHIAYQBjAEwAaQBtAGUAXABuAFAAXwBsAGkAbQBlAFwAbgBFAEYAXwBsAGkAbQBlAFwAbgBGAHIAYQBjAEQAbwBsAFwAbgBQAF8AZABvAGwAXABuAEUARgBfAGQAbwBsAFwAbgBDAF8AQwBPADIAXABuAC0ALQAtAC0ALQAtAC0ALQAtAC0ALQAtAC0ALQAtAC0ALQAtAC0ALQAtAC0ALQAtAC0ALQAtAC0ALQAtAC0ALQAtAC0ALQAtAC0ALQBcAG4AKgAvAFwAbgBcAG4AVgBFAEUAUgBHAF8ANQBfADMAXwAxAF8AMQBfAF8AMQBfAEwAaQBtAGUAQQBwAHAAbABpAGMAYQB0AGkAbwBuAEMATwAyAEUAbQBpAHMAcwBpAG8AbgBzAFwAbgAgACAAPQBMAEEATQBCAEQAQQAoAFwAbgAgACAAIAAgAE0AXwBsAGkAbQBlACwAIABGAHIAYQBjAEwAaQBtAGUALAAgAFAAXwBsAGkAbQBlACwAIABFAEYAXwBsAGkAbQBlACwAIABGAHIAYQBjAEQAbwBsACwAIABQAF8AZABvAGwALAAgAEUARgBfAGQAbwBsACwAIABDAF8AQwBPADIALABcAG4AIAAgACAAIAAoACgATQBfAGwAaQBtAGUAIAAqACAARgByAGEAYwBMAGkAbQBlACAAKgAgAFAAXwBsAGkAbQBlACAAKgAgAEUARgBfAGwAaQBtAGUAKQAgACsAIAAoAE0AXwBsAGkAbQBlACAAKgAgAEYAcgBhAGMARABvAGwAIAAqACAAUABfAGQAbwBsACAAKgAgAEUARgBfAGQAbwBsACkAKQAgACoAIABDAF8AQwBPADIAIAAqACAAMQAwACAAXgAgAC0AMwBcAG4AIAAgACkAOwBcAG4AXABuAFYARQBFAFIARwBfADUAXwAzAF8AMQBfADEAXwBfADEAXwBMAGkAbQBlAEEAcABwAGwAaQBjAGEAdABpAG8AbgBDAE8AMgBFAG0AaQBzAHMAaQBvAG4AcwBfAFQAaQB0AGwAZQBcAG4AIAAgAD0ATABBAE0AQgBEAEEAKABcACIARQBtAGkAcwBzAGkAbwBuAHMAIABmAHIAbwBtACAAdABoAGUAIABhAHAAcABsAGkAYwBhAHQAaQBvAG4AIABvAGYAIABsAGkAbQBlACAAYQBuAGQAIABkAG8AbABvAG0AaQB0AGUAIAB0AG8AIABwAHIAbwBkAHUAYwB0AGkAbwBuACAAcwB5AHMAdABlAG0AcwBcACIAKQA7AFwAbgBcAG4AVgBFAEUAUgBHAF8ANQBfADMAXwAxAF8AMQBfAF8AMQBfAEwAaQBtAGUAQQBwAHAAbABpAGMAYQB0AGkAbwBuAEMATwAyAEUAbQBpAHMAcwBpAG8AbgBzAF8AVgBhAHIAaQBhAGIAbABlAFwAbgAgACAAPQBMAEEATQBCAEQAQQAoAFwAIgBFAF8AbABpAG0AZQBcACIAKQA7AFwAbgBcAG4AVgBFAEUAUgBHAF8ANQBfADMAXwAxAF8AMQBfAF8AMQBfAEwAaQBtAGUAQQBwAHAAbABpAGMAYQB0AGkAbwBuAEMATwAyAEUAbQBpAHMAcwBpAG8AbgBzAF8AVQBuAGkAdABcAG4AIAAgAD0ATABBAE0AQgBEAEEAKABcACIAdAAgAEMATwAyAFwAIgApADsAXABuAFwAbgBWAEUARQBSAEcAXwA1AF8AMwBfADEAXwAxAF8AXwAxAF8ATABpAG0AZQBBAHAAcABsAGkAYwBhAHQAaQBvAG4AQwBPADIARQBtAGkAcwBzAGkAbwBuAHMAXwBTAG8AdQByAGMAZQBcAG4AIAAgAD0ATABBAE0AQgBEAEEAKABcACIAVgBFAEUAUgBHACAAMgAwADIANgA6ACAANQAuADMALgAxAC4AMQAsACAARQBxAHUAYQB0AGkAbwBuACAAKAAxACkAXAAiACkAOwBcAG4AXABuAFYARQBFAFIARwBfADUAXwAzAF8AMQBfADEAXwBfADEAXwBMAGkAbQBlAEEAcABwAGwAaQBjAGEAdABpAG8AbgBDAE8AMgBFAG0AaQBzAHMAaQBvAG4AcwBfAE4ASQBSAFIAZQBmAGUAcgBlAG4AYwBlAFwAbgAgACAAPQBMAEEATQBCAEQAQQAoAFwAIgBcACIAKQA7AFwAbgBcAG4AVgBFAEUAUgBHAF8ANQBfADMAXwAxAF8AMQBfAF8AMQBfAEwAaQBtAGUAQQBwAHAAbABpAGMAYQB0AGkAbwBuAEMATwAyAEUAbQBpAHMAcwBpAG8AbgBzAF8ATABhAHQAZQB4AEUAcQB1AGEAdABpAG8AbgBcAG4AIAAgAD0ATABBAE0AQgBEAEEAKABcACIARQBfAHsAbABpAG0AZQB9AD0AWwAoAE0AXwB7AGwAaQBtAGUAfQBcAFwAdABpAG0AZQBzACAARgByAGEAYwBMAGkAbQBlAFwAXAB0AGkAbQBlAHMAIABQAF8AewBsAGkAbQBlAH0AXABcAHQAaQBtAGUAcwAgAEUARgBfAHsAbABpAG0AZQB9ACkAKwAoAE0AXwB7AGwAaQBtAGUAfQBcAFwAdABpAG0AZQBzACAARgByAGEAYwBEAG8AbABcAFwAdABpAG0AZQBzACAAUABfAHsAZABvAGwAfQBcAFwAdABpAG0AZQBzACAARQBGAF8AewBkAG8AbAB9ACkAXQBcAFwAdABpAG0AZQBzACAAQwBfAHsAQwBPADIAfQBcAFwAdABpAG0AZQBzACAAMQAwAF4AewAtADMAfQBcACIAKQA7AFwAbgBcAG4AVgBFAEUAUgBHAF8ANQBfADMAXwAxAF8AMQBfAF8AMQBfAEwAaQBtAGUAQQBwAHAAbABpAGMAYQB0AGkAbwBuAEMATwAyAEUAbQBpAHMAcwBpAG8AbgBzAF8AQQByAGcAdQBtAGUAbgB0AHMAXABuACAAIAA9AEwAQQBNAEIARABBACgAXABuACAAIAAgACAATQBBAEsARQBBAFIAUgBBAFkAKAA4ACwAIAA0ACwAIABcAG4AIAAgACAAIAAgACAATABBAE0AQgBEAEEAKAByACwAYwAsACAAXABuACAAIAAgACAAIAAgACAAIABJAE4ARABFAFgAKAB7AFwAbgAgACAAIAAgACAAIAAgACAAIAAgAFwAIgBNAF8AbABpAG0AZQBcACIALABcACIAdABvAHQAYQBsACAAbQBhAHMAcwAgAG8AZgAgAGwAaQBtAGUAIABhAHAAcABsAGkAZQBkACAAdABvACAAcAByAG8AZAB1AGMAdABpAG8AbgAgAHMAeQBzAHQAZQBtAFwAIgAsACAAXAAiAGsAZwBcACIALAAgAFwAIgBJAG4AcAB1AHQAXAAiADsAXABuACAAIAAgACAAIAAgACAAIAAgACAAXAAiAEYAcgBhAGMATABpAG0AZQBcACIALABcACIAZgByAGEAYwB0AGkAbwBuACAAbwBmACAAbABpAG0AZQAgAGEAcwAgAGwAaQBtAGUAcwB0AG8AbgBlACAAKABDAGEAQwBPADMAKQBcACIALAAgAFwAIgBmAHIAYQBjAHQAaQBvAG4AXAAiACwAIABcACIASQBuAHAAdQB0AFwAIgA7AFwAbgAgACAAIAAgACAAIAAgACAAIAAgAFwAIgBQAF8AbABpAG0AZQBcACIALABcACIAZgByAGEAYwB0AGkAbwBuAGEAbAAgAHAAdQByAGkAdAB5ACAAbwBmACAAbABpAG0AZQBzAHQAbwBuAGUAXAAiACwAIABcACIAZgByAGEAYwB0AGkAbwBuAFwAIgAsACAAXAAiAEMAbwBuAHMAdABhAG4AdABcACIAOwBcAG4AIAAgACAAIAAgACAAIAAgACAAIABcACIARQBGAF8AbABpAG0AZQBcACIALABcACIAZQBtAGkAcwBzAGkAbwBuACAAZgBhAGMAdABvAHIAIABmAG8AcgAgAGwAaQBtAGUAcwB0AG8AbgBlACAAZgByAGEAYwB0AGkAbwBuACAAbwBmACAAbABpAG0AZQBcACIALAAgAFwAIgBrAGcAIABDAC8AawBnAFwAIgAsACAAXAAiAEMAbwBuAHMAdABhAG4AdABcACIAOwBcAG4AIAAgACAAIAAgACAAIAAgACAAIABcACIARgByAGEAYwBEAG8AbABcACIALABcACIAZgByAGEAYwB0AGkAbwBuACAAbwBmACAAbABpAG0AZQAgAGEAcwAgAGQAbwBsAG8AbQBpAHQAZQBcACIALAAgAFwAIgBmAHIAYQBjAHQAaQBvAG4AXAAiACwAIABcACIASQBuAHAAdQB0AFwAIgA7AFwAbgAgACAAIAAgACAAIAAgACAAIAAgAFwAIgBQAF8AZABvAGwAXAAiACwAXAAiAGYAcgBhAGMAdABpAG8AbgBhAGwAIABwAHUAcgBpAHQAeQAgAG8AZgAgAGQAbwBsAG8AbQBpAHQAZQBcACIALAAgAFwAIgBmAHIAYQBjAHQAaQBvAG4AXAAiACwAIABcACIAQwBvAG4AcwB0AGEAbgB0AFwAIgA7AFwAbgAgACAAIAAgACAAIAAgACAAIAAgAFwAIgBFAEYAXwBkAG8AbABcACIALABcACIAZQBtAGkAcwBzAGkAbwBuACAAZgBhAGMAdABvAHIAIABmAG8AcgAgAGQAbwBsAG8AbQBpAHQAZQAgAGYAcgBhAGMAdABpAG8AbgAgAG8AZgAgAGwAaQBtAGUAXAAiACwAIABcACIAawBnACAAQwAvAGsAZwBcACIALAAgAFwAIgBDAG8AbgBzAHQAYQBuAHQAXAAiADsAXABuACAAIAAgACAAIAAgACAAIAAgACAAXAAiAEMAXwBDAE8AMgBcACIALABcACIAZgBhAGMAdABvAHIAIAB0AG8AIABjAG8AbgB2AGUAcgB0ACAAZQBsAGUAbQBlAG4AdABhAGwAIABtAGEAcwBzACAAbwBmACAAYwBhAHIAYgBvAG4AIABkAGkAbwB4AGkAZABlACAAdABvACAAbQBvAGwAZQBjAHUAbABhAHIAIABtAGEAcwBzAFwAIgAsACAAXAAiAFwAIgAsACAAXAAiAEMAbwBuAHMAdABhAG4AdABcACIAXABuACAAIAAgACAAIAAgACAAIAB9ACwAIAByACwAIABjACkAXABuACAAIAAgACAAIAAgACkAXABuACAAIAAgACAAKQBcAG4AIAAgACkAOwBcAG4AXABuAFwAbgAiAH0ALAB7ACIAcABhAHQAaAAiADoAIgAvAHAAcgBvAGoAZQBjAHQAcwAvAEYAZQByAHQAaQBsAGkAcwBlAHIAXwBFAHEAdQBhAHQAaQBvAG4AcwBfAEEAdABtAG8AcwBwAGgAZQByAGkAYwBEAGUAcABvAHMAaQB0AGkAbwBu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AAgAEkAbgBvAHIAZwBhAG4AaQBjACAAZgBlAHIAdABpAGwAaQBzAGUAcgAgAGEAdABtAG8AcwBwAGgAZQByAGkAYwAgAGQAZQBwAG8AcwBp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QAXwAxAF8AMQBfAF8AMQBfAEkAbgBvAHIAZwBhAG4AaQBjAEYAZQByAHQAaQBsAGkAcwBlAHIAQQB0AG0AbwBzAHAAaABlAHIAaQBjAEQAZQBwAG8AcwBpAHQAaQBvAG4ATgAyAE8ARQBtAGkAcwBzAGkAbwBuAHMAXABuAE4AaQB0AHIAbwB1AHMAIABvAHgAaQBkAGUAIABlAG0AaQBzAHMAaQBvAG4AcwAgAGYAcgBvAG0AIABhAHQAbQBvAHMAcABoAGUAcgBpAGMAIABkAGUAcABvAHMAaQB0AGkAbwBuACAAZgByAG8AbQAgAGEAbABsACAAaQBuAG8AcgBnAGEAbgBpAGMAIABmAGUAcgB0AGkAbABpAHMAZQByACAAdAB5AHAAZQBzACAAZgAgAGEAbgBkACAAYQBsAGwAIABwAHIAbwBkAHUAYwB0AGkAbwBuACAAcwB5AHMAdABlAG0AcwAgAGoAXABuAEUAXwBhAGQAaQBuAG8AcgBnAGEAbgBpAGMAXABuAHQAIABOADIATwBcAG4ARQBfAHsAYQBkACwAaQBuAG8AcgBnAGEAbgBpAGMAfQA9AFwAXABzAHUAbQBfAHsAagB9AFwAXABzAHUAbQBfAHsAZgB9ACgAKABNAF8AewB2AG8AbAAsAGkAbgBvAHIAZwBhAG4AaQBjACwAagBmAH0AXABcAHQAaQBtAGUAcwAgAEUARgBfAHsATgAyAE8ALABqAH0AKQBcAFwAdABpAG0AZQBzACAAQwBfAHsATgAyAE8AfQBcAFwAdABpAG0AZQBzACAAMQAwAF4AewAtADMAfQApAFwAbgBNAF8AdgBvAGwAaQBuAG8AcgBnAGEAbgBpAGMAagBmAFwAbgBFAEYAXwBOADIATwBqAFwAbgBDAF8ATgAyAE8AXABuAGoAXABuAGYAXABuAC0ALQAtAC0ALQAtAC0ALQAtAC0ALQAtAC0ALQAtAC0ALQAtAC0ALQAtAC0ALQAtAC0ALQAtAC0ALQAtAC0ALQAtAC0ALQAtAC0ALQBcAG4AKgAvAFwAbgBcAG4AVgBFAEUAUgBHAF8ANQBfADQAXwAxAF8AMQBfAF8AMQBfAEkAbgBvAHIAZwBhAG4AaQBjAEYAZQByAHQAaQBsAGkAcwBlAHIAQQB0AG0AbwBzAHAAaABlAHIAaQBjAEQAZQBwAG8AcwBpAHQAaQBvAG4ATgAyAE8ARQBtAGkAcwBzAGkAbwBuAHMAXABuACAAIAA9AEwAQQBNAEIARABBACgAXABuACAAIAAgACAATQBfAHYAbwBsAGkAbgBvAHIAZwBhAG4AaQBjAGoAZgAsACAARQBGAF8ATgAyAE8AagAsACAAQwBfAE4AMgBPACwAXABuACAAIAAgACAAKABNAF8AdgBvAGwAaQBuAG8AcgBnAGEAbgBpAGMAagBmACAAKgAgAEUARgBfAE4AMgBPAGoAKQAgACoAIABDAF8ATgAyAE8AIAAqACAAMQAwACAAXgAgAC0AMwBcAG4AIAAgACkAOwBcAG4AXABuAFYARQBFAFIARwBfADUAXwA0AF8AMQBfADEAXwBfADEAXwBJAG4AbwByAGcAYQBuAGkAYwBGAGUAcgB0AGkAbABpAHMAZQByAEEAdABtAG8AcwBwAGgAZQByAGkAYwBEAGUAcABvAHMAaQB0AGkAbwBuAE4AMgBPAEUAbQBpAHMAcwBpAG8AbgBzAF8AVABpAHQAbABlAFwAbgAgACAAPQBMAEEATQBCAEQAQQAoAFwAIgBOAGkAdAByAG8AdQBzACAAbwB4AGkAZABlACAAZQBtAGkAcwBzAGkAbwBuAHMAIABmAHIAbwBtACAAYQB0AG0AbwBzAHAAaABlAHIAaQBjACAAZABlAHAAbwBzAGkAdABpAG8AbgAgAGYAcgBvAG0AIABhAGwAbAAgAGkAbgBvAHIAZwBhAG4AaQBjACAAZgBlAHIAdABpAGwAaQBzAGUAcgAgAHQAeQBwAGUAcwAgAGYAIABhAG4AZAAgAGEAbABsACAAcAByAG8AZAB1AGMAdABpAG8AbgAgAHMAeQBzAHQAZQBtAHMAIABqAFwAIgApADsAXABuAFwAbgBWAEUARQBSAEcAXwA1AF8ANABfADEAXwAxAF8AXwAxAF8ASQBuAG8AcgBnAGEAbgBpAGMARgBlAHIAdABpAGwAaQBzAGUAcgBBAHQAbQBvAHMAcABoAGUAcgBpAGMARABlAHAAbwBzAGkAdABpAG8AbgBOADIATwBFAG0AaQBzAHMAaQBvAG4AcwBfAFYAYQByAGkAYQBiAGwAZQBcAG4AIAAgAD0ATABBAE0AQgBEAEEAKABcACIARQBfAGEAZABpAG4AbwByAGcAYQBuAGkAYwBcACIAKQA7AFwAbgBcAG4AVgBFAEUAUgBHAF8ANQBfADQAXwAxAF8AMQBfAF8AMQBfAEkAbgBvAHIAZwBhAG4AaQBjAEYAZQByAHQAaQBsAGkAcwBlAHIAQQB0AG0AbwBzAHAAaABlAHIAaQBjAEQAZQBwAG8AcwBpAHQAaQBvAG4ATgAyAE8ARQBtAGkAcwBzAGkAbwBuAHMAXwBVAG4AaQB0AFwAbgAgACAAPQBMAEEATQBCAEQAQQAoAFwAIgB0ACAATgAyAE8AXAAiACkAOwBcAG4AXABuAFYARQBFAFIARwBfADUAXwA0AF8AMQBfADEAXwBfADEAXwBJAG4AbwByAGcAYQBuAGkAYwBGAGUAcgB0AGkAbABpAHMAZQByAEEAdABtAG8AcwBwAGgAZQByAGkAYwBEAGUAcABvAHMAaQB0AGkAbwBuAE4AMgBPAEUAbQBpAHMAcwBpAG8AbgBzAF8AUwBvAHUAcgBjAGUAXABuACAAIAA9AEwAQQBNAEIARABBACgAXAAiAFYARQBFAFIARwAgADIAMAAyADYAOgAgADUALgA0AC4AMQAuADEALAAgAEUAcQB1AGEAdABpAG8AbgAgACgAMQApAFwAIgApADsAXABuAFwAbgBWAEUARQBSAEcAXwA1AF8ANABfADEAXwAxAF8AXwAxAF8ASQBuAG8AcgBnAGEAbgBpAGMARgBlAHIAdABpAGwAaQBzAGUAcgBBAHQAbQBvAHMAcABoAGUAcgBpAGMARABlAHAAbwBzAGkAdABpAG8AbgBOADIATwBFAG0AaQBzAHMAaQBvAG4AcwBfAE4ASQBSAFIAZQBmAGUAcgBlAG4AYwBlAFwAbgAgACAAPQBMAEEATQBCAEQAQQAoAFwAIgBcACIAKQA7AFwAbgBcAG4AVgBFAEUAUgBHAF8ANQBfADQAXwAxAF8AMQBfAF8AMQBfAEkAbgBvAHIAZwBhAG4AaQBjAEYAZQByAHQAaQBsAGkAcwBlAHIAQQB0AG0AbwBzAHAAaABlAHIAaQBjAEQAZQBwAG8AcwBpAHQAaQBvAG4ATgAyAE8ARQBtAGkAcwBzAGkAbwBuAHMAXwBMAGEAdABlAHgARQBxAHUAYQB0AGkAbwBuAFwAbgAgACAAPQBMAEEATQBCAEQAQQAoAFwAIgBFAF8AewBhAGQALABpAG4AbwByAGcAYQBuAGkAYwB9AD0AXABcAHMAdQBtAFwAXABuAG8AbABpAG0AaQB0AHMAXwB7AGoAfQBcAFwAcwB1AG0AXABcAG4AbwBsAGkAbQBpAHQAcwBfAHsAZgB9ACgAKABNAF8AewB2AG8AbAAsAGkAbgBvAHIAZwBhAG4AaQBjACwAagBmAH0AXABcAHQAaQBtAGUAcwAgAEUARgBfAHsATgAyAE8ALABqAH0AKQBcAFwAdABpAG0AZQBzACAAQwBfAHsATgAyAE8AfQBcAFwAdABpAG0AZQBzACAAMQAwAF4AewAtADMAfQApAFwAIgApADsAXABuAFwAbgBWAEUARQBSAEcAXwA1AF8ANABfADEAXwAxAF8AXwAxAF8ASQBuAG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kAbgBvAHIAZwBhAG4AaQBjAGoAZgBcACIALABcACIAbQBhAHMAcwAgAG8AZgAgAG4AaQB0AHIAbwBnAGUAbgAgAHYAbwBsAGEAdABpAGwAaQBzAGUAZAAgAGYAcgBvAG0AIABpAG4AbwByAGcAYQBuAGkAYwAgAGYAZQByAHQAaQBsAGkAcwBlAHIAIABhAHAAcABsAGkAZQBkACAAdABvACAAcAByAG8AZAB1AGMAdABpAG8AbgAgAHMAeQBzAHQAZQBtAFwAIgAsACAAXAAiAGsAZwAgAE4AXAAiACwAIABcACIAQwBhAGwAYwB1AGwAYQB0AGUAZAAgAGYAcgBvAG0AIAA1AC4ANAAuADEALgAxACAAKAAyACkAXAAiADsAXABuACAAIAAgACAAIAAgACAAIAAgACAAXAAiAEUARgBfAE4AMgBPAGoAXAAiACwAXAAiAGUAbQBpAHMAcwBpAG8AbgAgAGYAYQBjAHQAbwByACAAZgBvAHIAIABhAHQAbQBvAHMAcABoAGUAcgBpAGMAIABkAGUAcABvAHMAaQB0AGkAbwBuAFwAIgAsACAAXAAiAGsAZwAgAE4AMgBPAC0ATgAvAGsAZwAgAE4AXAAiACwAIABcACIAQwBvAG4AcwB0AGEAbgB0AFwAIgA7AFwAbgAgACAAIAAgACAAIAAgACAAIAAgAFwAIgBDAF8ATgAyAE8AXAAiACwAXAAiAGYAYQBjAHQAbwByACAAdABvACAAYwBvAG4AdgBlAHIAdAAgAGUAbABlAG0AZQBuAHQAYQBsACAAbQBhAHMAcwAgAG8AZgAgAG4AaQB0AHIAbwB1AHMAIABvAHgAaQBkAGUAIAB0AG8AIABtAG8AbABlAGMAdQBsAGEAcgAgAG0AYQBzAHMAXAAiACwAIABcACIAXAAiACwAIABcACIAQwBvAG4AcwB0AGEAbgB0AFwAIgA7AFwAbgAgACAAIAAgACAAIAAgACAAIAAgAFwAIgBqAFwAIgAsAFwAIgBQAHIAbwBkAHUAYwB0AGkAbwBuACAAcwB5AHMAdABlAG0AXAAiACwAIABcACIAXAAiACwAIABcACIASQBuAHAAdQB0AFwAIgA7AFwAbgAgACAAIAAgACAAIAAgACAAIAAgAFwAIgBpAHIAXAAiACwAXAAiAGkAcgByAGkAZwBhAHQAaQBvAG4AIABtAGUAdABoAG8AZABcACIALAAgAFwAIgBcACIALAAgAFwAIgBJAG4AcAB1AHQAXAAiADsAXABuACAAIAAgACAAIAAgACAAIAAgACAAXAAiAHIAXAAiACwAXAAiAHIAYQBpAG4AZgBhAGwAbAAgAHIAZQBnAGkAbwBuAFwAIgAsACAAXAAiAFwAIgAsACAAXAAiAEkAbgBwAHUAdABcACIAXABuACAAIAAgACAAIAAgACAAIAB9ACwAIAByACwAIABjACkAXABuACAAIAAgACAAIAAgACkAXABuACAAIAAgACAAKQBcAG4AIAAgACkAOwBcAG4AXABuAC8AKgAgAFwAbgAtAC0ALQAtAC0ALQAtAC0ALQAtAC0ALQAtAC0ALQAtAC0ALQAtAC0ALQAtAC0ALQAtAC0ALQAtAC0ALQAtAC0ALQAtAC0ALQAtAC0AXABuAFYARQBFAFIARwBfADUAXwA0AF8AMQBfADEAXwBfADIAXwBNAGEAcwBzAE8AZgBOAGkAdAByAG8AZwBlAG4AVgBvAGwAYQB0AGkAbABpAHMAZQBkAEYAcgBvAG0ASQBuAG8AcgBnAGEAbgBpAGMARgBlAHIAdABpAGwAaQBzAGUAcgBcAG4ATQBhAHMAcwAgAG8AZgAgAG4AaQB0AHIAbwBnAGUAbgAgAHYAbwBsAGEAdABpAGwAaQBzAGUAZAAgAGYAcgBvAG0AIABpAG4AbwByAGcAYQBuAGkAYwAgAGYAZQByAHQAaQBsAGkAcwBlAHIAIABhAHAAcABsAGkAZQBkACAAdABvACAAcAByAG8AZAB1AGMAdABpAG8AbgAgAHMAeQBzAHQAZQBtAFwAbgBNAF8AdgBvAGwAaQBuAG8AcgBnAGEAbgBpAGMAagBmAFwAbgBrAGcAIABOAFwAbgBNAF8AewB2AG8AbAAsAGkAbgBvAHIAZwBhAG4AaQBjACwAagBmAH0APQB7AE0ATgB9AF8AewBqAGYAfQBcAFwAdABpAG0AZQBzACAARgByAGEAYwBHAEEAUwBGAF8AewBmAH0AXABuAE0ATgBfAGoAZgBcAG4ARgByAGEAYwBHAEEAUwBGAF8AZgBcAG4AagBcAG4AZgBcAG4ALQAtAC0ALQAtAC0ALQAtAC0ALQAtAC0ALQAtAC0ALQAtAC0ALQAtAC0ALQAtAC0ALQAtAC0ALQAtAC0ALQAtAC0ALQAtAC0ALQAtAFwAbgAqAC8AXABuAFwAbgBWAEUARQBSAEcAXwA1AF8ANABfADEAXwAxAF8AXwAyAF8ATQBhAHMAcwBPAGYATgBpAHQAcgBvAGcAZQBuAFYAbwBsAGEAdABpAGwAaQBzAGUAZABGAHIAbwBtAEkAbgBvAHIAZwBhAG4AaQBjAEYAZQByAHQAaQBsAGkAcwBlAHIAXABuACAAIAA9AEwAQQBNAEIARABBACgAXABuACAAIAAgACAATQBOAF8AagBmACwAIABGAHIAYQBjAEcAQQBTAEYAXwBmACwAXABuACAAIAAgACAATQBOAF8AagBmACAAKgAgAEYAcgBhAGMARwBBAFMARgBfAGYAXABuACAAIAApADsAXABuAFwAbgBWAEUARQBSAEcAXwA1AF8ANABfADEAXwAxAF8AXwAyAF8ATQBhAHMAcwBPAGYATgBpAHQAcgBvAGcAZQBuAFYAbwBsAGEAdABpAGwAaQBzAGUAZABGAHIAbwBtAEkAbgBvAHIAZwBhAG4AaQBjAEYAZQByAHQAaQBsAGkAcwBlAHIAXwBUAGkAdABsAGUAXABuACAAIAA9AEwAQQBNAEIARABBACgAXAAiAE0AYQBzAHMAIABvAGYAIABuAGkAdAByAG8AZwBlAG4AIAB2AG8AbABhAHQAaQBsAGkAcwBlAGQAIABmAHIAbwBtACAAaQBuAG8AcgBnAGEAbgBpAGMAIABmAGUAcgB0AGkAbABpAHMAZQByACAAYQBwAHAAbABpAGUAZAAgAHQAbwAgAHAAcgBvAGQAdQBjAHQAaQBvAG4AIABzAHkAcwB0AGUAbQBcACIAKQA7AFwAbgBcAG4AVgBFAEUAUgBHAF8ANQBfADQAXwAxAF8AMQBfAF8AMgBfAE0AYQBzAHMATwBmAE4AaQB0AHIAbwBnAGUAbgBWAG8AbABhAHQAaQBsAGkAcwBlAGQARgByAG8AbQBJAG4AbwByAGcAYQBuAGkAYwBGAGUAcgB0AGkAbABpAHMAZQByAF8AVgBhAHIAaQBhAGIAbABlAFwAbgAgACAAPQBMAEEATQBCAEQAQQAoAFwAIgBNAF8AdgBvAGwAaQBuAG8AcgBnAGEAbgBpAGMAagBmAFwAIgApADsAXABuAFwAbgBWAEUARQBSAEcAXwA1AF8ANABfADEAXwAxAF8AXwAyAF8ATQBhAHMAcwBPAGYATgBpAHQAcgBvAGcAZQBuAFYAbwBsAGEAdABpAGwAaQBzAGUAZABGAHIAbwBtAEkAbgBvAHIAZwBhAG4AaQBjAEYAZQByAHQAaQBsAGkAcwBlAHIAXwBVAG4AaQB0AFwAbgAgACAAPQBMAEEATQBCAEQAQQAoAFwAIgBrAGcAIABOAFwAIgApADsAXABuAFwAbgBWAEUARQBSAEcAXwA1AF8ANABfADEAXwAxAF8AXwAyAF8ATQBhAHMAcwBPAGYATgBpAHQAcgBvAGcAZQBuAFYAbwBsAGEAdABpAGwAaQBzAGUAZABGAHIAbwBtAEkAbgBvAHIAZwBhAG4AaQBjAEYAZQByAHQAaQBsAGkAcwBlAHIAXwBTAG8AdQByAGMAZQBcAG4AIAAgAD0ATABBAE0AQgBEAEEAKABcACIAVgBFAEUAUgBHACAAMgAwADIANgA6ACAANQAuADQALgAxAC4AMQAsACAARQBxAHUAYQB0AGkAbwBuACAAKAAyACkAXAAiACkAOwBcAG4AXABuAFYARQBFAFIARwBfADUAXwA0AF8AMQBfADEAXwBfADIAXwBNAGEAcwBzAE8AZgBOAGkAdAByAG8AZwBlAG4AVgBvAGwAYQB0AGkAbABpAHMAZQBkAEYAcgBvAG0ASQBuAG8AcgBnAGEAbgBpAGMARgBlAHIAdABpAGwAaQBzAGUAcgBfAE4ASQBSAFIAZQBmAGUAcgBlAG4AYwBlAFwAbgAgACAAPQBMAEEATQBCAEQAQQAoAFwAIgBcACIAKQA7AFwAbgBcAG4AVgBFAEUAUgBHAF8ANQBfADQAXwAxAF8AMQBfAF8AMgBfAE0AYQBzAHMATwBmAE4AaQB0AHIAbwBnAGUAbgBWAG8AbABhAHQAaQBsAGkAcwBlAGQARgByAG8AbQBJAG4AbwByAGcAYQBuAGkAYwBGAGUAcgB0AGkAbABpAHMAZQByAF8ATABhAHQAZQB4AEUAcQB1AGEAdABpAG8AbgBcAG4AIAAgAD0ATABBAE0AQgBEAEEAKABcACIATQBfAHsAdgBvAGwALABpAG4AbwByAGcAYQBuAGkAYwAsAGoAZgB9AD0AewBNAE4AfQBfAHsAagBmAH0AXABcAHQAaQBtAGUAcwAgAEYAcgBhAGMARwBBAFMARgBfAHsAZgB9AFwAIgApADsAXABuAFwAbgBWAEUARQBSAEcAXwA1AF8ANABfADEAXwAxAF8AXwAyAF8ATQBhAHMAcwBPAGYATgBpAHQAcgBvAGcAZQBuAFYAbwBsAGEAdABpAGwAaQBzAGUAZABGAHIAbwBtAEkAbgBvAHIAZwBhAG4AaQBjAEYAZQByAHQAaQBsAGkAcwBlAHIAXwBBAHIAZwB1AG0AZQBuAHQAcwBcAG4AIAAgAD0ATABBAE0AQgBEAEEAKABcAG4AIAAgACAAIABNAEEASwBFAEEAUgBSAEEAWQAoADIALAAgADQALAAgAFwAbgAgACAAIAAgACAAIABMAEEATQBCAEQAQQAoAHIALABjACwAIABcAG4AIAAgACAAIAAgACAAIAAgAEkATgBEAEUAWAAoAHsAXABuACAAIAAgACAAIAAgACAAIAAgACAAXAAiAE0ATgBfAGoAZgBcACIALABcACIAbQBhAHMAcwAgAG8AZgAgAG4AaQB0AHIAbwBnAGUAbgAgAGkAbgAgAGkAbgBvAHIAZwBhAG4AaQBjACAAZgBlAHIAdABpAGwAaQBzAGUAcgAgAGEAcABwAGwAaQBlAGQAXAAiACwAIABcACIAawBnACAATgBcACIALAAgAFwAIgBDAGEAbABjAHUAbABhAHQAZQBkACAAZgByAG8AbQAgADUALgAxAC4AMQAuADEAIAAoADIAKQBcACIAOwBcAG4AIAAgACAAIAAgACAAIAAgACAAIABcACIARgByAGEAYwBHAEEAUwBGAF8AZgBcACIALABcACIAZgByAGEAYwB0AGkAbwBuACAAbwBmACAAaQBuAG8AcgBnAGEAbgBpAGMAIABmAGUAcgB0AGkAbABpAHMAZQByACAAdABoAGEAdAAgAHYAbwBsAGEAdABpAGwAaQBzAGUAcwBcACIALAAgAFwAIgAoAGsAZwAgAE4ASAAzAC0ATgAgACsAIABOAE8AeAAtAE4AKQAvAGsAZwAgAE4AXAAiACwAIABcACIAQwBvAG4AcwB0AGEAbgB0AFwAIgBcAG4AIAAgACAAIAAgACAAIAAgAH0ALAAgAHIALAAgAGMAKQBcAG4AIAAgACAAIAAgACAAKQBcAG4AIAAgACAAIAApAFwAbgAgACAAKQA7AFwAbgBcAG4AXABuAC8AKgAgAFwAbgAtAC0ALQAtAC0ALQAtAC0ALQAtAC0ALQAtAC0ALQAtAC0ALQAtAC0ALQAtAC0ALQAtAC0ALQAtAC0ALQAtAC0ALQAtAC0ALQAtAC0AXABuAFYARQBFAFIARwBfADUAXwA0AF8AMQBfADMAXwBfADEAXwBPAHIAZwBhAG4AaQBjAEYAZQByAHQAaQBsAGkAcwBlAHIAQQB0AG0AbwBzAHAAaABlAHIAaQBjAEQAZQBwAG8AcwBpAHQAaQBvAG4ATgAyAE8ARQBtAGkAcwBzAGkAbwBuAHMAXABu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bgBFAF8AYQBkAG8AcgBnAGEAbgBpAGMAXABuAHQAIABOADIATwBcAG4ARQBfAHsAYQBkACwAbwByAGcAYQBuAGkAYwB9AD0AXABcAHMAdQBtAF8AewBqAH0AXABcAHMAdQBtAF8AewBmAH0AKAAoAE0AXwB7AHYAbwBsACwAbwByAGcAYQBuAGkAYwAsAGoAZgB9AFwAXAB0AGkAbQBlAHMAIABFAEYAXwB7AE4AMgBPACwAagB9ACkAXABcAHQAaQBtAGUAcwAgAEMAXwB7AE4AMgBPAH0AXABcAHQAaQBtAGUAcwAgADEAMABeAHsALQAzAH0AKQBcAG4ATQBfAHYAbwBsAG8AcgBnAGEAbgBpAGMAagBmAFwAbgBFAEYAXwBOADIATwBqAFwAbgBDAF8ATgAyAE8AXABuAGoAXABuAGYAXABuAC0ALQAtAC0ALQAtAC0ALQAtAC0ALQAtAC0ALQAtAC0ALQAtAC0ALQAtAC0ALQAtAC0ALQAtAC0ALQAtAC0ALQAtAC0ALQAtAC0ALQBcAG4AKgAvAFwAbgBcAG4AVgBFAEUAUgBHAF8ANQBfADQAXwAxAF8AMwBfAF8AMQBfAE8AcgBnAGEAbgBpAGMARgBlAHIAdABpAGwAaQBzAGUAcgBBAHQAbQBvAHMAcABoAGUAcgBpAGMARABlAHAAbwBzAGkAdABpAG8AbgBOADIATwBFAG0AaQBzAHMAaQBvAG4AcwBcAG4AIAAgAD0ATABBAE0AQgBEAEEAKABcAG4AIAAgACAAIABNAF8AdgBvAGwAbwByAGcAYQBuAGkAYwBqAGYALAAgAEUARgBfAE4AMgBPAGoALAAgAEMAXwBOADIATwAsAFwAbgAgACAAIAAgACgATQBfAHYAbwBsAG8AcgBnAGEAbgBpAGMAagBmACAAKgAgAEUARgBfAE4AMgBPAGoAKQAgACoAIABDAF8ATgAyAE8AIAAqACAAMQAwACAAXgAgAC0AMwBcAG4AIAAgACkAOwBcAG4AXABuAFYARQBFAFIARwBfADUAXwA0AF8AMQBfADMAXwBfADEAXwBPAHIAZwBhAG4AaQBjAEYAZQByAHQAaQBsAGkAcwBlAHIAQQB0AG0AbwBzAHAAaABlAHIAaQBjAEQAZQBwAG8AcwBpAHQAaQBvAG4ATgAyAE8ARQBtAGkAcwBzAGkAbwBuAHMAXwBUAGkAdABsAGUAXABuACAAIAA9AEwAQQBNAEIARABBACgAXAAiAE4AaQB0AHIAbwB1AHMAIABvAHgAaQBkAGUAIABlAG0AaQBzAHMAaQBvAG4AcwAgAGYAcgBvAG0AIABhAHQAbQBvAHMAcABoAGUAcgBpAGMAIABkAGUAcABvAHMAaQB0AGkAbwBuACAAbwBmACAAYQBsAGwAIABvAHIAZwBhAG4AaQBjACAAZgBlAHIAdABpAGwAaQBzAGUAcgAgAHQAeQBwAGUAcwAgAGYAIABhAG4AZAAgAGEAbABsACAAcAByAG8AZAB1AGMAdABpAG8AbgAgAHMAeQBzAHQAZQBtAHMAIABqAFwAIgApADsAXABuAFwAbgBWAEUARQBSAEcAXwA1AF8ANABfADEAXwAzAF8AXwAxAF8ATwByAGcAYQBuAGkAYwBGAGUAcgB0AGkAbABpAHMAZQByAEEAdABtAG8AcwBwAGgAZQByAGkAYwBEAGUAcABvAHMAaQB0AGkAbwBuAE4AMgBPAEUAbQBpAHMAcwBpAG8AbgBzAF8AVgBhAHIAaQBhAGIAbABlAFwAbgAgACAAPQBMAEEATQBCAEQAQQAoAFwAIgBFAF8AYQBkAG8AcgBnAGEAbgBpAGMAXAAiACkAOwBcAG4AXABuAFYARQBFAFIARwBfADUAXwA0AF8AMQBfADMAXwBfADEAXwBPAHIAZwBhAG4AaQBjAEYAZQByAHQAaQBsAGkAcwBlAHIAQQB0AG0AbwBzAHAAaABlAHIAaQBjAEQAZQBwAG8AcwBpAHQAaQBvAG4ATgAyAE8ARQBtAGkAcwBzAGkAbwBuAHMAXwBVAG4AaQB0AFwAbgAgACAAPQBMAEEATQBCAEQAQQAoAFwAIgB0ACAATgAyAE8AXAAiACkAOwBcAG4AXABuAFYARQBFAFIARwBfADUAXwA0AF8AMQBfADMAXwBfADEAXwBPAHIAZwBhAG4AaQBjAEYAZQByAHQAaQBsAGkAcwBlAHIAQQB0AG0AbwBzAHAAaABlAHIAaQBjAEQAZQBwAG8AcwBpAHQAaQBvAG4ATgAyAE8ARQBtAGkAcwBzAGkAbwBuAHMAXwBTAG8AdQByAGMAZQBcAG4AIAAgAD0ATABBAE0AQgBEAEEAKABcACIAVgBFAEUAUgBHACAAMgAwADIANgA6ACAANQAuADQALgAxAC4AMwAsACAARQBxAHUAYQB0AGkAbwBuACAAKAAxACkAXAAiACkAOwBcAG4AXABuAFYARQBFAFIARwBfADUAXwA0AF8AMQBfADMAXwBfADEAXwBPAHIAZwBhAG4AaQBjAEYAZQByAHQAaQBsAGkAcwBlAHIAQQB0AG0AbwBzAHAAaABlAHIAaQBjAEQAZQBwAG8AcwBpAHQAaQBvAG4ATgAyAE8ARQBtAGkAcwBzAGkAbwBuAHMAXwBOAEkAUgBSAGUAZgBlAHIAZQBuAGMAZQBcAG4AIAAgAD0ATABBAE0AQgBEAEEAKABcACIAXAAiACkAOwBcAG4AXABuAFYARQBFAFIARwBfADUAXwA0AF8AMQBfADMAXwBfADEAXwBPAHIAZwBhAG4AaQBjAEYAZQByAHQAaQBsAGkAcwBlAHIAQQB0AG0AbwBzAHAAaABlAHIAaQBjAEQAZQBwAG8AcwBpAHQAaQBvAG4ATgAyAE8ARQBtAGkAcwBzAGkAbwBuAHMAXwBMAGEAdABlAHgARQBxAHUAYQB0AGkAbwBuAFwAbgAgACAAPQBMAEEATQBCAEQAQQAoAFwAIgBFAF8AewBhAGQALABvAHIAZwBhAG4AaQBjAH0APQBcAFwAcwB1AG0AXABcAG4AbwBsAGkAbQBpAHQAcwBfAHsAagB9AFwAXABzAHUAbQBcAFwAbgBvAGwAaQBtAGkAdABzAF8AewBmAH0AKAAoAE0AXwB7AHYAbwBsACwAbwByAGcAYQBuAGkAYwAsAGoAZgB9AFwAXAB0AGkAbQBlAHMAIABFAEYAXwB7AE4AMgBPACwAagB9ACkAXABcAHQAaQBtAGUAcwAgAEMAXwB7AE4AMgBPAH0AXABcAHQAaQBtAGUAcwAgADEAMABeAHsALQAzAH0AKQBcACIAKQA7AFwAbgBcAG4AVgBFAEUAUgBHAF8ANQBfADQAXwAxAF8AMwBfAF8AMQBfAE8AcgBnAGEAbgBpAGMARgBlAHIAdABpAGwAaQBzAGUAcgBBAHQAbQBvAHMAcABoAGUAcgBpAGMARABlAHAAbwBzAGkAdABpAG8AbgBOADIATwBFAG0AaQBzAHMAaQBvAG4AcwBfAEEAcgBnAHUAbQBlAG4AdABzAFwAbgAgACAAPQBMAEEATQBCAEQAQQAoAFwAbgAgACAAIAAgAE0AQQBLAEUAQQBSAFIAQQBZACgANgAsACAANAAsACAAXABuACAAIAAgACAAIAAgAEwAQQBNAEIARABBACgAcgAsAGMALAAgAFwAbgAgACAAIAAgACAAIAAgACAASQBOAEQARQBYACgAewBcAG4AIAAgACAAIAAgACAAIAAgACAAIABcACIATQBfAHYAbwBsAG8AcgBnAGEAbgBpAGMAagBmAFwAIgAsAFwAIgBtAGEAcwBzACAAbwBmACAAbgBpAHQAcgBvAGcAZQBuACAAdgBvAGwAYQB0AGkAbABpAHMAZQBkACAAZgByAG8AbQAgAG8AcgBnAGEAbgBpAGMAIABmAGUAcgB0AGkAbABpAHMAZQByACAAYQBwAHAAbABpAGUAZAAgAHQAbwAgAHAAcgBvAGQAdQBjAHQAaQBvAG4AIABzAHkAcwB0AGUAbQBcACIALAAgAFwAIgBrAGcAIABOAFwAIgAsACAAXAAiAEMAYQBsAGMAdQBsAGEAdABlAGQAIABmAHIAbwBtACAANQAuADQALgAxAC4AMwAgACgAMgApAFwAIgA7AFwAbgAgACAAIAAgACAAIAAgACAAIAAgAFwAIgBFAEYAXwBOADIATwBqAFwAIgAsAFwAIgBlAG0AaQBzAHMAaQBvAG4AIABmAGEAYwB0AG8AcgAgAGYAbwByACAAYQB0AG0AbwBzAHAAaABlAHIAaQBjACAAZABlAHAAbwBzAGkAdABpAG8AbgAgAGkAbgAgAHAAcgBvAGQAdQBjAHQAaQBvAG4AIABzAHkAcwB0AGUAbQAgAGoAXAAiACwAIABcACIAawBnACAATgAyAE8ALQBOAC8AawBnACAATgBcACIALAAgAFwAIgBDAG8AbgBzAHQAYQBuAHQAXAAiADsAXABuACAAIAAgACAAIAAgACAAIAAgACAAXAAiAEMAXwBOADIATwBcACIAL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XAAiAFAAcgBvAGQAdQBjAHQAaQBvAG4AIABzAHkAcwB0AGUAbQBcACIALAAgAFwAIgBcACIALAAgAFwAIgBJAG4AcAB1AHQAXAAiADsAXABuACAAIAAgACAAIAAgACAAIAAgACAAXAAiAGkAcgBcACIALABcACIAaQByAHIAaQBnAGEAdABpAG8AbgAgAG0AZQB0AGgAbwBkAFwAIgAsACAAXAAiAFwAIgAsACAAXAAiAEkAbgBwAHUAdABcACIAOwBcAG4AIAAgACAAIAAgACAAIAAgACAAIABcACIAcgBcACIALABcACIAcgBhAGkAbgBmAGEAbABsACAAcgBlAGcAaQBvAG4AXAAiACwAIABcACIAXAAiACwAIABcACIASQBuAHAAdQB0AFwAIgBcAG4AIAAgACAAIAAgACAAIAAgAH0ALAAgAHIALAAgAGMAKQBcAG4AIAAgACAAIAAgACAAKQBcAG4AIAAgACAAIAApAFwAbgAgACAAKQA7AFwAbgBcAG4ALwAqACAAXABuAC0ALQAtAC0ALQAtAC0ALQAtAC0ALQAtAC0ALQAtAC0ALQAtAC0ALQAtAC0ALQAtAC0ALQAtAC0ALQAtAC0ALQAtAC0ALQAtAC0ALQBcAG4AVgBFAEUAUgBHAF8ANQBfADQAXwAxAF8AMwBfAF8AMgBfAE0AYQBzAHMATwBmAE4AaQB0AHIAbwBnAGUAbgBWAG8AbABhAHQAaQBsAGkAcwBlAGQARgByAG8AbQBPAHIAZwBhAG4AaQBjAEYAZQByAHQAaQBsAGkAcwBlAHIAXABuAE0AYQBzAHMAIABvAGYAIABuAGkAdAByAG8AZwBlAG4AIAB2AG8AbABhAHQAaQBsAGkAcwBlAGQAIABmAHIAbwBtACAAbwByAGcAYQBuAGkAYwAgAGYAZQByAHQAaQBsAGkAcwBlAHIAIABhAHAAcABsAGkAZQBkACAAdABvACAAcAByAG8AZAB1AGMAdABpAG8AbgAgAHMAeQBzAHQAZQBtAFwAbgBNAF8AdgBvAGwAbwByAGcAYQBuAGkAYwBqAGYAXABuAGsAZwAgAE4AXABuAE0AXwB7AHYAbwBsACwAbwByAGcAYQBuAGkAYwAsAGoAZgB9AD0ATQBOAFMAbwBpAGwAXwB7AGoAZgB9AFwAXAB0AGkAbQBlAHMAIABGAHIAYQBjAEcAQQBTAE0AXwB7AHMAbwBpAGwAfQBcAG4ATQBOAFMAbwBpAGwAXwBqAGYAXABuAEYAcgBhAGMARwBBAFMATQBfAHMAbwBpAGwAXABuAGoAXABuAGYAXABuAC0ALQAtAC0ALQAtAC0ALQAtAC0ALQAtAC0ALQAtAC0ALQAtAC0ALQAtAC0ALQAtAC0ALQAtAC0ALQAtAC0ALQAtAC0ALQAtAC0ALQBcAG4AKgAvAFwAbgBcAG4AVgBFAEUAUgBHAF8ANQBfADQAXwAxAF8AMwBfAF8AMgBfAE0AYQBzAHMATwBmAE4AaQB0AHIAbwBnAGUAbgBWAG8AbABhAHQAaQBsAGkAcwBlAGQARgByAG8AbQBPAHIAZwBhAG4AaQBjAEYAZQByAHQAaQBsAGkAcwBlAHIAXABuACAAIAA9AEwAQQBNAEIARABBACgAXABuACAAIAAgACAATQBOAFMAbwBpAGwAXwBqAGYALAAgAEYAcgBhAGMARwBBAFMATQBfAHMAbwBpAGwALABcAG4AIAAgACAAIABNAE4AUwBvAGkAbABfAGoAZgAgACoAIABGAHIAYQBjAEcAQQBTAE0AXwBzAG8AaQBsAFwAbgAgACAAKQA7AFwAbgBcAG4AVgBFAEUAUgBHAF8ANQBfADQAXwAxAF8AMwBfAF8AMgBfAE0AYQBzAHMATwBmAE4AaQB0AHIAbwBnAGUAbgBWAG8AbABhAHQAaQBsAGkAcwBlAGQARgByAG8AbQBPAHIAZwBhAG4AaQBjAEYAZQByAHQAaQBsAGkAcwBlAHIAXwBUAGkAdABsAGUAXABuACAAIAA9AEwAQQBNAEIARABBACgAXAAiAE0AYQBzAHMAIABvAGYAIABuAGkAdAByAG8AZwBlAG4AIAB2AG8AbABhAHQAaQBsAGkAcwBlAGQAIABmAHIAbwBtACAAbwByAGcAYQBuAGkAYwAgAGYAZQByAHQAaQBsAGkAcwBlAHIAIABhAHAAcABsAGkAZQBkACAAdABvACAAcAByAG8AZAB1AGMAdABpAG8AbgAgAHMAeQBzAHQAZQBtAFwAIgApADsAXABuAFwAbgBWAEUARQBSAEcAXwA1AF8ANABfADEAXwAzAF8AXwAyAF8ATQBhAHMAcwBPAGYATgBpAHQAcgBvAGcAZQBuAFYAbwBsAGEAdABpAGwAaQBzAGUAZABGAHIAbwBtAE8AcgBnAGEAbgBpAGMARgBlAHIAdABpAGwAaQBzAGUAcgBfAFYAYQByAGkAYQBiAGwAZQBcAG4AIAAgAD0ATABBAE0AQgBEAEEAKABcACIATQBfAHYAbwBsAG8AcgBnAGEAbgBpAGMAagBmAFwAIgApADsAXABuAFwAbgBWAEUARQBSAEcAXwA1AF8ANABfADEAXwAzAF8AXwAyAF8ATQBhAHMAcwBPAGYATgBpAHQAcgBvAGcAZQBuAFYAbwBsAGEAdABpAGwAaQBzAGUAZABGAHIAbwBtAE8AcgBnAGEAbgBpAGMARgBlAHIAdABpAGwAaQBzAGUAcgBfAFUAbgBpAHQAXABuACAAIAA9AEwAQQBNAEIARABBACgAXAAiAGsAZwAgAE4AXAAiACkAOwBcAG4AXABuAFYARQBFAFIARwBfADUAXwA0AF8AMQBfADMAXwBfADIAXwBNAGEAcwBzAE8AZgBOAGkAdAByAG8AZwBlAG4AVgBvAGwAYQB0AGkAbABpAHMAZQBkAEYAcgBvAG0ATwByAGcAYQBuAGkAYwBGAGUAcgB0AGkAbABpAHMAZQByAF8AUwBvAHUAcgBjAGUAXABuACAAIAA9AEwAQQBNAEIARABBACgAXAAiAFYARQBFAFIARwAgADIAMAAyADYAOgAgADUALgA0AC4AMQAuADMALAAgAEUAcQB1AGEAdABpAG8AbgAgACgAMgApAFwAIgApADsAXABuAFwAbgBWAEUARQBSAEcAXwA1AF8ANABfADEAXwAzAF8AXwAyAF8ATQBhAHMAcwBPAGYATgBpAHQAcgBvAGcAZQBuAFYAbwBsAGEAdABpAGwAaQBzAGUAZABGAHIAbwBtAE8AcgBnAGEAbgBpAGMARgBlAHIAdABpAGwAaQBzAGUAcgBfAE4ASQBSAFIAZQBmAGUAcgBlAG4AYwBlAFwAbgAgACAAPQBMAEEATQBCAEQAQQAoAFwAIgBcACIAKQA7AFwAbgBcAG4AVgBFAEUAUgBHAF8ANQBfADQAXwAxAF8AMwBfAF8AMgBfAE0AYQBzAHMATwBmAE4AaQB0AHIAbwBnAGUAbgBWAG8AbABhAHQAaQBsAGkAcwBlAGQARgByAG8AbQBPAHIAZwBhAG4AaQBjAEYAZQByAHQAaQBsAGkAcwBlAHIAXwBMAGEAdABlAHgARQBxAHUAYQB0AGkAbwBuAFwAbgAgACAAPQBMAEEATQBCAEQAQQAoAFwAIgBNAF8AewB2AG8AbAAsAG8AcgBnAGEAbgBpAGMALABqAGYAfQA9AE0ATgBTAG8AaQBsAF8AewBqAGYAfQBcAFwAdABpAG0AZQBzACAARgByAGEAYwBHAEEAUwBNAF8AewBzAG8AaQBsAH0AXAAiACkAOwBcAG4AXABuAFYARQBFAFIARwBfADUAXwA0AF8AMQBfADMAXwBfADIAXwBNAGEAcwBzAE8AZgBOAGkAdAByAG8AZwBlAG4AVgBvAGwAYQB0AGkAbABpAHMAZQBkAEYAcgBvAG0ATwByAGcAYQBuAGkAYwBGAGUAcgB0AGkAbABpAHMAZQByAF8AQQByAGcAdQBtAGUAbgB0AHMAXABuACAAIAA9AEwAQQBNAEIARABBACgAXABuACAAIAAgACAATQBBAEsARQBBAFIAUgBBAFkAKAAyACwAIAA0ACwAIABcAG4AIAAgACAAIAAgACAATABBAE0AQgBEAEEAKAByACwAYwAsACAAXABuACAAIAAgACAAIAAgACAAIABJAE4ARABFAFgAKAB7AFwAbgAgACAAIAAgACAAIAAgACAAIAAgAFwAIgBNAE4AUwBvAGkAbABfAGoAZgBcACIALABcACIAbQBhAHMAcwAgAG8AZgAgAG4AaQB0AHIAbwBnAGUAbgAgAGkAbgAgAG8AcgBnAGEAbgBpAGMAIABmAGUAcgB0AGkAbABpAHMAZQByACAAdAB5AHAAZQAgAGYAIABhAHAAcABsAGkAZQBkACAAdABvACAAcAByAG8AZAB1AGMAdABpAG8AbgAgAHMAeQBzAHQAZQBtACAAagBcACIALAAgAFwAIgBrAGcAIABOAFwAIgAsACAAXAAiAEMAYQBsAGMAdQBsAGEAdABlAGQAIABmAHIAbwBtACAANQAuADIALgAxAC4AMQAgACgAMgApAFwAIgA7AFwAbgAgACAAIAAgACAAIAAgACAAIAAgAFwAIgBGAHIAYQBjAEcAQQBTAE0AXwBzAG8AaQBsAFwAIgAsAFwAIgBmAHIAYQBjAHQAaQBvAG4AIABvAGYAIABvAHIAZwBhAG4AaQBjACAAZgBlAHIAdABpAGwAaQBzAGUAcgAgAE4AIAB0AGgAYQB0ACAAdgBvAGwAYQB0AGkAbABpAHMAZQBzAFwAIgAsACAAXAAiACgAawBnACAATgBIADMALQBOACAAKwAgAE4ATwB4AC0ATgApAC8AawBnACAATgBcACIALAAgAFwAIgBDAG8AbgBzAHQAYQBuAHQAXAAiAFwAbgAgACAAIAAgACAAIAAgACAAfQAsACAAcgAsACAAYwApAFwAbgAgACAAIAAgACAAIAApAFwAbgAgACAAIAAgACkAXABuACAAIAApADsAXABuACIAfQAsAHsAIgBwAGEAdABoACIAOgAiAC8AcAByAG8AagBlAGMAdABzAC8ARgBlAHIAdABpAGwAaQBzAGUAcgBfAEUAcQB1AGEAdABpAG8AbgBzAF8ATABlAGEAYwBoAGkAbgBnAEEAbgBkAFIAdQBuAG8AZgBmACIALAAiAHQAZQB4AHQAIgA6ACIALwAqAFwAbgA9AD0APQA9AD0APQA9AD0APQA9AD0APQA9AD0APQA9AD0APQA9AD0APQA9AD0APQA9AD0APQA9AD0APQA9AD0APQA9AD0APQA9AD0AXABuADUAOgAgAEYAZQByAHQAaQBsAGkAcwBlAHIAIABVAHMAZQBcAG4APQA9AD0APQA9AD0APQA9AD0APQA9AD0APQA9AD0APQA9AD0APQA9AD0APQA9AD0APQA9AD0APQA9AD0APQA9AD0APQA9AD0APQA9AFwAbgA1AC4ANQAgAEwAZQBhAGMAaABpAG4AZwAgAGEAbgBkACAAcgB1AG4ALQBvAGYAZgAgAHIAZQBzAHUAbAB0AGkAbgBnACAAZgByAG8AbQAgAGYAZQByAHQAaQBsAGkAcwBlAHIAIABhAHAAcABsAGkAYwBhAHQAaQBvAG4AXABuAD0APQA9AD0APQA9AD0APQA9AD0APQA9AD0APQA9AD0APQA9AD0APQA9AD0APQA9AD0APQA9AD0APQA9AD0APQA9AD0APQA9AD0APQBcAG4AKgAvAFwAbgBcAG4ALwAqACAAXABuAC0ALQAtAC0ALQAtAC0ALQAtAC0ALQAtAC0ALQAtAC0ALQAtAC0ALQAtAC0ALQAtAC0ALQAtAC0ALQAtAC0ALQAtAC0ALQAtAC0ALQBcAG4AVgBFAEUAUgBHAF8ANQBfADUAXwAxAF8AMQBfAF8AMQBfAEYAZQByAHQAaQBsAGkAcwBlAHIATABlAGEAYwBoAGkAbgBnAEEAbgBkAFIAdQBuAG8AZgBmAE4AMgBPAEUAbQBpAHMAcwBpAG8AbgBzAFwAbgBOAGkAdAByAG8AdQBzACAAbwB4AGkAZABlACAAZQBtAGkAcwBzAGkAbwBuAHMAIABmAHIAbwBtACAAbgBpAHQAcgBvAGcAZQBuACAAbABlAGEAYwBoAGkAbgBnACAAYQBuAGQAIAByAHUAbgBvAGYAZgAgAGYAcgBvAG0AIAB0AGgAZQAgAGEAcABwAGwAaQBjAGEAdABpAG8AbgAgAG8AZgAgAGEAbABsACAAZgBlAHIAdABpAGwAaQBzAGUAcgBzACAAYQBjAHIAbwBzAHMAIABhAGwAbAAgAHAAcgBvAGQAdQBjAHQAaQBvAG4AIABzAHkAcwB0AGUAbQBzACAAagBcAG4ARQBfAGYAZQByAHQAbABlAGEAYwBoAFwAbgB0ACAATgAyAE8AXABuAEUAXwB7AGYAZQByAHQALABsAGUAYQBjAGgAfQA9AFwAXABzAHUAbQBfAHsAagB9ACgAKABNAF8AewBsAGUAYQBjAGgALABpAG4AbwByAGcAYQBuAGkAYwAsAGoAfQArAE0AXwB7AGwAZQBhAGMAaAAsAG8AcgBnAGEAbgBpAGMALABqAH0AKQBcAFwAdABpAG0AZQBzACAARQBGAF8AewBsAGUAYQBjAGgAfQBcAFwAdABpAG0AZQBzACAAQwBfAHsATgAyAE8AfQBcAFwAdABpAG0AZQBzACAAMQAwAF4AewAtADMAfQApAFwAbgBNAF8AbABlAGEAYwBoAGkAbgBvAHIAZwBhAG4AaQBjAGoAXABuAE0AXwBsAGUAYQBjAGgAbwByAGcAYQBuAGkAYwBqAFwAbgBFAEYAXwBsAGUAYQBjAGgAXABuAEMAXwBOADIATwBcAG4AagBcAG4ALQAtAC0ALQAtAC0ALQAtAC0ALQAtAC0ALQAtAC0ALQAtAC0ALQAtAC0ALQAtAC0ALQAtAC0ALQAtAC0ALQAtAC0ALQAtAC0ALQAtAFwAbgAqAC8AXABuAFwAbgBWAEUARQBSAEcAXwA1AF8ANQBfADEAXwAxAF8AXwAxAF8ARgBlAHIAdABpAGwAaQBzAGUAcgBMAGUAYQBjAGgAaQBuAGcAQQBuAGQAUgB1AG4AbwBmAGYATgAyAE8ARQBtAGkAcwBzAGkAbwBuAHMAXABuACAAIAA9AEwAQQBNAEIARABBACgAXABuACAAIAAgACAATQBfAGwAZQBhAGMAaABpAG4AbwByAGcAYQBuAGkAYwBqACwAIABNAF8AbABlAGEAYwBoAG8AcgBnAGEAbgBpAGMAagAsACAARQBGAF8AbABlAGEAYwBoACwAIABDAF8ATgAyAE8ALABcAG4AIAAgACAAIAAoAE0AXwBsAGUAYQBjAGgAaQBuAG8AcgBnAGEAbgBpAGMAagAgACsAIABNAF8AbABlAGEAYwBoAG8AcgBnAGEAbgBpAGMAagApACAAKgAgAEUARgBfAGwAZQBhAGMAaAAgACoAIABDAF8ATgAyAE8AIAAqACAAMQAwACAAXgAgAC0AMwBcAG4AIAAgACkAOwBcAG4AXABuAFYARQBFAFIARwBfADUAXwA1AF8AMQBfADEAXwBfADEAXwBGAGUAcgB0AGkAbABpAHMAZQByAEwAZQBhAGMAaABpAG4AZwBBAG4AZABSAHUAbgBvAGYAZgBOADIATwBFAG0AaQBzAHMAaQBvAG4AcwBfAFQAaQB0AGwAZQBcAG4AIAAgAD0ATABBAE0AQgBEAEEAKABcACIATgBpAHQAcgBvAHUAcwAgAG8AeABpAGQAZQAgAGUAbQBpAHMAcwBpAG8AbgBzACAAZgByAG8AbQAgAG4AaQB0AHIAbwBnAGUAbgAgAGwAZQBhAGMAaABpAG4AZwAgAGEAbgBkACAAcgB1AG4AbwBmAGYAIABmAHIAbwBtACAAdABoAGUAIABhAHAAcABsAGkAYwBhAHQAaQBvAG4AIABvAGYAIABhAGwAbAAgAGYAZQByAHQAaQBsAGkAcwBlAHIAcwAgAGEAYwByAG8AcwBzACAAYQBsAGwAIABwAHIAbwBkAHUAYwB0AGkAbwBuACAAcwB5AHMAdABlAG0AcwAgAGoAXAAiACkAOwBcAG4AXABuAFYARQBFAFIARwBfADUAXwA1AF8AMQBfADEAXwBfADEAXwBGAGUAcgB0AGkAbABpAHMAZQByAEwAZQBhAGMAaABpAG4AZwBBAG4AZABSAHUAbgBvAGYAZgBOADIATwBFAG0AaQBzAHMAaQBvAG4AcwBfAFYAYQByAGkAYQBiAGwAZQBcAG4AIAAgAD0ATABBAE0AQgBEAEEAKABcACIARQBfAGYAZQByAHQAbABlAGEAYwBoAFwAIgApADsAXABuAFwAbgBWAEUARQBSAEcAXwA1AF8ANQBfADEAXwAxAF8AXwAxAF8ARgBlAHIAdABpAGwAaQBzAGUAcgBMAGUAYQBjAGgAaQBuAGcAQQBuAGQAUgB1AG4AbwBmAGYATgAyAE8ARQBtAGkAcwBzAGkAbwBuAHMAXwBVAG4AaQB0AFwAbgAgACAAPQBMAEEATQBCAEQAQQAoAFwAIgB0ACAATgAyAE8AXAAiACkAOwBcAG4AXABuAFYARQBFAFIARwBfADUAXwA1AF8AMQBfADEAXwBfADEAXwBGAGUAcgB0AGkAbABpAHMAZQByAEwAZQBhAGMAaABpAG4AZwBBAG4AZABSAHUAbgBvAGYAZgBOADIATwBFAG0AaQBzAHMAaQBvAG4AcwBfAFMAbwB1AHIAYwBlAFwAbgAgACAAPQBMAEEATQBCAEQAQQAoAFwAIgBWAEUARQBSAEcAIAAyADAAMgA2ADoAIAA1AC4ANQAsACAARQBxAHUAYQB0AGkAbwBuACAAKAAxACkAXAAiACkAOwBcAG4AXABuAFYARQBFAFIARwBfADUAXwA1AF8AMQBfADEAXwBfADEAXwBGAGUAcgB0AGkAbABpAHMAZQByAEwAZQBhAGMAaABpAG4AZwBBAG4AZABSAHUAbgBvAGYAZgBOADIATwBFAG0AaQBzAHMAaQBvAG4AcwBfAE4ASQBSAFIAZQBmAGUAcgBlAG4AYwBlAFwAbgAgACAAPQBMAEEATQBCAEQAQQAoAFwAIgBcACIAKQA7AFwAbgBcAG4AVgBFAEUAUgBHAF8ANQBfADUAXwAxAF8AMQBfAF8AMQBfAEYAZQByAHQAaQBsAGkAcwBlAHIATABlAGEAYwBoAGkAbgBnAEEAbgBkAFIAdQBuAG8AZgBmAE4AMgBPAEUAbQBpAHMAcwBpAG8AbgBzAF8ATABhAHQAZQB4AEUAcQB1AGEAdABpAG8AbgBcAG4AIAAgAD0ATABBAE0AQgBEAEEAKABcACIARQBfAHsAZgBlAHIAdAAsAGwAZQBhAGMAaAB9AD0AXABcAHMAdQBtAF8AewBqAH0AKAAoAE0AXwB7AGwAZQBhAGMAaAAsAGkAbgBvAHIAZwBhAG4AaQBjACwAagB9ACsATQBfAHsAbABlAGEAYwBoACwAbwByAGcAYQBuAGkAYwAsAGoAfQApAFwAXAB0AGkAbQBlAHMAIABFAEYAXwB7AGwAZQBhAGMAaAB9AFwAXAB0AGkAbQBlAHMAIABDAF8AewBOADIATwB9AFwAXAB0AGkAbQBlAHMAIAAxADAAXgB7AC0AMwB9ACkAXAAiACkAOwBcAG4AXABuAFYARQBFAFIARwBfADUAXwA1AF8AMQBfADEAXwBfADEAXwBGAGUAcgB0AGkAbABpAHMAZQByAEwAZQBhAGMAaABpAG4AZwBBAG4AZABSAHUAbgBvAGYAZgBOADIATwBFAG0AaQBzAHMAaQBvAG4AcwBfAEEAcgBnAHUAbQBlAG4AdABzAFwAbgAgACAAPQBMAEEATQBCAEQAQQAoAFwAbgAgACAAIAAgAE0AQQBLAEUAQQBSAFIAQQBZACgANAAsACAANAAsACAAXABuACAAIAAgACAAIAAgAEwAQQBNAEIARABBACgAcgAsAGMALAAgAFwAbgAgACAAIAAgACAAIAAgACAASQBOAEQARQBYACgAewBcAG4AIAAgACAAIAAgACAAIAAgACAAIABcACIATQBfAGwAZQBhAGMAaABpAG4AbwByAGcAYQBuAGkAYwBqAFwAIgAsAFwAIgBtAGEAcwBzACAAbwBmACAAbgBpAHQAcgBvAGcAZQBuACAAbABvAHMAdAAgAHQAaAByAG8AdQBnAGgAIABsAGUAYQBjAGgAaQBuAGcAIABhAG4AZAAgAHIAdQBuAG8AZgBmACAAZgByAG8AbQAgAGkAbgBvAHIAZwBhAG4AaQBjACAAZgBlAHIAdABpAGwAaQBzAGUAcgAgAGEAcABwAGwAaQBjAGEAdABpAG8AbgAgAGkAbgAgAHAAcgBvAGQAdQBjAHQAaQBvAG4AIABzAHkAcwB0AGUAbQAgAGoAXAAiACwAIABcACIAawBnACAATgBcACIALAAgAFwAIgBDAGEAbABjAHUAbABhAHQAZQBkACAAZgByAG8AbQAgADUALgA1AC4AMQAuADEAIAAoADIAKQBcACIAOwBcAG4AIAAgACAAIAAgACAAIAAgACAAIABcACIATQBfAGwAZQBhAGMAaABvAHIAZwBhAG4AaQBjAGoAXAAiACwAXAAiAG0AYQBzAHMAIABvAGYAIABuAGkAdAByAG8AZwBlAG4AIABsAG8AcwB0ACAAdABoAHIAbwB1AGcAaAAgAGwAZQBhAGMAaABpAG4AZwAgAGEAbgBkACAAcgB1AG4AbwBmAGYAIABmAHIAbwBtACAAbwByAGcAYQBuAGkAYwAgAGYAZQByAHQAaQBsAGkAcwBlAHIAIABhAHAAcABsAGkAYwBhAHQAaQBvAG4AXAAiACwAIABcACIAawBnACAATgBcACIALAAgAFwAIgBDAGEAbABjAHUAbABhAHQAZQBkACAAZgByAG8AbQAgADUALgA1AC4AMQAuADEAIAAoADMAKQBcACIAOwBcAG4AIAAgACAAIAAgACAAIAAgACAAIABcACIARQBGAF8AbABlAGEAYwBoAFwAIgAsAFwAIgBlAG0AaQBzAHMAaQBvAG4AIABmAGEAYwB0AG8AcgAgAGYAbwByACAAbgBpAHQAcgBvAGcAZQBuACAAbABlAGEAYwBoAGkAbgBnACAAYQBuAGQAIAByAHUAbgBvAGYAZgBcACIALAAgAFwAIgBrAGcAIABOADIATwAtAE4ALwBrAGcAIABOAFwAIgAsACAAXAAiAEMAbwBuAHMAdABhAG4AdABcACIAOwBcAG4AIAAgACAAIAAgACAAIAAgACAAIABcACIAQwBfAE4AMgBPAFwAIgAs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AgAFwAbgAtAC0ALQAtAC0ALQAtAC0ALQAtAC0ALQAtAC0ALQAtAC0ALQAtAC0ALQAtAC0ALQAtAC0ALQAtAC0ALQAtAC0ALQAtAC0ALQAtAC0AXABuAFYARQBFAFIARwBfADUAXwA1AF8AMQBfADEAXwBfADIAXwBNAGEAcwBzAE8AZgBOAGkAdAByAG8AZwBlAG4ATABlAGEAYwBoAGUAZABGAHIAbwBtAEkAbgBvAHIAZwBhAG4AaQBjAEYAZQByAHQAaQBsAGkAcwBlAHIAXABuAE0AYQBzAHMAIABvAGYAIABuAGkAdAByAG8AZwBlAG4AIABsAG8AcwB0ACAAdABoAHIAbwB1AGcAaAAgAGwAZQBhAGMAaABpAG4AZwAgAGEAbgBkACAAcgB1AG4AbwBmAGYAIABmAHIAbwBtACAAaQBuAG8AcgBnAGEAbgBpAGMAIABmAGUAcgB0AGkAbABpAHMAZQByACAAYQBwAHAAbABpAGMAYQB0AGkAbwBuACAAaQBuACAAcAByAG8AZAB1AGMAdABpAG8AbgAgAHMAeQBzAHQAZQBtACAAagBcAG4ATQBfAGwAZQBhAGMAaABpAG4AbwByAGcAYQBuAGkAYwBqAFwAbgBrAGcAIABOAFwAbgBNAF8AewBsAGUAYQBjAGgALABpAG4AbwByAGcAYQBuAGkAYwAsAGoAfQA9AFwAXABzAHUAbQBfAHsAZgB9ACgAewBNAE4AfQBfAHsAagBmAH0AXABcAHQAaQBtAGUAcwAgAEYAcgBhAGMAXwB7AFcARQBUACwAagB9AFwAXAB0AGkAbQBlAHMAIABGAHIAYQBjAF8AewBMAEUAQQBDAEgAfQApAFwAbgBNAE4AXwBqAGYAXABuAEYAcgBhAGMAVwBFAFQAagBcAG4ARgByAGEAYwBMAEUAQQBDAEgAXABuAGoAXABuAGYAXABuAC0ALQAtAC0ALQAtAC0ALQAtAC0ALQAtAC0ALQAtAC0ALQAtAC0ALQAtAC0ALQAtAC0ALQAtAC0ALQAtAC0ALQAtAC0ALQAtAC0ALQBcAG4AKgAvAFwAbgBcAG4AVgBFAEUAUgBHAF8ANQBfADUAXwAxAF8AMQBfAF8AMgBfAE0AYQBzAHMATwBmAE4AaQB0AHIAbwBnAGUAbgBMAGUAYQBjAGgAZQBkAEYAcgBvAG0ASQBuAG8AcgBnAGEAbgBpAGMARgBlAHIAdABpAGwAaQBzAGUAcgBcAG4AIAAgAD0ATABBAE0AQgBEAEEAKABcAG4AIAAgACAAIABNAE4AXwBqAGYALAAgAEYAcgBhAGMAVwBFAFQAagAsACAARgByAGEAYwBMAEUAQQBDAEgALABcAG4AIAAgACAAIABNAE4AXwBqAGYAIAAqACAARgByAGEAYwBXAEUAVABqACAAKgAgAEYAcgBhAGMATABFAEEAQwBIAFwAbgAgACAAKQA7AFwAbgBcAG4AVgBFAEUAUgBHAF8ANQBfADUAXwAxAF8AMQBfAF8AMgBfAE0AYQBzAHMATwBmAE4AaQB0AHIAbwBnAGUAbgBMAGUAYQBjAGgAZQBkAEYAcgBvAG0ASQBuAG8AcgBnAGEAbgBpAGMARgBlAHIAdABpAGwAaQBzAGUAcgBfAFQAaQB0AGwAZQBcAG4AIAAgAD0ATABBAE0AQgBEAEEAKABcACIATQBhAHMAcwAgAG8AZgAgAG4AaQB0AHIAbwBnAGUAbgAgAGwAbwBzAHQAIAB0AGgAcgBvAHUAZwBoACAAbABlAGEAYwBoAGkAbgBnACAAYQBuAGQAIAByAHUAbgBvAGYAZgAgAGYAcgBvAG0AIABpAG4AbwByAGcAYQBuAGkAYwAgAGYAZQByAHQAaQBsAGkAcwBlAHIAIABhAHAAcABsAGkAYwBhAHQAaQBvAG4AIABpAG4AIABwAHIAbwBkAHUAYwB0AGkAbwBuACAAcwB5AHMAdABlAG0AIABqAFwAIgApADsAXABuAFwAbgBWAEUARQBSAEcAXwA1AF8ANQBfADEAXwAxAF8AXwAyAF8ATQBhAHMAcwBPAGYATgBpAHQAcgBvAGcAZQBuAEwAZQBhAGMAaABlAGQARgByAG8AbQBJAG4AbwByAGcAYQBuAGkAYwBGAGUAcgB0AGkAbABpAHMAZQByAF8AVgBhAHIAaQBhAGIAbABlAFwAbgAgACAAPQBMAEEATQBCAEQAQQAoAFwAIgBNAF8AbABlAGEAYwBoAGkAbgBvAHIAZwBhAG4AaQBjAGoAXAAiACkAOwBcAG4AXABuAFYARQBFAFIARwBfADUAXwA1AF8AMQBfADEAXwBfADIAXwBNAGEAcwBzAE8AZgBOAGkAdAByAG8AZwBlAG4ATABlAGEAYwBoAGUAZABGAHIAbwBtAEkAbgBvAHIAZwBhAG4AaQBjAEYAZQByAHQAaQBsAGkAcwBlAHIAXwBVAG4AaQB0AFwAbgAgACAAPQBMAEEATQBCAEQAQQAoAFwAIgBrAGcAIABOAFwAIgApADsAXABuAFwAbgBWAEUARQBSAEcAXwA1AF8ANQBfADEAXwAxAF8AXwAyAF8ATQBhAHMAcwBPAGYATgBpAHQAcgBvAGcAZQBuAEwAZQBhAGMAaABlAGQARgByAG8AbQBJAG4AbwByAGcAYQBuAGkAYwBGAGUAcgB0AGkAbABpAHMAZQByAF8AUwBvAHUAcgBjAGUAXABuACAAIAA9AEwAQQBNAEIARABBACgAXAAiAFYARQBFAFIARwAgADIAMAAyADYAOgAgADUALgA1ACwAIABFAHEAdQBhAHQAaQBvAG4AIAAoADIAKQBcACIAKQA7AFwAbgBcAG4AVgBFAEUAUgBHAF8ANQBfADUAXwAxAF8AMQBfAF8AMgBfAE0AYQBzAHMATwBmAE4AaQB0AHIAbwBnAGUAbgBMAGUAYQBjAGgAZQBkAEYAcgBvAG0ASQBuAG8AcgBnAGEAbgBpAGMARgBlAHIAdABpAGwAaQBzAGUAcgBfAE4ASQBSAFIAZQBmAGUAcgBlAG4AYwBlAFwAbgAgACAAPQBMAEEATQBCAEQAQQAoAFwAIgBcACIAKQA7AFwAbgBcAG4AVgBFAEUAUgBHAF8ANQBfADUAXwAxAF8AMQBfAF8AMgBfAE0AYQBzAHMATwBmAE4AaQB0AHIAbwBnAGUAbgBMAGUAYQBjAGgAZQBkAEYAcgBvAG0ASQBuAG8AcgBnAGEAbgBpAGMARgBlAHIAdABpAGwAaQBzAGUAcgBfAEwAYQB0AGUAeABFAHEAdQBhAHQAaQBvAG4AXABuACAAIAA9AEwAQQBNAEIARABBACgAXAAiAE0AXwB7AGwAZQBhAGMAaAAsAGkAbgBvAHIAZwBhAG4AaQBjACwAagB9AD0AXABcAHMAdQBtAFwAXABuAG8AbABpAG0AaQB0AHMAXwB7AGYAfQBcAFwAbABlAGYAdAAoAHsATQBOAH0AXwB7AGoAZgB9AFwAXAB0AGkAbQBlAHMAIABGAHIAYQBjAF8AewBXAEUAVAAsAGoAfQBcAFwAdABpAG0AZQBzACAARgByAGEAYwBfAHsATABFAEEAQwBIAH0AXABcAHIAaQBnAGgAdAApAFwAIgApADsAXABuAFwAbgBWAEUARQBSAEcAXwA1AF8ANQBfADEAXwAxAF8AXwAyAF8ATQBhAHMAcwBPAGYATgBpAHQAcgBvAGcAZQBuAEwAZQBhAGMAaABlAGQARgByAG8AbQBJAG4AbwByAGcAYQBuAGkAYwBGAGUAcgB0AGkAbABpAHMAZQByAF8AQQByAGcAdQBtAGUAbgB0AHMAXABuACAAIAA9AEwAQQBNAEIARABBACgAXABuACAAIAAgACAATQBBAEsARQBBAFIAUgBBAFkAKAA2ACwAIAA0ACwAIABcAG4AIAAgACAAIAAgACAATABBAE0AQgBEAEEAKAByACwAYwAsACAAXABuACAAIAAgACAAIAAgACAAIABJAE4ARABFAFgAKAB7AFwAbgAgACAAIAAgACAAIAAgACAAIAAgAFwAIgBNAE4AXwBqAGYAXAAiACwAXAAiAG0AYQBzAHMAIABvAGYAIABuAGkAdAByAG8AZwBlAG4AIABpAG4AIABpAG4AbwByAGcAYQBuAGkAYwAgAGYAZQByAHQAaQBsAGkAcwBlAHIAXAAiACwAIABcACIAawBnACAATgBcACIALAAgAFwAIgBDAGEAbABjAHUAbABhAHQAZQBkACAAZgByAG8AbQAgADUALgAx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IAAgAFwAIgB6AFwAIgAsAFwAIgBsAG8AYwBhAHQAaQBvAG4AIABpAG4AIABsAGUAYQBjAGgAaQBuAGcAIAB6AG8AbgBlAFwAIgAsACAAXAAiAFwAIgAsACAAXAAiAEkAbgBwAHUAdABcACIAOwBcAG4AIAAgACAAIAAgACAAIAAgACAAIAAgACAAXAAiAGoAXAAiACwAXAAiAHAAcgBvAGQAdQBjAHQAaQBvAG4AIABzAHkAcwB0AGUAbQBcACIALAAgAFwAIgBcACIALAAgAFwAIgBJAG4AcAB1AHQAXAAiADsAXABuACAAIAAgACAAIAAgACAAIAAgACAAIAAgAFwAIgBpAHIAXAAiACwAXAAiAGkAcgByAGkAZwBhAHQAaQBvAG4AIABtAGUAdABoAG8AZABcACIALAAgAFwAIgBcACIALAAgAFwAIgBJAG4AcAB1AHQAXAAiAFwAbgAgACAAIAAgACAAIAAgACAAfQAsACAAcgAsACAAYwApAFwAbgAgACAAIAAgACAAIAApAFwAbgAgACAAIAAgACkAXABuACAAIAApADsAXABuAFwAbgAvACoAIABcAG4ALQAtAC0ALQAtAC0ALQAtAC0ALQAtAC0ALQAtAC0ALQAtAC0ALQAtAC0ALQAtAC0ALQAtAC0ALQAtAC0ALQAtAC0ALQAtAC0ALQAtAFwAbgBWAEUARQBSAEcAXwA1AF8ANQBfADEAXwAxAF8AXwAzAF8ATQBhAHMAcwBPAGYATgBpAHQAcgBvAGcAZQBuAEwAZQBhAGMAaABlAGQARgByAG8AbQBPAHIAZwBhAG4AaQBjAEYAZQByAHQAaQBsAGkAcwBlAHIAXABuAE0AYQBzAHMAIABvAGYAIABuAGkAdAByAG8AZwBlAG4AIABsAG8AcwB0ACAAdABoAHIAbwB1AGcAaAAgAGwAZQBhAGMAaABpAG4AZwAgAGEAbgBkACAAcgB1AG4AbwBmAGYAIABmAHIAbwBtACAAbwByAGcAYQBuAGkAYwAgAGYAZQByAHQAaQBsAGkAcwBlAHIAIABhAHAAcABsAGkAYwBhAHQAaQBvAG4AIABpAG4AIABwAHIAbwBkAHUAYwB0AGkAbwBuACAAcwB5AHMAdABlAG0AIABqAFwAbgBNAF8AbABlAGEAYwBoAG8AcgBnAGEAbgBpAGMAagBcAG4AawBnACAATgBcAG4ATQBfAHsAbABlAGEAYwBoACwAbwByAGcAYQBuAGkAYwAsAGoAfQA9AFwAXABzAHUAbQBfAHsAZgB9ACgAewBNAE4AUwBvAGkAbAB9AF8AewBqAGYAfQBcAFwAdABpAG0AZQBzACAARgByAGEAYwBfAHsAVwBFAFQALABqAH0AXABcAHQAaQBtAGUAcwAgAEYAcgBhAGMAXwB7AEwARQBBAEMASAB9ACkAXABuAE0ATgBTAG8AaQBsAF8AagBmAFwAbgBGAHIAYQBjAFcARQBUAGoAXABuAEYAcgBhAGMATABFAEEAQwBIAFwAbgBqAFwAbgBmAFwAbgAtAC0ALQAtAC0ALQAtAC0ALQAtAC0ALQAtAC0ALQAtAC0ALQAtAC0ALQAtAC0ALQAtAC0ALQAtAC0ALQAtAC0ALQAtAC0ALQAtAC0AXABuACoALwBcAG4AXABuAFYARQBFAFIARwBfADUAXwA1AF8AMQBfADEAXwBfADMAXwBNAGEAcwBzAE8AZgBOAGkAdAByAG8AZwBlAG4ATABlAGEAYwBoAGUAZABGAHIAbwBtAE8AcgBnAGEAbgBpAGMARgBlAHIAdABpAGwAaQBzAGUAcgBcAG4AIAAgAD0ATABBAE0AQgBEAEEAKABcAG4AIAAgACAAIABNAE4AUwBvAGkAbABfAGoAZgAsACAARgByAGEAYwBXAEUAVABqACwAIABGAHIAYQBjAEwARQBBAEMASAAsAFwAbgAgACAAIAAgAE0ATgBTAG8AaQBsAF8AagBmACAAKgAgAEYAcgBhAGMAVwBFAFQAagAgACoAIABGAHIAYQBjAEwARQBBAEMASABcAG4AIAAgACkAOwBcAG4AXABuAFYARQBFAFIARwBfADUAXwA1AF8AMQBfADEAXwBfADMAXwBNAGEAcwBzAE8AZgBOAGkAdAByAG8AZwBlAG4ATABlAGEAYwBoAGUAZABGAHIAbwBtAE8AcgBnAGEAbgBpAGMARgBlAHIAdABpAGwAaQBzAGUAcgBfAFQAaQB0AGwAZQBcAG4AIAAgAD0ATABBAE0AQgBEAEEAKABcACIATQBhAHMAcwAgAG8AZgAgAG4AaQB0AHIAbwBnAGUAbgAgAGwAbwBzAHQAIAB0AGgAcgBvAHUAZwBoACAAbABlAGEAYwBoAGkAbgBnACAAYQBuAGQAIAByAHUAbgBvAGYAZgAgAGYAcgBvAG0AIABvAHIAZwBhAG4AaQBjACAAZgBlAHIAdABpAGwAaQBzAGUAcgAgAGEAcABwAGwAaQBjAGEAdABpAG8AbgAgAGkAbgAgAHAAcgBvAGQAdQBjAHQAaQBvAG4AIABzAHkAcwB0AGUAbQAgAGoAXAAiACkAOwBcAG4AXABuAFYARQBFAFIARwBfADUAXwA1AF8AMQBfADEAXwBfADMAXwBNAGEAcwBzAE8AZgBOAGkAdAByAG8AZwBlAG4ATABlAGEAYwBoAGUAZABGAHIAbwBtAE8AcgBnAGEAbgBpAGMARgBlAHIAdABpAGwAaQBzAGUAcgBfAFYAYQByAGkAYQBiAGwAZQBcAG4AIAAgAD0ATABBAE0AQgBEAEEAKABcACIATQBfAGwAZQBhAGMAaABvAHIAZwBhAG4AaQBjAGoAXAAiACkAOwBcAG4AXABuAFYARQBFAFIARwBfADUAXwA1AF8AMQBfADEAXwBfADMAXwBNAGEAcwBzAE8AZgBOAGkAdAByAG8AZwBlAG4ATABlAGEAYwBoAGUAZABGAHIAbwBtAE8AcgBnAGEAbgBpAGMARgBlAHIAdABpAGwAaQBzAGUAcgBfAFUAbgBpAHQAXABuACAAIAA9AEwAQQBNAEIARABBACgAXAAiAGsAZwAgAE4AXAAiACkAOwBcAG4AXABuAFYARQBFAFIARwBfADUAXwA1AF8AMQBfADEAXwBfADMAXwBNAGEAcwBzAE8AZgBOAGkAdAByAG8AZwBlAG4ATABlAGEAYwBoAGUAZABGAHIAbwBtAE8AcgBnAGEAbgBpAGMARgBlAHIAdABpAGwAaQBzAGUAcgBfAFMAbwB1AHIAYwBlAFwAbgAgACAAPQBMAEEATQBCAEQAQQAoAFwAIgBWAEUARQBSAEcAIAAyADAAMgA2ADoAIAA1AC4ANQAsACAARQBxAHUAYQB0AGkAbwBuACAAKAAzACkAXAAiACkAOwBcAG4AXABuAFYARQBFAFIARwBfADUAXwA1AF8AMQBfADEAXwBfADMAXwBNAGEAcwBzAE8AZgBOAGkAdAByAG8AZwBlAG4ATABlAGEAYwBoAGUAZABGAHIAbwBtAE8AcgBnAGEAbgBpAGMARgBlAHIAdABpAGwAaQBzAGUAcgBfAE4ASQBSAFIAZQBmAGUAcgBlAG4AYwBlAFwAbgAgACAAPQBMAEEATQBCAEQAQQAoAFwAIgBcACIAKQA7AFwAbgBcAG4AVgBFAEUAUgBHAF8ANQBfADUAXwAxAF8AMQBfAF8AMwBfAE0AYQBzAHMATwBmAE4AaQB0AHIAbwBnAGUAbgBMAGUAYQBjAGgAZQBkAEYAcgBvAG0ATwByAGcAYQBuAGkAYwBGAGUAcgB0AGkAbABpAHMAZQByAF8ATABhAHQAZQB4AEUAcQB1AGEAdABpAG8AbgBcAG4AIAAgAD0ATABBAE0AQgBEAEEAKABcACIATQBfAHsAbABlAGEAYwBoACwAbwByAGcAYQBuAGkAYwAsAGoAfQA9AFwAXABzAHUAbQBcAFwAbgBvAGwAaQBtAGkAdABzAF8AewBmAH0AXABcAGwAZQBmAHQAKAB7AE0ATgBTAG8AaQBsAH0AXwB7AGoAZgB9AFwAXAB0AGkAbQBlAHMAIABGAHIAYQBjAF8AewBXAEUAVAAsAGoAfQBcAFwAdABpAG0AZQBzACAARgByAGEAYwBfAHsATABFAEEAQwBIAH0AXABcAHIAaQBnAGgAdAApAFwAIgApADsAXABuAFwAbgBWAEUARQBSAEcAXwA1AF8ANQBfADEAXwAxAF8AXwAzAF8ATQBhAHMAcwBPAGYATgBpAHQAcgBvAGcAZQBuAEwAZQBhAGMAaABlAGQARgByAG8AbQBPAHIAZwBhAG4AaQBjAEYAZQByAHQAaQBsAGkAcwBlAHIAXwBBAHIAZwB1AG0AZQBuAHQAcwBcAG4AIAAgAD0ATABBAE0AQgBEAEEAKABcAG4AIAAgACAAIABNAEEASwBFAEEAUgBSAEEAWQAoADYALAAgADQALAAgAFwAbgAgACAAIAAgACAAIABMAEEATQBCAEQAQQAoAHIALABjACwAIABcAG4AIAAgACAAIAAgACAAIAAgAEkATgBEAEUAWAAoAHsAXABuACAAIAAgACAAIAAgACAAIAAgACAAXAAiAE0ATgBTAG8AaQBsAF8AagBmAFwAIgAsAFwAIgBtAGEAcwBzACAAbwBmACAAbgBpAHQAcgBvAGcAZQBuACAAaQBuACAAbwByAGcAYQBuAGkAYwAgAGYAZQByAHQAaQBsAGkAcwBlAHIAXAAiACwAIABcACIAawBnACAATgBcACIALAAgAFwAIgBDAGEAbABjAHUAbABhAHQAZQBkACAAZgByAG8AbQAgADUALgAyAC4AMQAuADEAIAAoADIAKQBcACIAOwBcAG4AIAAgACAAIAAgACAAIAAgACAAIABcACIARgByAGEAYwBXAEUAVABqAFwAIgAsAFwAIgBmAHIAYQBjAHQAaQBvAG4AIABvAGYAIABOACAAYQB2AGEAaQBsAGEAYgBsAGUAIABmAG8AcgAgAGwAZQBhAGMAaABpAG4AZwAgAGEAbgBkACAAcgB1AG4AbwBmAGYAXAAiACwAIABcACIAZgByAGEAYwB0AGkAbwBuAFwAIgAsACAAXAAiAEMAbwBuAHMAdABhAG4AdABcACIAOwBcAG4AIAAgACAAIAAgACAAIAAgACAAIABcACIARgByAGEAYwBMAEUAQQBDAEgAXAAiACwAXAAiAGYAcgBhAGMAdABpAG8AbgAgAG8AZgAgAE4AIAB0AGgAYQB0ACAAaQBzACAAbABvAHMAdAAgAHQAaAByAG8AdQBnAGgAIABsAGUAYQBjAGgAaQBuAGcAIABhAG4AZAAgAHIAdQBuAG8AZgBmAFwAIgAsACAAXAAiAGYAcgBhAGMAdABpAG8AbgBcACIALAAgAFwAIgBDAG8AbgBzAHQAYQBuAHQAXAAiADsAXABuACAAIAAgACAAIAAgACAAIAAgACAAXAAiAHoAXAAiACwAXAAiAGwAbwBjAGEAdABpAG8AbgAgAGkAbgAgAGwAZQBhAGMAaABpAG4AZwAgAHoAbwBuAGUAXAAiACwAIABcACIAXAAiACwAIABcACIASQBuAHAAdQB0AFwAIgA7AFwAbgAgACAAIAAgACAAIAAgACAAIAAgAFwAIgBqAFwAIgAsAFwAIgBwAHIAbwBkAHUAYwB0AGkAbwBuACAAcwB5AHMAdABlAG0AXAAiACwAIABcACIAXAAiACwAIABcACIASQBuAHAAdQB0AFwAIgA7AFwAbgAgACAAIAAgACAAIAAgACAAIAAgAFwAIgBpAHIAXAAiACwAXAAiAGkAcgByAGkAZwBhAHQAaQBvAG4AIABtAGUAdABoAG8AZABcACIALAAgAFwAIgBcACIALAAgAFwAIgBJAG4AcAB1AHQAXAAiAFwAbgAgACAAIAAgACAAIAAgACAAfQAsACAAcgAsACAAYwApAFwAbgAgACAAIAAgACAAIAApAFwAbgAgACAAIAAgACkAXABuACAAIAApADsAXABuACIAfQAsAHsAIgBwAGEAdABoACIAOgAiAC8AcAByAG8AagBlAGMAdABzAC8ARgBlAHIAdABpAGwAaQBzAGUAcgBfAEkAbgBwAHUAdABGAHUAbgBjAHQAaQBvAG4AcwAiACwAIgB0AGUAeAB0ACIAOgAiAEYAZQByAHQAaQBsAGkAcwBlAHIAXwBGAGUAcgB0AGkAbABpAHMAZQByAFAAcgBvAGQAdQBjAHQATABvAG8AawB1AHAAXABuAD0ATABBAE0AQgBEAEEAKABcAG4AIAAgAFAAcgBvAGQAdQBjAHQALABcAG4AIAAgAFAAcgBvAGQAdQBjAHQAQQB0AHQAcgBpAGIAdQB0AGUALABcAG4AIAAgAFAAcgBvAGQAdQBjAHQAQQByAHIAYQB5ACwAXABuACAAIABQAHIAbwBkAHUAYwB0AEEAcgByAGEAeQBDAG8AbAB1AG0AbgAsAFwAbgAgACAAUAByAG8AZAB1AGMAdABBAHIAcgBhAHkASABlAGEAZABlAHIAcwAsAFwAbgAgACAASQBGAEUAUgBSAE8AUgAoAFwAbgAgACAAIAAgAEkATgBEAEUAWAAoAFwAbgAgACAAIAAgACAAIABQAHIAbwBkAHUAYwB0AEEAcgByAGEAeQAsAFwAbgAgACAAIAAgACAAIABYAE0AQQBUAEMASAAoAFwAbgAgACAAIAAgACAAIAAgACAAVABSAEkATQAoAFwAbgAgACAAIAAgACAAIAAgACAAIAAgAFAAcgBvAGQAdQBjAHQAXABuACAAIAAgACAAIAAgACAAIAApACwAXABuACAAIAAgACAAIAAgACAAIABQAHIAbwBkAHUAYwB0AEEAcgByAGEAeQBDAG8AbAB1AG0AbgAsAFwAbgAgACAAIAAgACAAIAAgACAAMABcAG4AIAAgACAAIAAgACAAKQAsAFwAbgAgACAAIAAgACAAIABYAE0AQQBUAEMASAAoAFwAbgAgACAAIAAgACAAIAAgACAAVABSAEkATQAoAFwAbgAgACAAIAAgACAAIAAgACAAIAAgAFAAcgBvAGQAdQBjAHQAQQB0AHQAcgBpAGIAdQB0AGUAXABuACAAIAAgACAAIAAgACAAIAApACwAXABuACAAIAAgACAAIAAgACAAIABQAHIAbwBkAHUAYwB0AEEAcgByAGEAeQBIAGUAYQBkAGUAcgBzACwAXABuACAAIAAgACAAIAAgACAAIAAwAFwAbgAgACAAIAAgACAAIAApAFwAbgAgACAAIAAgACkALABcAG4AIAAgACAAIABcACIAXAAiAFwAbgAgACAAKQBcAG4AKQA7AFwAbgBcAG4ARgBlAHIAdABpAGwAaQBzAGUAcgBfAFMAdQBtAFAAcgBvAGQAdQBjAHQAQQBwAHAAbABpAGUAZABcAG4APQBMAEEATQBCAEQAQQAoAFwAbgAgACAATABvAG8AawB1AHAAVABhAHIAZwBlAHQAMQAsAFwAbgAgACAATABvAG8AawB1AHAAQQByAHIAYQB5ADEALABcAG4AIAAgAEEAbQBvAHUAbgB0AEEAcABwAGwAaQBlAGQALABcAG4AIAAgAFsATABvAG8AawB1AHAAVABhAHIAZwBlAHQAMgBdACwAXABuACAAIABbAEwAbwBvAGsAdQBwAEEAcgByAGEAeQAyAF0ALABcAG4AIAAgAEwARQBUACgAXABuACAAIAAgACAAYwByAGkAdABlAHIAaQBhADEALABcAG4AIAAgACAAIAAtAC0AKABcAG4AIAAgACAAIAAgACAATABvAG8AawB1AHAAQQByAHIAYQB5ADEAIAA9ACAATABvAG8AawB1AHAAVABhAHIAZwBlAHQAMQBcAG4AIAAgACAAIAApACwAXABuACAAIAAgACAAYwByAGkAdABlAHIAaQBhADIALABcAG4AIAAgACAAIABJAEYAKABcAG4AIAAgACAAIAAgACAASQBTAE8ATQBJAFQAVABFAEQAKABcAG4AIAAgACAAIAAgACAAIAAgAEwAbwBvAGsAdQBwAFQAYQByAGcAZQB0ADIAXABuACAAIAAgACAAIAAgACkALABcAG4AIAAgACAAIAAgACAAMQAsAFwAbgAgACAAIAAgACAAIAAtAC0AKABcAG4AIAAgACAAIAAgACAAIAAgAEwAbwBvAGsAdQBwAEEAcgByAGEAeQAyACAAPQAgAEwAbwBvAGsAdQBwAFQAYQByAGcAZQB0ADIAXABuACAAIAAgACAAIAAgACkAXABuACAAIAAgACAAKQAsAFwAbgAgACAAIAAgAFMAVQBNAFAAUgBPAEQAVQBDAFQAKABcAG4AIAAgACAAIAAgACAASQBGAEUAUgBSAE8AUgAoAGMAcgBpAHQAZQByAGkAYQAxACAAKgAgAGMAcgBpAHQAZQByAGkAYQAyACAAKgAgAEEAbQBvAHUAbgB0AEEAcABwAGwAaQBlAGQALAAgADAAKQBcAG4AIAAgACAAIAApAFwAbgAgACAAKQBcAG4AKQA7AFwAbgBcAG4ARgBlAHIAdABpAGwAaQBzAGUAcgBfAFQAbwB0AGEAbABTAG8AaQBsAEEAbQBlAG4AZABtAGUAbgB0AEEAcABwAGwAaQBlAGQAXABuAD0ATABBAE0AQgBEAEEAKABcAG4AIAAgAEEAbQBvAHUAbgB0AEEAcABwAGwAaQBlAGQALABcAG4AIAAgAEEAbQBlAG4AZABtAGUAbgB0AFAAZQByAGMAZQBuAHQALABcAG4AIAAgAFMAVQBNAFAAUgBPAEQAVQBDAFQAKABcAG4AIAAgACAAIABBAG0AbwB1AG4AdABBAHAAcABsAGkAZQBkACAAKgAgAEEAbQBlAG4AZABtAGUAbgB0AFAAZQByAGMAZQBuAHQAXABuACAAIAApAFwAbgApADsAXABuAFwAbgBGAGUAcgB0AGkAbABpAHMAZQByAF8AVABvAHQAYQBsAEMAaABlAG0AaQBjAGEAbABDAG8AbQBwAG8AdQBuAGQAQQBwAHAAbABpAGUAZABBAGwAbABJAG4AZwByAGUAZABpAGUAbgB0AHMAXABuAD0ATABBAE0AQgBEAEEAKABcAG4AIAAgAEMAaABlAG0AaQBjAGEAbABDAG8AbQBwAG8AdQBuAGQALABcAG4AIAAgAEEAbQBvAHUAbgB0AEEAcABwAGwAaQBlAGQALABcAG4AIAAgAFAAcgBvAGQAdQBjAHQASQBuAGcAcgBlAGQAaQBlAG4AdAAxACwAXABuACAAIABQAHIAbwBkAHUAYwB0AEkAbgBnAHIAZQBkAGkAZQBuAHQAUABlAHIAYwBlAG4AdAAxACwAXABuACAAIABbAFAAcgBvAGQAdQBjAHQASQBuAGcAcgBlAGQAaQBlAG4AdAAyAF0ALABcAG4AIAAgAFsAUAByAG8AZAB1AGMAdABJAG4AZwByAGUAZABpAGUAbgB0AFAAZQByAGMAZQBuAHQAMgBdACwAXABuACAAIABbAFAAcgBvAGQAdQBjAHQASQBuAGcAcgBlAGQAaQBlAG4AdAAzAF0ALABcAG4AIAAgAFsAUAByAG8AZAB1AGMAdABJAG4AZwByAGUAZABpAGUAbgB0AFAAZQByAGMAZQBuAHQAMwBdACwAXABuACAAIABbAFAAcgBvAGQAdQBjAHQASQBuAGcAcgBlAGQAaQBlAG4AdAA0AF0ALABcAG4AIAAgAFsAUAByAG8AZAB1AGMAdABJAG4AZwByAGUAZABpAGUAbgB0AFAAZQByAGMAZQBuAHQANABdACwAXABuACAAIABbAFAAcgBvAGQAdQBjAHQASQBuAGcAcgBlAGQAaQBlAG4AdAA1AF0ALABcAG4AIAAgAFsAUAByAG8AZAB1AGMAdABJAG4AZwByAGUAZABpAGUAbgB0AFAAZQByAGMAZQBuAHQANQBdACwAXABuACAAIABbAFAAcgBvAGQAdQBjAHQASQBuAGcAcgBlAGQAaQBlAG4AdAA2AF0ALABcAG4AIAAgAFsAUAByAG8AZAB1AGMAdABJAG4AZwByAGUAZABpAGUAbgB0AFAAZQByAGMAZQBuAHQANgBdACwAXABuACAAIABMAEUAVAAoAFwAbgAgACAAIAAgAGMAYQBsAGMAdQBsAGEAdABlAGQAQQBtAG8AdQBuAHQAMQAsAFwAbgAgACAAIAAgACgAXABuACAAIAAgACAAIAAgAEEAbQBvAHUAbgB0AEEAcABwAGwAaQBlAGQAIAAqACAAUAByAG8AZAB1AGMAdABJAG4AZwByAGUAZABpAGUAbgB0AFAAZQByAGMAZQBuAHQAMQBcAG4AIAAgACAAIAApACwAXABuACAAIAAgACAAYwBhAGwAYwB1AGwAYQB0AGUAZABBAG0AbwB1AG4AdAAyACwAXABuACAAIAAgACAAKABcAG4AIAAgACAAIAAgACAAQQBtAG8AdQBuAHQAQQBwAHAAbABpAGUAZAAgACoAIABQAHIAbwBkAHUAYwB0AEkAbgBnAHIAZQBkAGkAZQBuAHQAUABlAHIAYwBlAG4AdAAyAFwAbgAgACAAIAAgACkALABcAG4AIAAgACAAIABjAGEAbABjAHUAbABhAHQAZQBkAEEAbQBvAHUAbgB0ADMALABcAG4AIAAgACAAIAAoAFwAbgAgACAAIAAgACAAIABBAG0AbwB1AG4AdABBAHAAcABsAGkAZQBkACAAKgAgAFAAcgBvAGQAdQBjAHQASQBuAGcAcgBlAGQAaQBlAG4AdABQAGUAcgBjAGUAbgB0ADMAXABuACAAIAAgACAAKQAsAFwAbgAgACAAIAAgAGMAYQBsAGMAdQBsAGEAdABlAGQAQQBtAG8AdQBuAHQANAAsAFwAbgAgACAAIAAgACgAXABuACAAIAAgACAAIAAgAEEAbQBvAHUAbgB0AEEAcABwAGwAaQBlAGQAIAAqACAAUAByAG8AZAB1AGMAdABJAG4AZwByAGUAZABpAGUAbgB0AFAAZQByAGMAZQBuAHQANABcAG4AIAAgACAAIAApACwAXABuACAAIAAgACAAYwBhAGwAYwB1AGwAYQB0AGUAZABBAG0AbwB1AG4AdAA1ACwAXABuACAAIAAgACAAKABcAG4AIAAgACAAIAAgACAAQQBtAG8AdQBuAHQAQQBwAHAAbABpAGUAZAAgACoAIABQAHIAbwBkAHUAYwB0AEkAbgBnAHIAZQBkAGkAZQBuAHQAUABlAHIAYwBlAG4AdAA1AFwAbgAgACAAIAAgACkALABcAG4AIAAgACAAIABjAGEAbABjAHUAbABhAHQAZQBkAEEAbQBvAHUAbgB0ADYALABcAG4AIAAgACAAIAAoAFwAbgAgACAAIAAgACAAIABBAG0AbwB1AG4AdABBAHAAcABsAGkAZQBkACAAKgAgAFAAcgBvAGQAdQBjAHQASQBuAGcAcgBlAGQAaQBlAG4AdABQAGUAcgBjAGUAbgB0ADY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yACwAXABuACAAIAAgACAAIAAgACAAIABjAGEAbABjAHUAbABhAHQAZQBkAEEAbQBvAHUAbgB0ADI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AAsAFwAbgAgACAAIAAgACAAIAAgACAAYwBhAGwAYwB1AGwAYQB0AGUAZABBAG0AbwB1AG4AdAA0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1ACwAXABuACAAIAAgACAAIAAgACAAIABjAGEAbABjAHUAbABhAHQAZQBkAEEAbQBvAHUAbgB0AD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YALABcAG4AIAAgACAAIAAgACAAIAAgAGMAYQBsAGMAdQBsAGEAdABlAGQAQQBtAG8AdQBuAHQANgBcAG4AIAAgACAAIAAgACAAKQAsAFwAbgAgACAAIAAgACAAIAAwAFwAbgAgACAAIAAgACkAXABuACAAIAApAFwAbgApADsAXABuAFwAbgBGAGUAcgB0AGkAbABpAHMAZQByAF8AVABvAHQAYQBsAEMAaABlAG0AaQBjAGEAbABDAG8AbQBwAG8AdQBuAGQAdABBAHAAcABsAGkAZQBkAEIAeQBTAG8AdQByAGMAZQBBAGwAbABJAG4AZwByAGUAZABpAGUAbgB0AHMAXABuAD0ATABBAE0AQgBEAEEAKABcAG4AIAAgAEMAaABlAG0AaQBjAGEAbABDAG8AbQBwAG8AdQBuAGQALABcAG4AIAAgAFMAbwB1AHIAYwBlACwAXABuACAAIABBAG0AbwB1AG4AdABBAHAAcABsAGkAZQBkACwAXABuACAAIABQAHIAbwBkAHUAYwB0AEkAbgBnAHIAZQBkAGkAZQBuAHQAMQAsAFwAbgAgACAAUAByAG8AZAB1AGMAdABJAG4AZwByAGUAZABpAGUAbgB0AFAAZQByAGMAZQBuAHQAMQAsAFwAbgAgACAAWwBQAHIAbwBkAHUAYwB0AEkAbgBnAHIAZQBkAGkAZQBuAHQAUwBvAHUAcgBjAGUAXQAsAFwAbgAgACAAWwBQAHIAbwBkAHUAYwB0AEkAbgBnAHIAZQBkAGkAZQBuAHQAMgBdACwAXABuACAAIABbAFAAcgBvAGQAdQBjAHQASQBuAGcAcgBlAGQAaQBlAG4AdABQAGUAcgBjAGUAbgB0ADIAXQAsAFwAbgAgACAAWwBQAHIAbwBkAHUAYwB0AEkAbgBnAHIAZQBkAGkAZQBuAHQAMwBdACwAXABuACAAIABbAFAAcgBvAGQAdQBjAHQASQBuAGcAcgBlAGQAaQBlAG4AdABQAGUAcgBjAGUAbgB0ADMAXQAsAFwAbgAgACAAWwBQAHIAbwBkAHUAYwB0AEkAbgBnAHIAZQBkAGkAZQBuAHQANABdACwAXABuACAAIABbAFAAcgBvAGQAdQBjAHQASQBuAGcAcgBlAGQAaQBlAG4AdABQAGUAcgBjAGUAbgB0ADQAXQAsAFwAbgAgACAAWwBQAHIAbwBkAHUAYwB0AEkAbgBnAHIAZQBkAGkAZQBuAHQANQBdACwAXABuACAAIABbAFAAcgBvAGQAdQBjAHQASQBuAGcAcgBlAGQAaQBlAG4AdABQAGUAcgBjAGUAbgB0ADUAXQAsAFwAbgAgACAAWwBQAHIAbwBkAHUAYwB0AEkAbgBnAHIAZQBkAGkAZQBuAHQANgBdACwAXABuACAAIABbAFAAcgBvAGQAdQBjAHQASQBuAGcAcgBlAGQAaQBlAG4AdABQAGUAcgBjAGUAbgB0ADYAXQAsAFwAbgAgACAATABFAFQAKABcAG4AIAAgACAAIABjAGEAbABjAHUAbABhAHQAZQBkAEEAbQBvAHUAbgB0ADEALABcAG4AIAAgACAAIAAoAFwAbgAgACAAIAAgACAAIABBAG0AbwB1AG4AdABBAHAAcABsAGkAZQBkACAAKgAgAFAAcgBvAGQAdQBjAHQASQBuAGcAcgBlAGQAaQBlAG4AdABQAGUAcgBjAGUAbgB0ADEAXABuACAAIAAgACAAKQAsAFwAbgAgACAAIAAgAGMAYQBsAGMAdQBsAGEAdABlAGQAQQBtAG8AdQBuAHQAMgAsAFwAbgAgACAAIAAgACgAXABuACAAIAAgACAAIAAgAEEAbQBvAHUAbgB0AEEAcABwAGwAaQBlAGQAIAAqACAAUAByAG8AZAB1AGMAdABJAG4AZwByAGUAZABpAGUAbgB0AFAAZQByAGMAZQBuAHQAMgBcAG4AIAAgACAAIAApACwAXABuACAAIAAgACAAYwBhAGwAYwB1AGwAYQB0AGUAZABBAG0AbwB1AG4AdAAzACwAXABuACAAIAAgACAAKABcAG4AIAAgACAAIAAgACAAQQBtAG8AdQBuAHQAQQBwAHAAbABpAGUAZAAgACoAIABQAHIAbwBkAHUAYwB0AEkAbgBnAHIAZQBkAGkAZQBuAHQAUABlAHIAYwBlAG4AdAAzAFwAbgAgACAAIAAgACkALABcAG4AIAAgACAAIABjAGEAbABjAHUAbABhAHQAZQBkAEEAbQBvAHUAbgB0ADQALABcAG4AIAAgACAAIAAoAFwAbgAgACAAIAAgACAAIABBAG0AbwB1AG4AdABBAHAAcABsAGkAZQBkACAAKgAgAFAAcgBvAGQAdQBjAHQASQBuAGcAcgBlAGQAaQBlAG4AdABQAGUAcgBjAGUAbgB0ADQAXABuACAAIAAgACAAKQAsAFwAbgAgACAAIAAgAGMAYQBsAGMAdQBsAGEAdABlAGQAQQBtAG8AdQBuAHQANQAsAFwAbgAgACAAIAAgACgAXABuACAAIAAgACAAIAAgAEEAbQBvAHUAbgB0AEEAcABwAGwAaQBlAGQAIAAqACAAUAByAG8AZAB1AGMAdABJAG4AZwByAGUAZABpAGUAbgB0AFAAZQByAGMAZQBuAHQANQBcAG4AIAAgACAAIAApACwAXABuACAAIAAgACAAYwBhAGwAYwB1AGwAYQB0AGUAZABBAG0AbwB1AG4AdAA2ACwAXABuACAAIAAgACAAKABcAG4AIAAgACAAIAAgACAAQQBtAG8AdQBuAHQAQQBwAHAAbABpAGUAZAAgACoAIABQAHIAbwBkAHUAYwB0AEkAbgBnAHIAZQBkAGkAZQBuAHQAUABlAHIAYwBlAG4AdAA2AFwAbgAgACAAIAAgACkALABcAG4AIAAgACAAIABQAHIAbwBkAHUAYwB0AEkAbgBnAHIAZQBkAGkAZQBuAHQAUwBvAHUAcgBjAGUALABcAG4AIAAgACAAIABJAEYAKABcAG4AIAAgACAAIAAgACAAUAByAG8AZAB1AGMAdABJAG4AZwByAGUAZABpAGUAbgB0AFMAbwB1AHIAYwBlACAAPQAgAFwAIgBcACIALABcAG4AIAAgACAAIAAgACAAXAAiAEcAbABvAGIAYQBsAFwAIgAsAFwAbgAgACAAIAAgACAAIABQAHIAbwBkAHUAYwB0AEkAbgBnAHIAZQBkAGkAZQBuAHQAUwBvAHUAcgBjAGUAXABuACAAIAAgACAAKQAsAFwAbgAgACAAIAAgAEYAZQByAHQAaQBsAGkAcwBlAHIAXwBTAHUAbQBQAHIAbwBkAHUAYwB0AEEAcABwAGwAaQBlAGQAKABcAG4AIAAgACAAIAAgACAAQwBoAGUAbQBpAGMAYQBsAEMAbwBtAHAAbwB1AG4AZAAsAFwAbgAgACAAIAAgACAAIABQAHIAbwBkAHUAYwB0AEkAbgBnAHIAZQBkAGkAZQBuAHQAMQAsAFwAbgAgACAAIAAgACAAIABjAGEAbABjAHUAbABhAHQAZQBkAEEAbQBvAHUAbgB0ADEALABcAG4AIAAgACAAIAAgACAAUwBvAHUAcgBjAGUALABcAG4AIAAgACAAIAAgACAAUAByAG8AZAB1AGMAdABJAG4AZwByAGUAZABpAGUAbgB0AFMAbwB1AHIAYwBl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MgAsAFwAbgAgACAAIAAgACAAIAAgACAAYwBhAGwAYwB1AGwAYQB0AGUAZABBAG0AbwB1AG4AdAAy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zACwAXABuACAAIAAgACAAIAAgACAAIABjAGEAbABjAHUAbABhAHQAZQBkAEEAbQBvAHUAbgB0ADMALABcAG4AIAAgACAAIAAgACAAIAAgAFMAbwB1AHIAYwBlACwAXABuACAAIAAgACAAIAAgACAAIABQAHIAbwBkAHUAYwB0AEkAbgBnAHIAZQBkAGkAZQBuAHQAUwBvAHUAcgBjAGUAXABuACAAIAAgACAAIAAgACkALABcAG4AIAAgACAAIAAgACAAMABcAG4AIAAgACAAIAApACAAKwAgAEkARgBFAFIAUgBPAFIAKABcAG4AIAAgACAAIAAgACAARgBlAHIAdABpAGwAaQBzAGUAcgBfAFMAdQBtAFAAcgBvAGQAdQBjAHQAQQBwAHAAbABpAGUAZAAoAFwAbgAgACAAIAAgACAAIAAgACAAQwBoAGUAbQBpAGMAYQBsAEMAbwBtAHAAbwB1AG4AZAAsAFwAbgAgACAAIAAgACAAIAAgACAAUAByAG8AZAB1AGMAdABJAG4AZwByAGUAZABpAGUAbgB0ADQALABcAG4AIAAgACAAIAAgACAAIAAgAGMAYQBsAGMAdQBsAGEAdABlAGQAQQBtAG8AdQBuAHQANAAsAFwAbgAgACAAIAAgACAAIAAgACAAUwBvAHUAcgBjAGUALABcAG4AIAAgACAAIAAgACAAIAAgAFAAcgBvAGQAdQBjAHQASQBuAGcAcgBlAGQAaQBlAG4AdABTAG8AdQByAGMAZQBcAG4AIAAgACAAIAAgACAAKQAsAFwAbgAgACAAIAAgACAAIAAwAFwAbgAgACAAIAAgACkAIAArACAASQBGAEUAUgBSAE8AUgAoAFwAbgAgACAAIAAgACAAIABGAGUAcgB0AGkAbABpAHMAZQByAF8AUwB1AG0AUAByAG8AZAB1AGMAdABBAHAAcABsAGkAZQBkACgAXABuACAAIAAgACAAIAAgACAAIABDAGgAZQBtAGkAYwBhAGwAQwBvAG0AcABvAHUAbgBkACwAXABuACAAIAAgACAAIAAgACAAIABQAHIAbwBkAHUAYwB0AEkAbgBnAHIAZQBkAGkAZQBuAHQANQAsAFwAbgAgACAAIAAgACAAIAAgACAAYwBhAGwAYwB1AGwAYQB0AGUAZABBAG0AbwB1AG4AdAA1ACwAXABuACAAIAAgACAAIAAgACAAIABTAG8AdQByAGMAZQAsAFwAbgAgACAAIAAgACAAIAAgACAAUAByAG8AZAB1AGMAdABJAG4AZwByAGUAZABpAGUAbgB0AFMAbwB1AHIAYwBlAFwAbgAgACAAIAAgACAAIAApACwAXABuACAAIAAgACAAIAAgADAAXABuACAAIAAgACAAKQAgACsAIABJAEYARQBSAFIATwBSACgAXABuACAAIAAgACAAIAAgAEYAZQByAHQAaQBsAGkAcwBlAHIAXwBTAHUAbQBQAHIAbwBkAHUAYwB0AEEAcABwAGwAaQBlAGQAKABcAG4AIAAgACAAIAAgACAAIAAgAEMAaABlAG0AaQBjAGEAbABDAG8AbQBwAG8AdQBuAGQALABcAG4AIAAgACAAIAAgACAAIAAgAFAAcgBvAGQAdQBjAHQASQBuAGcAcgBlAGQAaQBlAG4AdAA2ACwAXABuACAAIAAgACAAIAAgACAAIABjAGEAbABjAHUAbABhAHQAZQBkAEEAbQBvAHUAbgB0ADYALABcAG4AIAAgACAAIAAgACAAIAAgAFMAbwB1AHIAYwBlACwAXABuACAAIAAgACAAIAAgACAAIABQAHIAbwBkAHUAYwB0AEkAbgBnAHIAZQBkAGkAZQBuAHQAUwBvAHUAcgBjAGUAXABuACAAIAAgACAAIAAgACkALABcAG4AIAAgACAAIAAgACAAMABcAG4AIAAgACAAIAApAFwAbgAgACAAKQBcAG4AKQA7AFwAbgBcAG4ARgBlAHIAdABpAGwAaQBzAGUAcgBfAEcAZQB0AFMAYwBvAHAAZQAzAEUARgBcAG4APQBMAEEATQBCAEQAQQAoAFwAbgAgACAAQwBoAGUAbQBpAGMAYQBsAEMAbwBtAHAAbwB1AG4AZAAsAFwAbgAgACAAUwBjAG8AcABlADMAQQByAHIAYQB5ACwAXABuACAAIABDAGgAZQBtAGkAYwBhAGwAQwBvAG0AcABvAHUAbgBkAEMAbwBsAHUAbQBuACwAXABuACAAIABTAG8AdQByAGMAZQAsAFwAbgAgACAAUwBvAHUAcgBjAGUAUgBvAHcALABcAG4AIAAgAEkATgBEAEUAWAAoAFwAbgAgACAAIAAgAFMAYwBvAHAAZQAzAEEAcgByAGEAeQAsAFwAbgAgACAAIAAgAE0AQQBUAEMASAAoAFwAbgAgACAAIAAgACAAIABDAGgAZQBtAGkAYwBhAGwAQwBvAG0AcABvAHUAbgBkACwAXABuACAAIAAgACAAIAAgAEMAaABlAG0AaQBjAGEAbABDAG8AbQBwAG8AdQBuAGQAQwBvAGwAdQBtAG4ALABcAG4AIAAgACAAIAAgACAAMABcAG4AIAAgACAAIAApACwAXABuACAAIAAgACAATQBBAFQAQwBIACgAXABuACAAIAAgACAAIAAgAFMAbwB1AHIAYwBlACwAXABuACAAIAAgACAAIAAgAFMAbwB1AHIAYwBlAFIAbwB3ACwAXABuACAAIAAgACAAIAAgADAAXABuACAAIAAgACAAKQBcAG4AIAAgACkAXABuACkAOwBcAG4AXABuAEYAZQByAHQAaQBsAGkAcwBlAHIAXwBHAGUAdABDAGgAZQBtAGkAYwBhAGwAQwBvAG0AcABvAHUAbgBkAEUAbABlAG0AZQBuAHQARgByAGEAYwB0AGkAbwBuAFwAbgA9AEwAQQBNAEIARABBACgAXABuACAAIABDAGgAZQBtAGkAYwBhAGwAQwBvAG0AcABvAHUAbgBkACwAXABuACAAIABFAGwAZQBtAGUAbgB0ACwAXABuACAAIABDAGgAZQBtAGkAYwBhAGwAQwBvAG0AcABvAHUAbgBkAEEAcgByAGEAeQAsAFwAbgAgACAAQwBoAGUAbQBpAGMAYQBsAEMAbwBtAHAAbwB1AG4AZABDAG8AbAB1AG0AbgAsAFwAbgAgACAARQBsAGUAbQBlAG4AdABSAG8AdwAsAFwAbgAgACAASQBOAEQARQBYACgAXABuACAAIAAgACAAQwBoAGUAbQBpAGMAYQBsAEMAbwBtAHAAbwB1AG4AZABBAHIAcgBhAHkALABcAG4AIAAgACAAIABNAEEAVABDAEgAKABcAG4AIAAgACAAIAAgACAAQwBoAGUAbQBpAGMAYQBsAEMAbwBtAHAAbwB1AG4AZAAsAFwAbgAgACAAIAAgACAAIABDAGgAZQBtAGkAYwBhAGwAQwBvAG0AcABvAHUAbgBkAEMAbwBsAHUAbQBuACwAXABuACAAIAAgACAAIAAgADAAXABuACAAIAAgACAAKQAsAFwAbgAgACAAIAAgAE0AQQBUAEMASAAoAFwAbgAgACAAIAAgACAAIABFAGwAZQBtAGUAbgB0ACwAXABuACAAIAAgACAAIAAgAEUAbABlAG0AZQBuAHQAUgBvAHcALABcAG4AIAAgACAAIAAgACAAMABcAG4AIAAgACAAIAApAFwAbgAgACAAKQBcAG4AKQA7AFwAbgBcAG4ARgBlAHIAdABpAGwAaQBzAGUAcgBfAFQAbwB0AGEAbABBAGMAdABpAHYAZQBJAG4AZwByAGUAZABpAGUAbgB0AEEAcABwAGwAaQBlAGQAQQBsAGwASQBuAGcAcgBlAGQAaQBlAG4AdABzAFwAbgA9AEwAQQBNAEIARABBACgAXABuACAAIABDAGgAZQBtAGkAYwBhAGwAQwBvAG0AcABvAHUAbgBkACwAXABuACAAIABBAG0AbwB1AG4AdABBAHAAcABsAGkAZQBkACwAXABuACAAIABQAHIAbwBkAHUAYwB0AEkAbgBnAHIAZQBkAGkAZQBuAHQAMQAsAFwAbgAgACAAUAByAG8AZAB1AGMAdABJAG4AZwByAGUAZABpAGUAbgB0AFUAbgBpAHQAMQAsAFwAbgAgACAAUAByAG8AZAB1AGMAdABJAG4AZwByAGUAZABpAGUAbgB0AFAAZQByAGMAZQBuAHQAMQAsAFwAbgAgACAAWwBQAHIAbwBkAHUAYwB0AEkAbgBnAHIAZQBkAGkAZQBuAHQAMgBdACwAXABuACAAIABbAFAAcgBvAGQAdQBjAHQASQBuAGcAcgBlAGQAaQBlAG4AdABVAG4AaQB0ADIAXQAsAFwAbgAgACAAWwBQAHIAbwBkAHUAYwB0AEkAbgBnAHIAZQBkAGkAZQBuAHQAUABlAHIAYwBlAG4AdAAyAF0ALABcAG4AIAAgAFsAUAByAG8AZAB1AGMAdABJAG4AZwByAGUAZABpAGUAbgB0ADMAXQAsAFwAbgAgACAAWwBQAHIAbwBkAHUAYwB0AEkAbgBnAHIAZQBkAGkAZQBuAHQAVQBuAGkAdAAzAF0ALABcAG4AIAAgAFsAUAByAG8AZAB1AGMAdABJAG4AZwByAGUAZABpAGUAbgB0AFAAZQByAGMAZQBuAHQAMwBdACwAXABuACAAIABMAEUAVAAoAFwAbgAgACAAIAAgAGMAYQBsAGMAdQBsAGEAdABlAGQAQQBtAG8AdQBuAHQAMQAsAFwAbgAgACAAIAAgACgAXABuACAAIAAgACAAIAAgAEkARgAoAFwAbgAgACAAIAAgACAAIAAgACAAUAByAG8AZAB1AGMAdABJAG4AZwByAGUAZABpAGUAbgB0AFUAbgBpAHQAMQAgAD0AIABcACIAUABlAHIAYwBlAG4AdAAgAG8AZgAgAHAAcgBvAGQAdQBjAHQAXAAiACwAXABuACAAIAAgACAAIAAgACAAIABBAG0AbwB1AG4AdABBAHAAcABsAGkAZQBkACAAKgAgAFAAcgBvAGQAdQBjAHQASQBuAGcAcgBlAGQAaQBlAG4AdABQAGUAcgBjAGUAbgB0ADEALABcAG4AIAAgACAAIAAgACAAIAAgAEEAbQBvAHUAbgB0AEEAcABwAGwAaQBlAGQAIAAqACgAXABuACAAIAAgACAAIAAgACAAIAAgACAAUAByAG8AZAB1AGMAdABJAG4AZwByAGUAZABpAGUAbgB0AFAAZQByAGMAZQBuAHQAMQAgACoAIAAxADAAIABeACAALQAgADMAXABuACAAIAAgACAAIAAgACAAIAApAFwAbgAgACAAIAAgACAAIAApAFwAbgAgACAAIAAgACkALABcAG4AIAAgACAAIABjAGEAbABjAHUAbABhAHQAZQBkAEEAbQBvAHUAbgB0ADIALABcAG4AIAAgACAAIAAoAFwAbgAgACAAIAAgACAAIABJAEYAKABcAG4AIAAgACAAIAAgACAAIAAgAFAAcgBvAGQAdQBjAHQASQBuAGcAcgBlAGQAaQBlAG4AdABVAG4AaQB0ADEAIAA9ACAAXAAiAFAAZQByAGMAZQBuAHQAIABvAGYAIABwAHIAbwBkAHUAYwB0AFwAIgAsAFwAbgAgACAAIAAgACAAIAAgACAAQQBtAG8AdQBuAHQAQQBwAHAAbABpAGUAZAAgACoAIABQAHIAbwBkAHUAYwB0AEkAbgBnAHIAZQBkAGkAZQBuAHQAUABlAHIAYwBlAG4AdAAyACwAXABuACAAIAAgACAAIAAgACAAIABBAG0AbwB1AG4AdABBAHAAcABsAGkAZQBkACAAKgAoAFwAbgAgACAAIAAgACAAIAAgACAAIAAgAFAAcgBvAGQAdQBjAHQASQBuAGcAcgBlAGQAaQBlAG4AdABQAGUAcgBjAGUAbgB0ADIAIAAqACAAMQAwACAAXgAgAC0AIAAzAFwAbgAgACAAIAAgACAAIAAgACAAKQBcAG4AIAAgACAAIAAgACAAKQBcAG4AIAAgACAAIAApACwAXABuACAAIAAgACAAYwBhAGwAYwB1AGwAYQB0AGUAZABBAG0AbwB1AG4AdAAzACwAXABuACAAIAAgACAAKABcAG4AIAAgACAAIAAgACAASQBGACgAXABuACAAIAAgACAAIAAgACAAIABQAHIAbwBkAHUAYwB0AEkAbgBnAHIAZQBkAGkAZQBuAHQAVQBuAGkAdAAxACAAPQAgAFwAIgBQAGUAcgBjAGUAbgB0ACAAbwBmACAAcAByAG8AZAB1AGMAdABcACIALABcAG4AIAAgACAAIAAgACAAIAAgAEEAbQBvAHUAbgB0AEEAcABwAGwAaQBlAGQAIAAqACAAUAByAG8AZAB1AGMAdABJAG4AZwByAGUAZABpAGUAbgB0AFAAZQByAGMAZQBuAHQAMwAsAFwAbgAgACAAIAAgACAAIAAgACAAQQBtAG8AdQBuAHQAQQBwAHAAbABpAGUAZAAgACoAKABcAG4AIAAgACAAIAAgACAAIAAgACAAIABQAHIAbwBkAHUAYwB0AEkAbgBnAHIAZQBkAGkAZQBuAHQAUABlAHIAYwBlAG4AdAAzACAAKgAgADEAMAAgAF4AIAAtACAAMwBcAG4AIAAgACAAIAAgACAAIAAgACkAXABuACAAIAAgACAAIAAgACkAXABuACAAIAAgACAAKQAsAFwAbgAgACAAIAAgAEYAZQByAHQAaQBsAGkAcwBlAHIAXwBJAG4AcAB1AHQARgB1AG4AYwB0AGkAbwBuAHMALgBGAGUAcgB0AGkAbABpAHMAZQByAF8AUwB1AG0AUAByAG8AZAB1AGMAdABBAHAAcABsAGkAZQBkACgAXABuACAAIAAgACAAIAAgAEMAaABlAG0AaQBjAGEAbABDAG8AbQBwAG8AdQBuAGQALABcAG4AIAAgACAAIAAgACAAUAByAG8AZAB1AGMAdABJAG4AZwByAGUAZABpAGUAbgB0ADEALABcAG4AIAAgACAAIAAgACAAYwBhAGwAYwB1AGwAYQB0AGUAZABBAG0AbwB1AG4AdAAx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IALABcAG4AIAAgACAAIAAgACAAIAAgAGMAYQBsAGMAdQBsAGEAdABlAGQAQQBtAG8AdQBuAHQAMgBcAG4AIAAgACAAIAAgACAAKQAsAFwAbgAgACAAIAAgACAAIAAwAFwAbgAgACAAIAAgACkAIAArACAASQBGAEUAUgBSAE8AUgAoAFwAbgAgACAAIAAgACAAIABGAGUAcgB0AGkAbABpAHMAZQByAF8ASQBuAHAAdQB0AEYAdQBuAGMAdABpAG8AbgBzAC4ARgBlAHIAdABpAGwAaQBzAGUAcgBfAFMAdQBtAFAAcgBvAGQAdQBjAHQAQQBwAHAAbABpAGUAZAAoAFwAbgAgACAAIAAgACAAIAAgACAAQwBoAGUAbQBpAGMAYQBsAEMAbwBtAHAAbwB1AG4AZAAsAFwAbgAgACAAIAAgACAAIAAgACAAUAByAG8AZAB1AGMAdABJAG4AZwByAGUAZABpAGUAbgB0ADMALABcAG4AIAAgACAAIAAgACAAIAAgAGMAYQBsAGMAdQBsAGEAdABlAGQAQQBtAG8AdQBuAHQAMwBcAG4AIAAgACAAIAAgACAAKQAsAFwAbgAgACAAIAAgACAAIAAwAFwAbgAgACAAIAAgACkAXABuACAAIAApAFwAbgApACIAfQAsAHsAIgBwAGEAdABoACIAOgAiAC8AcAByAG8AagBlAGMAdABzAC8ARgBlAHIAdABpAGwAaQBzAGUAcgBfAFMAbwB1AHIAYwBlAEQAYQB0AGEAIgAsACIAdABlAHgAdAAiADoAIgAvACoAXABuAD0APQA9AD0APQA9AD0APQA9AD0APQA9AD0APQA9AD0APQA9AD0APQA9AD0APQA9AD0APQA9AD0APQA9AD0APQA9AD0APQA9AD0APQA9AD0APQA9AD0APQA9AD0APQA9AD0APQA9AD0APQA9AD0APQA9AD0APQA9AD0APQA9AD0APQA9AD0APQA9AD0APQA9AD0APQA9AD0AXABuAEYAZQByAHQAaQBsAGkAcwBlAHIAIABjAGgAZQBtAGkAYwBhAGwAIABjAG8AbQBwAG8AdQBuAGQAcwBcAG4APQA9AD0APQA9AD0APQA9AD0APQA9AD0APQA9AD0APQA9AD0APQA9AD0APQA9AD0APQA9AD0APQA9AD0APQA9AD0APQA9AD0APQA9AD0APQA9AD0APQA9AD0APQA9AD0APQA9AD0APQA9AD0APQA9AD0APQA9AD0APQA9AD0APQA9AD0APQA9AD0APQA9AD0APQA9AD0APQBcAG4AKgAvAFwAbgBcAG4ARgBlAHIAdABpAGwAaQBzAGUAcgBfAEMAaABlAG0AaQBjAGEAbABDAG8AbQBwAG8AdQBuAGQARQBsAGUAbQBlAG4AdABzAF8AVABpAHQAbABlAFwAbgA9AEwAQQBNAEIARABBACgAKABcACIAQwBvAG0AbQBvAG4AIABpAG4AbwByAGcAYQBuAGkAYwAgAGYAZQByAHQAaQBsAGkAcwBlAHIAcwBcACIAKQApADsAXABuAFwAbgBGAGUAcgB0AGkAbABpAHMAZQByAF8AQwBoAGUAbQBpAGMAYQBsAEMAbwBtAHAAbwB1AG4AZABFAGwAZQBtAGUAbgB0AHMAXwBTAG8AdQByAGMAZQBcAG4APQBMAEEATQBCAEQAQQAoACgAXAAiAFQAYQBiAGwAZQAgAEEALgAyAC4AMgAuADMAOgAgAEYAcgBhAGMAdABpAG8AbgAgAG8AZgAgAG4AaQB0AHIAbwBnAGUAbgAgAGkAbgAgAGMAbwBtAG0AbwBuACAAaQBuAG8AcgBnAGEAbgBpAGMAIABmAGUAcgB0AGkAbABpAHMAZQByAHMAIAAoAGsAZwBOAC8AawBnACkAIAAoAEYATgBvAHIAZwBhAG4AaQBjACwAZgApACAAQQBOAEQAIABUAGEAYgBsAGUAIABBAC4AMgAuADIALgA0ADoAIABGAHIAYQBjAHQAaQBvAG4AIABvAGYAIAB1AHIAZQBhACAAaQBuACAAYwBvAG0AbQBvAG4AIABpAG4AbwByAGcAYQBuAGkAYwAgAGYAZQByAHQAaQBsAGkAcwBlAHIAcwAgACgAawBnACAAdQByAGUAYQAvAGsAZwApACAAKABGAFUAZgApAFwAIgApACkAOwBcAG4AXABuAEYAZQByAHQAaQBsAGkAcwBlAHIAXwBDAGgAZQBtAGkAYwBhAGwAQwBvAG0AcABvAHUAbgBkAEUAbABlAG0AZQBuAHQAcwBfAEQAYQB0AGEAXABuAD0ATABBAE0AQgBEAEEAKABcAG4AIABNAEEASwBFAEEAUgBSAEEAWQAoADIAMAAsACAANgAsAFwAbgAgAEwAQQBNAEIARABBACgAcgAsAGMALABcAG4AIAAgAEkATgBEAEUAWAAoAHsAXABuACAAIABcACIARgBlAHIAdABpAGwAaQBzAGUAcgAgAFQAeQBwAGUAIABmAFwAIgAsACAAXAAiAEYATgBpAG4AbwByAGcAYQBuAGkAYwAsAGYAXAAiACwAIABcACIARgBVAGYAXAAiACwAIABcACIAQgBhAHMAaQBzAFwAIgAsACAAXAAiAEwAaQBmAGUAQwB5AGMAbABlAHMAIABTAGMAbwBwAGUAIAAzACAAZABlAGYAaQBuAGkAdABpAG8AbgBcACIALAAgAFwAIgBTAG8AdQByAGMAZQBcACIAOwBcAG4AIAAgAFwAIgBNAG8AbgBvAGEAbQBtAG8AbgBpAHUAbQAgAHAAaABvAHMAcABoAGEAdABlACAAKABNAEEAUAApAFwAIgAsACAAMAAuADEAMAAsACAAMAAsACAAXAAiAEEAbQBtAG8AbgBpAHUAbQAtAGIAYQBzAGUAZAAgAGYAZQByAHQAaQBsAGkAcwBlAHIAcwBcACIALAAgAFwAIgBNAG8AbgBvAGEAbQBtAG8AbgBpAHUAbQAgAHAAaABvAHMAcABoAGEAdABlACAAKABNAEEAUAApAFwAIgAsACAAXAAiAFYARQBFAFIARwBcACIAOwBcAG4AIAAgAFwAIgBEAGkAYQBtAG0AbwBuAGkAdQBtACAAcABoAG8AcwBwAGgAYQB0AGUAIAAoAEQAQQBQACkAXAAiACwAIAAwAC4AMQA4ACwAIAAwACwAIABcACIAQQBtAG0AbwBuAGkAdQBtAC0AYgBhAHMAZQBkACAAZgBlAHIAdABpAGwAaQBzAGUAcgBzAFwAIgAsACAAXAAiAEQAaQBhAG0AbQBvAG4AaQB1AG0AIABwAGgAbwBzAHAAaABhAHQAZQAgACgARABBAFAAKQBcACIALAAgAFwAIgBWAEUARQBSAEcAXAAiADsAXABuACAAIABcACIAVQByAGUAYQBcACIALAAgADAALgA0ADYALAAgADEALAAgAFwAIgBVAHIAZQBhAC0AYgBhAHMAZQBkACAAZgBlAHIAdABpAGwAaQBzAGUAcgBzAFwAIgAsACAAXAAiAFUAcgBlAGEAXAAiACwAIABcACIAVgBFAEUAUgBHAFwAIgA7AFwAbgAgACAAXAAiAFMAdQBsAHAAaABhAHQAZQAgAG8AZgAgAGEAbQBtAG8AbgBpAGEAIAAoAFMATwBBACkAXAAiACwAIAAwAC4AMgAxACwAIAAwACwAIABcACIAQQBtAG0AbwBuAGkAdQBtAC0AYgBhAHMAZQBkACAAZgBlAHIAdABpAGwAaQBzAGUAcgBzAFwAIgAsACAAXAAiAFMAdQBsAHAAaABhAHQAZQAgAG8AZgAgAGEAbQBtAG8AbgBpAGEAIAAoAFMATwBBACkAXAAiACwAIABcACIAVgBFAEUAUgBHAFwAIgA7AFwAbgAgACAAXAAiAFUAcgBlAGEALQBhAG0AbQBvAG4AaQB1AG0AIABuAGkAdAByAGEAdABlACAAKABVAEEATgApAFwAIgAsACAAMAAuADMAMgAsACAAMAAuADMANQAsACAAXAAiAFUAcgBlAGEALQBiAGEAcwBlAGQAIABmAGUAcgB0AGkAbABpAHMAZQByAHMAXAAiACwAIABcACIAVQByAGUAYQAtAGEAbQBtAG8AbgBpAHUAbQAgAG4AaQB0AHIAYQB0AGUAIAAoAFUAQQBOACkAXAAiACwAIABcACIAVgBFAEUAUgBHAFwAIgA7AFwAbgAgACAAXAAiAEEAbQBtAG8AbgBpAHUAbQAgAG4AaQB0AHIAYQB0AGUAIAAoAEEATgApAFwAIgAsACAAMAAuADMAMwA3ACwAIAAwACwAIABcACIAQQBtAG0AbwBuAGkAdQBtAC0AbgBpAHQAcgBhAHQAZQAgAGIAYQBzAGUAZAAgAGYAZQByAHQAaQBsAGkAcwBlAHIAcwBcACIALAAgAFwAIgBBAG0AbQBvAG4AaQB1AG0AIABuAGkAdAByAGEAdABlACAAKABBAE4AKQBcACIALAAgAFwAIgBWAEUARQBSAEcAXAAiADsAXABuACAAIABcACIAQwBhAGwAYwBpAHUAbQAgAGEAbQBtAG8AbgBpAHUAbQAgAG4AaQB0AHIAYQB0AGUAIAAoAEMAQQBOACkAXAAiACwAIAAwAC4AMgA3ACwAIAAwACwAIABcACIAQQBtAG0AbwBuAGkAdQBtAC0AbgBpAHQAcgBhAHQAZQAgAGIAYQBzAGUAZAAgAGYAZQByAHQAaQBsAGkAcwBlAHIAcwBcACIALAAgAFwAIgBDAGEAbABjAGkAdQBtACAAYQBtAG0AbwBuAGkAdQBtACAAbgBpAHQAcgBhAHQAZQAgACgAQwBBAE4AKQBcACIALAAgAFwAIgBWAEUARQBSAEcAXAAiADsAXABuACAAIABcACIATgBpAHQAcgBvAGcAZQBuACAALQAgAEEAbQBtAG8AbgBpAGEAYwBhAGwAXAAiACwAIAAxACwAIAAwACwAIABcACIAQQBtAG0AbwBuAGkAdQBtAC0AYgBhAHMAZQBkACAAZgBlAHIAdABpAGwAaQBzAGUAcgBzAFwAIgAsACAAXAAiAE4AaQB0AHIAbwBnAGUAbgAgAC0AIABBAG0AbQBvAG4AaQBhAGMAYQBsAFwAIgAsACAAXAAiAEwAaQBmAGUAQwB5AGMAbABlAHMAXAAiADsAXABuACAAIABcACIATgBpAHQAcgBvAGcAZQBuACAALQAgAE4AaQB0AHIAYQB0AGUAXAAiACwAIAAxACwAIAAwACwAIABcACIATgBpAHQAcgBhAHQAZQAtAGIAYQBzAGUAZAAgAGYAZQByAHQAaQBsAGkAcwBlAHIAcwBcACIALAAgAFwAIgBOAGkAdAByAG8AZwBlAG4AIABmAHIAbwBtACAATgBpAHQAcgBhAHQAZQBcACIALAAgAFwAIgBMAGkAZgBlAEMAeQBjAGwAZQBzAFwAIgA7AFwAbgAgACAAXAAiAE4AaQB0AHIAbwBnAGUAbgAgAC0AIABHAGUAbgBlAHIAaQBjAFwAIgAsACAAMQAsACAAMAAsACAAXAAiAFUAcgBlAGEALQBiAGEAcwBlAGQAIABmAGUAcgB0AGkAbABpAHMAZQByAHMAXAAiACwAIABcACIATgBpAHQAcgBvAGcAZQBuACAAZgByAG8AbQAgAGYAZQByAHQAaQBsAGkAcwBlAHIAXAAiACwAIABcACIATABpAGYAZQBDAHkAYwBsAGUAcwBcACIAOwBcAG4AIAAgAFwAIgBQAGgAbwBzAHAAaABvAHIAdQBzACAALQAgAEcAZQBuAGUAcgBpAGMAXAAiACwAIAAwACwAIAAwACwAIABcACIATwB0AGgAZQByACAAZgBlAHIAdABpAGwAaQBzAGUAcgBzAFwAIgAsACAAXAAiAFAAaABvAHMAcABoAG8AcgB1AHMAIABmAHIAbwBtACAAZgBlAHIAdABpAGwAaQBzAGUAcgBcACIALAAgAFwAIgBMAGkAZgBlAEMAeQBjAGwAZQBzAFwAIgA7AFwAbgAgACAAXAAiAFAAbwB0AGEAcwBzAGkAdQBtACAALQAgAEcAZQBuAGUAcgBpAGMAXAAiACwAIAAwACwAIAAwACwAIABcACIATwB0AGgAZQByACAAZgBlAHIAdABpAGwAaQBzAGUAcgBzAFwAIgAsACAAXAAiAFAAbwB0AGEAcwBzAGkAdQBtACAAZgByAG8AbQAgAGYAZQByAHQAaQBsAGkAcwBlAHIAXAAiACwAIABcACIATABpAGYAZQBDAHkAYwBsAGUAcwBcACIAOwBcAG4AIAAgAFwAIgBTAHUAbABmAHUAcgAgAC0AIABHAGUAbgBlAHIAaQBjAFwAIgAsACAAMAAsACAAMAAsACAAXAAiAE8AdABoAGUAcgAgAGYAZQByAHQAaQBsAGkAcwBlAHIAcwBcACIALAAgAFwAIgBTAHUAbABmAHUAcgAgAGYAcgBvAG0AIABmAGUAcgB0AGkAbABpAHMAZQByAFwAIgAsACAAXAAiAEwAaQBmAGUAQwB5AGMAbABlAHMAXAAiADsAXABuACAAIABcACIAWgBpAG4AYwAgAC0AIABHAGUAbgBlAHIAaQBjAFwAIgAsACAAMAAsACAAMAAsACAAXAAiAE8AdABoAGUAcgAgAGYAZQByAHQAaQBsAGkAcwBlAHIAcwBcACIALAAgAFwAIgBaAGkAbgBjACAAZgByAG8AbQAgAGYAZQByAHQAaQBsAGkAcwBlAHIAXAAiACwAIABcACIATABpAGYAZQBDAHkAYwBsAGUAcwBcACIAOwBcAG4AIAAgAFwAIgBNAHUAcgBpAGEAdABlACAAbwBmACAAcABvAHQAYQBzAGgAIAAoAE0ATwBQACkAXAAiACwAIAAwACwAIAAwACwAIABcACIATwB0AGgAZQByACAAZgBlAHIAdABpAGwAaQBzAGUAcgBzAFwAIgAsACAAXAAiAE0AdQByAGkAYQB0AGUAIABvAGYAIABwAG8AdABhAHMAaAAgACgATQBPAFAAKQBcACIALAAgAFwAIgBMAGkAZgBlAEMAeQBjAGwAZQBzAFwAIgA7AFwAbgAgACAAXAAiAEQAbwB1AGIAbABlACAAcwB1AHAAZQByAHAAaABvAHMAcABoAGEAdABlAFwAIgAsACAAMAAsACAAMAAsACAAXAAiAE8AdABoAGUAcgAgAGYAZQByAHQAaQBsAGkAcwBlAHIAcwBcACIALAAgAFwAIgBEAG8AdQBiAGwAZQAgAHMAdQBwAGUAcgBwAGgAbwBzAHAAaABhAHQAZQBcACIALAAgAFwAIgBMAGkAZgBlAEMAeQBjAGwAZQBzAFwAIgA7AFwAbgAgACAAXAAiAFMAaQBuAGcAbABlACAAcwB1AHAAZQByAHAAaABvAHMAcABoAGEAdABlACAAKABTAFMAUAApAFwAIgAsACAAMAAsACAAMAAsACAAXAAiAE8AdABoAGUAcgAgAGYAZQByAHQAaQBsAGkAcwBlAHIAcwBcACIALAAgAFwAIgBTAGkAbgBnAGwAZQAgAHMAdQBwAGUAcgBwAGgAbwBzAHAAaABhAHQAZQAgACgAUwBTAFAAKQBcACIALAAgAFwAIgBMAGkAZgBlAEMAeQBjAGwAZQBzAFwAIgA7AFwAbgAgACAAXAAiAEEAbQBtAG8AbgBpAGEAXAAiACwAIAAwAC4AOAAyADMANQAsACAAMAAsACAAXAAiAEEAbQBtAG8AbgBpAHUAbQAtAGIAYQBzAGUAZAAgAGYAZQByAHQAaQBsAGkAcwBlAHIAcwBcACIALAAgAFwAIgBBAG0AbQBvAG4AaQBhAFwAIgAsACAAXAAiAEwAaQBmAGUAQwB5AGMAbABlAHMAXAAiADsAXABuACAAIABcACIAQwBhAGwAYwBpAHUAbQAgAG4AaQB0AHIAYQB0AGUAXAAiACwAIAAwAC4AMQA1ADUALAAgADAALAAgAFwAIgBOAGkAdAByAGEAdABlAC0AYgBhAHMAZQBkACAAZgBlAHIAdABpAGwAaQBzAGUAcgBzAFwAIgAsACAAXAAiAEMAYQBsAGMAaQB1AG0AIABuAGkAdAByAGEAdABlAFwAIgAsACAAXAAiAFYARQBFAFIARwBcACIAXABuACAAIAB9ACwAIAByACwAIABjACkAXABuACkAKQApADsAXABuAFwAbgBGAGUAcgB0AGkAbABpAHMAZQByAF8AQwBoAGUAbQBpAGMAYQBsAEMAbwBtAHAAbwB1AG4AZABFAGwAZQBtAGUAbgB0AHMAXwBWAGEAcgBpAGEAdABpAG8AbgBcAG4APQBMAEEATQBCAEQAQQAoAFwAbgAgAE0AQQBLAEUAQQBSAFIAQQBZACgAMQAyACwAIAAxACwAXABuACAATABBAE0AQgBEAEEAKAByACwAYwAsAFwAbgAgACAASQBOAEQARQBYACgAewBcAG4AIAAgAFwAIgBWAEEAUgBJAEEAVABJAE8ATgAgAE8ATgAgAFMATwBVAFIAQwBFAFwAIgA7AFwAbgAgACAAXAAiAEEAZABkAGUAZAAgAFwAdQAwADAAMgA3AEIAYQBzAGkAcwBcAHUAMAAwADIANwAgAGMAbwBsAHUAbQBuACAAdABvACAAYQBsAGwAbwB3ACAAYwByAG8AcwBzAC0AcgBlAGYAZQByAGUAbgBjAGkAbgBnACAAdwBpAHQAaAAgAHQAYQBiAGwAZQAg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OwBcAG4AIAAgAFwAIgBBAGQAZABlAGQAIABlAHgAdAByAGEAIABmAGUAcgB0AGkAbABpAHMAZQByACAAdAB5AHAAZQBzACAAYQBuAGQAIABnAGUAbgBlAHIAaQBjACAAYwBoAGUAbQBpAGMAYQBsACAAYwBvAG0AcABvAHUAbgBkAHMAIAB0AG8AIABhAGwAbABvAHcAIABmAG8AcgAgAGMAdQBzAHQAbwBtACAATgBQAEsAUwAgAGIAbABlAG4AZABzAFwAIgA7AFwAbgAgACAAXAAiAEEAZABkAGUAZAAgAGUAeAB0AHIAYQAgAFwAdQAwADAAMgA3AFMAYwBvAHAAZQAgADMAIABkAGUAZgBpAG4AaQB0AGkAbwBuAFwAdQAwADAAMgA3ACAAYwBvAGwAdQBtAG4AIAB0AG8AIABhAGwAbABvAHcAIABtAGEAcABwAGkAbgBnACAAdwBpAHQAaAAgAHMAYwBvAHAAZQAgADMAIABkAGEAdABhAFwAIgA7AFwAbgAgACAAXAAiAEEAZABkAGUAZAAgAFwAdQAwADAAMgA3AFMAbwB1AHIAYwBlAFwAdQAwADAAMgA3ACAAYwBvAGwAdQBtAG4AXAAiADsAXABuACAAIABcACIAQwBvAG0AYgBpAG4AZQBkACAAZABhAHQAYQAgAGYAcgBvAG0AIABUAGEAYgBsAGUAIABBAC4AMgAuADIALgAzACAAYQBuAGQAIABUAGEAYgBsAGUAIABBAC4AMgAuADIALgA0ACAAaQBuAHQAbwAgAG8AbgBlACAAdABhAGIAbABlACAAdABvACAAYQBpAGQAIABsAG8AbwBrAHUAcAAuAFwAIgA7AFwAbgAgACAAXAAiAEUAeABjAGwAdQBkAGUAZAAgAFwAdQAwADAAMgA3AFIAZQBmAGUAcgBlAG4AYwBlAHMAXAB1ADAAMAAyADcAIABjAG8AbAB1AG0AbgBcACIAOwBcAG4AIAAgAFwAIgBFAHgAYwBsAHUAZABlAGQAIABcAHUAMAAwADIANwBBAG0AbQBvAG4AaQB1AG0AIABzAHUAbABmAGEAdABlAFwAdQAwADAAMgA3ACAAYQBzACAAaQB0ACAAaQBzACAAYQAgAGQAdQBwAGwAaQBjAGEAdABlACAAbwBmACAAXAB1ADAAMAAyADcAUwB1AGwAcABoAGEAdABlACAAbwBmACAAYQBtAG0AbwBuAGkAYQAgACgAUwBPAEEAKQBcAHUAMAAwADIANwBcACIAOwBcAG4AIAAgAFwAIgBFAHgAYwBsAHUAZABlAGQAIABcAHUAMAAwADIANwBDAGEAbABjAGkAdQBtACAAbgBpAHQAcgBhAHQAZQBcAHUAMAAwADIANwAgAGEAcwAgAG4AbwAgAHMAYwBvAHAAZQAgADMAIAB2AGEAbAB1AGUAIABhAHYAYQBpAGwAYQBiAGwAZQAuAFwAIgA7AFwAbgAgACAAXAAiAFMAZQB0ACAAXAB1ADAAMAAyADcATgBpAHQAcgBvAGcAZQBuACAALQAgAEcAZQBuAGUAcgBpAGMAXAB1ADAAMAAyADcAIABiAGEAcwBpAHMAIABhAHMAIABcAHUAMAAwADIANwBVAHIAZQBhAC0AYgBhAHMAZQBkACAAZgBlAHIAdABpAGwAaQBzAGUAcgBzACwAIABhAHMAIAB1AHIAZQBhACAAaQBzACAAdABoAGUAIABtAG8AcwB0ACAAYwBvAG0AbQBvAG4AbAB5ACAAdQBzAGUAZAAgAGYAbwByAG0AIABvAGYAIABuAGkAdAByAG8AZwBlAG4AIABpAG4AIABBAHUAcwB0AHIAYQBsAGkAYQBuACAAZgBlAHIAdABpAGwAaQBzAGUAcgBzAFwAIgA7AFwAbgAgACAAXAAiAFMAZQB0ACAAXAB1ADAAMAAyADcAVQByAGUAYQAtAGEAbQBtAG8AbgBpAHUAbQAgAG4AaQB0AHIAYQB0AGUAXAB1ADAAMAAyADcAIABiAGEAcwBpAHMAIABhAHMAIABcAHUAMAAwADIANwBVAHIAZQBhAC0AYgBhAHMAZQBkACAAZgBlAHIAdABpAGwAaQBzAGUAcgBcAHUAMAAwADIANwBcACIAOwBcAG4AIAAgAFwAIgBBAG0AbQBvAG4AaQBhACAAaABhAHMAIABhAG4AIABGAE4AIAB2AGEAbAB1AGUAIABvAGYAIAAwAC4AOAAyADMANQAgAGIAYQBzAGUAZAAgAG8AbgAgACgAMQA0AC8AMQA3ACkAeAAxADAAMAAsACAAdwBoAGUAcgBlACAAMQA0ACAAaQBzACAAdABoAGUAIABtAGEAcwBzACAAbwBmACAAbgBpAHQAcgBvAGcAZQBuACAAaQBuACAAYQBtAG0AbwBuAGkAYQAgAGEAbgBkACAAMQA3ACAAaQBzACAAdABoAGUAIABtAG8AbABhAHIAIABtAGEAcwBzACAAbwBmACAAYQBtAG0AbwBuAGkAYQAuAFwAIgBcAG4AIAAgAH0ALAAgAHIALAAgAGMAKQBcAG4AKQApACkAOwBcAG4AXABuAFwAbgAvACoAXABuAD0APQA9AD0APQA9AD0APQA9AD0APQA9AD0APQA9AD0APQA9AD0APQA9AD0APQA9AD0APQA9AD0APQA9AD0APQA9AD0APQA9AD0APQA9AD0APQA9AD0APQA9AD0APQA9AD0APQA9AD0APQA9AD0APQA9AD0APQA9AD0APQA9AD0APQA9AD0APQA9AD0APQA9AD0APQA9AD0AXABuAEYAcgBhAGMAdABpAG8AbgAgAG8AZgAgAGkAbgBvAHIAZwBhAG4AaQBjACAAZgBlAHIAdABpAGwAaQBzAGUAcgAgAHQAaABhAHQAIAB2AG8AbABhAHQAaQBsAGkAcwBlAHMAIABhAHMAIABOAEgAMwAgAGEAbgBkACAATgBPAHgAXABuAD0APQA9AD0APQA9AD0APQA9AD0APQA9AD0APQA9AD0APQA9AD0APQA9AD0APQA9AD0APQA9AD0APQA9AD0APQA9AD0APQA9AD0APQA9AD0APQA9AD0APQA9AD0APQA9AD0APQA9AD0APQA9AD0APQA9AD0APQA9AD0APQA9AD0APQA9AD0APQA9AD0APQA9AD0APQA9AD0AXABuACoALwBcAG4AXABuAEYAZQByAHQAaQBsAGkAcwBlAHIAXwBGAHIAYQBjAEcAQQBTAEYAXwBUAGkAdABsAGUAXABuAD0ATABBAE0AQgBEAEEAKAAoAFwAIgBGAHIAYQBjAHQAaQBvAG4AIABvAGYAIABpAG4AbwByAGcAYQBuAGkAYwAgAGYAZQByAHQAaQBsAGkAcwBlAHIAIAB0AGgAYQB0ACAAdgBvAGwAYQB0AGkAbABpAHMAZQBzACAAYQBzACAATgBIADMAIABhAG4AZAAgAE4ATwB4AFwAIgApACkAOwBcAG4AXABuAEYAZQByAHQAaQBsAGkAcwBlAHIAXwBGAHIAYQBjAEcAQQBTAEYAXwBTAG8AdQByAGMAZQBcAG4APQBMAEEATQBCAEQAQQAoACgAXAAiAFQAYQBiAGwAZQAgAEEALgAyAC4AMgAuADYAOgAgAEYAcgBhAGMAdABpAG8AbgAgAG8AZgAgAGkAbgBvAHIAZwBhAG4AaQBjACAAZgBlAHIAdABpAGwAaQBzAGUAcgAgAGYAIAB0AGgAYQB0ACAAdgBvAGwAYQB0AGkAbABpAHMAZQBzACAAYQBzACAATgBIADMAIABhAG4AZAAgAE4ATwB4ACAAKAAoAGsAZwAgAE4ASAAzAC0ATgAgACsAIABOAE8AeAAtAE4AKQAvAGsAZwAgAE4AKQAgACgARgByAGEAYwBHAEEAUwBGAGYAKQBcACIAKQApADsAXABuAFwAbgBGAGUAcgB0AGkAbABpAHMAZQByAF8ARgByAGEAYwBHAEEAUwBGAF8ARABhAHQAYQBcAG4APQBMAEEATQBCAEQAQQAoAFwAbgAgAE0AQQBLAEUAQQBSAFIAQQBZACgANgAsACAAMgAsAFwAbgAgAEwAQQBNAEIARABBACgAcgAsAGMALABcAG4AIAAgAEkATgBEAEUAWAAoAHsAXABuACAAIABcACIARgBlAHIAdABpAGwAaQBzAGUAcgAgAHQAeQBwAGUAIABmAFwAIgAsACAAXAAiAEYAcgBhAGMARwBBAFMARgBmAFwAIgA7AFwAbgAgACAAXAAiAFUAcgBlAGEALQBiAGEAcwBlAGQAIABmAGUAcgB0AGkAbABpAHMAZQByAHMAXAAiACwAIAAwAC4AMQA1ADsAXABuACAAIABcACIAQQBtAG0AbwBuAGkAdQBtAC0AYgBhAHMAZQBkACAAZgBlAHIAdABpAGwAaQBzAGUAcgBzAFwAIgAsACAAMAAuADAAOAA7AFwAbgAgACAAXAAiAE4AaQB0AHIAYQB0AGUALQBiAGEAcwBlAGQAIABmAGUAcgB0AGkAbABpAHMAZQByAHMAXAAiACwAIAAwAC4AMAAxADsAXABuACAAIABcACIAQQBtAG0AbwBuAGkAdQBtAC0AbgBpAHQAcgBhAHQAZQAgAGIAYQBzAGUAZAAgAGYAZQByAHQAaQBsAGkAcwBlAHIAcwBcACIALAAgADAALgAwADUAOwBcAG4AIAAgAFwAIgBPAHQAaABlAHIAIABmAGUAcgB0AGkAbABpAHMAZQByAHMAXAAiACwAIAAwAC4AMQAxAFwAbgAgACAAfQAsACAAcgAsACAAYwApAFwAbgApACkAKQA7AFwAbgBcAG4ARgBlAHIAdABpAGwAaQBzAGUAcgBfAEYAcgBhAGMARwBBAFMARg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FAG0AaQBzAHMAaQBvAG4AIABmAGEAYwB0AG8AcgAgAGYAbwByACAAYwBhAHIAYgBvAG4AIABlAG0AaQBzAHMAaQBvAG4AcwAgAGYAcgBvAG0AIAB1AHIAZQBhACAAYQBwAHAAbABpAGMAYQB0AGkAbwBuAFwAbgA9AD0APQA9AD0APQA9AD0APQA9AD0APQA9AD0APQA9AD0APQA9AD0APQA9AD0APQA9AD0APQA9AD0APQA9AD0APQA9AD0APQA9AD0APQA9AD0APQA9AD0APQA9AD0APQA9AD0APQA9AD0APQA9AD0APQA9AD0APQA9AD0APQA9AD0APQA9AD0APQA9AD0APQA9AD0APQA9AFwAbgAqAC8AXABuAFwAbgBGAGUAcgB0AGkAbABpAHMAZQByAF8ARQBGAFUAcgBlAGEAQwBPADIAXwBUAGkAdABsAGUAXABuAD0ATABBAE0AQgBEAEEAKAAoAFwAIgBFAG0AaQBzAHMAaQBvAG4AIABmAGEAYwB0AG8AcgAgAGYAbwByACAAYwBhAHIAYgBvAG4AIABlAG0AaQBzAHMAaQBvAG4AcwAgAGYAcgBvAG0AIAB1AHIAZQBhACAAYQBwAHAAbABpAGMAYQB0AGkAbwBuAFwAIgApACkAOwBcAG4AXABuAEYAZQByAHQAaQBsAGkAcwBlAHIAXwBFAEYAVQByAGUAYQBDAE8AMgBfAFMAbwB1AHIAYwBlAFwAbgA9AEwAQQBNAEIARABBACgAKABcACIAVgBFAEUAUgBHACAAMgAwADIANgA6ACAANQAuADEALgAyAC4AMgAgAEMAbwBuAHMAdABhAG4AdAAgAFAAYQByAGEAbQBlAHQAZQByAHMAXAAiACkAKQA7AFwAbgBcAG4ARgBlAHIAdABpAGwAaQBzAGUAcgBfAEUARgBVAHIAZQBhAEMATwAyAF8AVgBhAHIAaQBhAGIAbABlAFwAbgA9AEwAQQBNAEIARABBACgAKABcACIARQBGAHUAcgBlAGEAQwBPADIAXAAiACkAKQA7AFwAbgBcAG4ARgBlAHIAdABpAGwAaQBzAGUAcgBfAEUARgBVAHIAZQBhAEMATwAyAF8AVQBuAGkAdABcAG4APQBMAEEATQBCAEQAQQAoACgAXAAiAGsAZwAgAEMALwBrAGcAIAB1AHIAZQBhAFwAIgApACkAOwBcAG4AXABuAEYAZQByAHQAaQBsAGkAcwBlAHIAXwBFAEYAVQByAGUAYQBDAE8AMgBfAEQAYQB0AGEAXABuAD0ATABBAE0AQgBEAEEAKAAwAC4AMgApADsAXABuAFwAbgBGAGUAcgB0AGkAbABpAHMAZQByAF8ARQBGAFUAcgBlAGEAQwBPADI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gByAGEAYwB0AGkAbwBuACAAbwBmACAAbwByAGcAYQBuAGkAYwAgAGYAZQByAHQAaQBsAGkAcwBlAHIAIAB0AGgAYQB0ACAAdgBvAGwAYQB0AGkAbABpAHMAZQBzACAAYQBzACAATgBIADMAIABhAG4AZAAgAE4ATwB4AFwAbgA9AD0APQA9AD0APQA9AD0APQA9AD0APQA9AD0APQA9AD0APQA9AD0APQA9AD0APQA9AD0APQA9AD0APQA9AD0APQA9AD0APQA9AD0APQA9AD0APQA9AD0APQA9AD0APQA9AD0APQA9AD0APQA9AD0APQA9AD0APQA9AD0APQA9AD0APQA9AD0APQA9AD0APQA9AD0APQA9AFwAbgAqAC8AXABuAFwAbgBGAGUAcgB0AGkAbABpAHMAZQByAF8ARgByAGEAYwBHAEEAUwBNAFMAbwBpAGwAXwBUAGkAdABsAGUAXABuAD0ATABBAE0AQgBEAEEAKAAoAFwAIgBGAHIAYQBjAHQAaQBvAG4AIABvAGYAIABvAHIAZwBhAG4AaQBjACAAZgBlAHIAdABpAGwAaQBzAGUAcgAgAHQAaABhAHQAIAB2AG8AbABhAHQAaQBsAGkAcwBlAHMAIABhAHMAIABOAEgAMwAgAGEAbgBkACAATgBPAHgAXAAiACkAKQA7AFwAbgBcAG4ARgBlAHIAdABpAGwAaQBzAGUAcgBfAEYAcgBhAGMARwBBAFMATQBTAG8AaQBsAF8AUwBvAHUAcgBjAGUAXABuAD0ATABBAE0AQgBEAEEAKAAoAFwAIgBWAEUARQBSAEcAIAAyADAAMgA2ADoAIAA1AC4ANAAuADIALgAzACAAQwBvAG4AcwB0AGEAbgB0ACAAUABhAHIAYQBtAGUAdABlAHIAcwBcACIAKQApADsAXABuAFwAbgBGAGUAcgB0AGkAbABpAHMAZQByAF8ARgByAGEAYwBHAEEAUwBNAFMAbwBpAGwAXwBWAGEAcgBpAGEAYgBsAGUAXABuAD0ATABBAE0AQgBEAEEAKAAoAFwAIgBGAHIAYQBjAEcAQQBTAE0AcwBvAGkAbABcACIAKQApADsAXABuAFwAbgBGAGUAcgB0AGkAbABpAHMAZQByAF8ARgByAGEAYwBHAEEAUwBNAFMAbwBpAGwAXwBVAG4AaQB0AFwAbgA9AEwAQQBNAEIARABBACgAKABcACIAKABrAGcAIABOAEgAMwAtAE4AIAArACAATgBPAHgALQBOACkALwBrAGcAIABOAFwAIgApACkAOwBcAG4AXABuAEYAZQByAHQAaQBsAGkAcwBlAHIAXwBGAHIAYQBjAEcAQQBTAE0AUwBvAGkAbABfAEQAYQB0AGEAXABuAD0ATABBAE0AQgBEAEEAKAAwAC4AMgAxACkAOwBcAG4AXABuAEYAZQByAHQAaQBsAGkAcwBlAHIAXwBGAHIAYQBjAEcAQQBTAE0AUwBvAGkAbABfAFYAYQByAGkAYQB0AGkAbwBuAFwAbgA9AEwAQQBNAEIARABBACgAXAAiAFwAIgApADsAXABuAFwAbgBcAG4ALwAqAFwAbgA9AD0APQA9AD0APQA9AD0APQA9AD0APQA9AD0APQA9AD0APQA9AD0APQA9AD0APQA9AD0APQA9AD0APQA9AD0APQA9AD0APQA9AD0APQA9AD0APQA9AD0APQA9AD0APQA9AD0APQA9AD0APQA9AD0APQA9AD0APQA9AD0APQA9AD0APQA9AD0APQA9AD0APQA9AD0APQA9AFwAbgBGAHIAYQBjAHQAaQBvAG4AIABvAGYAIABuAGkAdAByAG8AZwBlAG4AIAB0AGgAYQB0ACAAaQBzACAAbABvAHMAdAAgAHQAaAByAG8AdQBnAGgAIABsAGUAYQBjAGgAaQBuAGcAIABhAG4AZAAgAHIAdQBuAG8AZgBmAFwAbgA9AD0APQA9AD0APQA9AD0APQA9AD0APQA9AD0APQA9AD0APQA9AD0APQA9AD0APQA9AD0APQA9AD0APQA9AD0APQA9AD0APQA9AD0APQA9AD0APQA9AD0APQA9AD0APQA9AD0APQA9AD0APQA9AD0APQA9AD0APQA9AD0APQA9AD0APQA9AD0APQA9AD0APQA9AD0APQA9AFwAbgAqAC8AXABuAFwAbgBGAGUAcgB0AGkAbABpAHMAZQByAF8ARgByAGEAYwBMAEUAQQBDAEgAXwBUAGkAdABsAGUAXABuAD0ATABBAE0AQgBEAEEAKAAoAFwAIgBGAHIAYQBjAHQAaQBvAG4AIABvAGYAIABuAGkAdAByAG8AZwBlAG4AIAB0AGgAYQB0ACAAaQBzACAAbABvAHMAdAAgAHQAaAByAG8AdQBnAGgAIABsAGUAYQBjAGgAaQBuAGcAIABhAG4AZAAgAHIAdQBuAG8AZgBmAFwAIgApACkAOwBcAG4AXABuAEYAZQByAHQAaQBsAGkAcwBlAHIAXwBGAHIAYQBjAEwARQBBAEMASABfAFMAbwB1AHIAYwBlAFwAbgA9AEwAQQBNAEIARABBACgAKABcACIAVgBFAEUAUgBHACAAMgAwADIANgA6ACAANQAuADUALgAyAC4AMwAgAEMAbwBuAHMAdABhAG4AdAAgAFAAYQByAGEAbQBlAHQAZQByAHMAXAAiACkAKQA7AFwAbgBcAG4ARgBlAHIAdABpAGwAaQBzAGUAcgBfAEYAcgBhAGMATABFAEEAQwBIAF8AVgBhAHIAaQBhAGIAbABlAFwAbgA9AEwAQQBNAEIARABBACgAKABcACIARgByAGEAYwBMAEUAQQBDAEgAXAAiACkAKQA7AFwAbgBcAG4ARgBlAHIAdABpAGwAaQBzAGUAcgBfAEYAcgBhAGMATABFAEEAQwBIAF8AVQBuAGkAdABcAG4APQBMAEEATQBCAEQAQQAoACgAXAAiAGYAcgBhAGMAdABpAG8AbgBcACIAKQApADsAXABuAFwAbgBGAGUAcgB0AGkAbABpAHMAZQByAF8ARgByAGEAYwBMAEUAQQBDAEgAXwBEAGEAdABhAFwAbgA9AEwAQQBNAEIARABBACgAMAAuADIANAApADsAXABuAFwAbgBGAGUAcgB0AGkAbABpAHMAZQByAF8ARgByAGEAYwBMAEUAQQBDAEgAXwBWAGEAcgBpAGEAdABpAG8AbgBcAG4APQBMAEEATQBCAEQAQQAoAFwAIgBcACIAKQA7AFwAbgBcAG4AXABuAC8AKgBcAG4APQA9AD0APQA9AD0APQA9AD0APQA9AD0APQA9AD0APQA9AD0APQA9AD0APQA9AD0APQA9AD0APQA9AD0APQA9AD0APQA9AD0APQA9AD0APQA9AD0APQA9AD0APQA9AD0APQA9AD0APQA9AD0APQA9AD0APQA9AD0APQA9AD0APQA9AD0APQA9AD0APQA9AD0APQA9AD0APQBcAG4ARQBtAGkAcwBzAGkAbwBuACAAZgBhAGMAdABvAHIAIABmAG8AcgAgAG4AaQB0AHIAbwBnAGUAbgAgAGwAZQBhAGMAaABpAG4AZwAgAGEAbgBkACAAcgB1AG4AbwBmAGYAXABuAD0APQA9AD0APQA9AD0APQA9AD0APQA9AD0APQA9AD0APQA9AD0APQA9AD0APQA9AD0APQA9AD0APQA9AD0APQA9AD0APQA9AD0APQA9AD0APQA9AD0APQA9AD0APQA9AD0APQA9AD0APQA9AD0APQA9AD0APQA9AD0APQA9AD0APQA9AD0APQA9AD0APQA9AD0APQA9AD0AXABuACoALwBcAG4AXABuAEYAZQByAHQAaQBsAGkAcwBlAHIAXwBFAEYATABlAGEAYwBoAF8AVABpAHQAbABlAFwAbgA9AEwAQQBNAEIARABBACgAKABcACIARQBtAGkAcwBzAGkAbwBuACAAZgBhAGMAdABvAHIAIABmAG8AcgAgAG4AaQB0AHIAbwBnAGUAbgAgAGwAZQBhAGMAaABpAG4AZwAgAGEAbgBkACAAcgB1AG4AbwBmAGYAXAAiACkAKQA7AFwAbgBcAG4ARgBlAHIAdABpAGwAaQBzAGUAcgBfAEUARgBMAGUAYQBjAGgAXwBTAG8AdQByAGMAZQBcAG4APQBMAEEATQBCAEQAQQAoACgAXAAiAFYARQBFAFIARwAgADIAMAAyADYAOgAgADUALgA1AC4AMgAuADMAIABDAG8AbgBzAHQAYQBuAHQAIABQAGEAcgBhAG0AZQB0AGUAcgBzAFwAIgApACkAOwBcAG4AXABuAEYAZQByAHQAaQBsAGkAcwBlAHIAXwBFAEYATABlAGEAYwBoAF8AVgBhAHIAaQBhAGIAbABlAFwAbgA9AEwAQQBNAEIARABBACgAKABcACIARQBGAEwAZQBhAGMAaABcACIAKQApADsAXABuAFwAbgBGAGUAcgB0AGkAbABpAHMAZQByAF8ARQBGAEwAZQBhAGMAaABfAFUAbgBpAHQAXABuAD0ATABBAE0AQgBEAEEAKAAoAFwAIgBrAGcAIABOADIATwAtAE4AIAAvACAAawBnACAATgBcACIAKQApADsAXABuAFwAbgBGAGUAcgB0AGkAbABpAHMAZQByAF8ARQBGAEwAZQBhAGMAaABfAEQAYQB0AGEAXABuAD0ATABBAE0AQgBEAEEAKAAwAC4AMAAxADEAKQA7AFwAbgBcAG4ARgBlAHIAdABpAGwAaQBzAGUAcgBfAEUARgBMAGUAYQBjAGgAXwBWAGEAcgBpAGEAdABpAG8AbgBcAG4APQBMAEEATQBCAEQAQQAoAFwAIgBcACIAKQA7AFwAbgBcAG4AXABuAFwAbgAvACoAXABuAD0APQA9AD0APQA9AD0APQA9AD0APQA9AD0APQA9AD0APQA9AD0APQA9AD0APQA9AD0APQA9AD0APQA9AD0APQA9AD0APQA9AD0APQA9AD0APQA9AD0APQA9AD0APQA9AD0APQA9AD0APQA9AD0APQA9AD0APQA9AD0APQA9AD0APQA9AD0APQA9AD0APQA9AD0APQA9AD0AXABuAEwAaQBtAGUALAAgAGQAbwBsAG8AbQBpAHQAZQAgAGEAbgBkACAAZwB5AHAAcwB1AG0AXABuAD0APQA9AD0APQA9AD0APQA9AD0APQA9AD0APQA9AD0APQA9AD0APQA9AD0APQA9AD0APQA9AD0APQA9AD0APQA9AD0APQA9AD0APQA9AD0APQA9AD0APQA9AD0APQA9AD0APQA9AD0APQA9AD0APQA9AD0APQA9AD0APQA9AD0APQA9AD0APQA9AD0APQA9AD0APQA9AD0AXABuACoALwBcAG4AXABuAEYAZQByAHQAaQBsAGkAcwBlAHIAXwBMAGkAbQBlAEQAbwBsAG8AbQBpAHQAZQBHAHkAcABzAHUAbQBDAG8AbgBzAHQAYQBuAHQAcwBfAFQAaQB0AGwAZQBcAG4APQBMAEEATQBCAEQAQQAoACgAXAAiAEMAbwBuAHMAdABhAG4AdABzACAAZgBvAHIAIABsAGkAbQBlACwAIABkAG8AbABvAG0AaQB0AGUAIABhAG4AZAAgAGcAeQBwAHMAdQBtAFwAIgApACkAOwBcAG4AXABuAEYAZQByAHQAaQBsAGkAcwBlAHIAXwBMAGkAbQBlAEQAbwBsAG8AbQBpAHQAZQBHAHkAcABzAHUAbQBDAG8AbgBzAHQAYQBuAHQAcwBfAEQAZQBzAGMAcgBpAHAAdABpAG8AbgBcAG4APQBMAEEATQBCAEQAQQAoACgAXAAiAEMAbwBuAHMAdABhAG4AdABzACAAZgBvAHIAIABsAGkAbQBlACwAIABkAG8AbABvAG0AaQB0AGUAIABhAG4AZAAgAGcAeQBwAHMAdQBtAFwAIgApACkAOwBcAG4AXABuAEYAZQByAHQAaQBsAGkAcwBlAHIAXwBMAGkAbQBlAEQAbwBsAG8AbQBpAHQAZQBHAHkAcABzAHUAbQBDAG8AbgBzAHQAYQBuAHQAcwBfAFMAbwB1AHIAYwBlAFwAbgA9AEwAQQBNAEIARABBACgAKABcACIAVgBFAEUAUgBHACAAMgAwADIANgA6ACAANQAuADMALgAyAC4AMwAgAEMAbwBuAHMAdABhAG4AdAAgAFAAYQByAGEAbQBlAHQAZQByAHMAXAAiACkAKQA7AFwAbgBcAG4ARgBlAHIAdABpAGwAaQBzAGUAcgBfAEwAaQBtAGUARABvAGwAbwBtAGkAdABlAEcAeQBwAHMAdQBtAEMAbwBuAHMAdABhAG4AdABzAF8ARABhAHQAYQBcAG4APQBMAEEATQBCAEQAQQAoAFwAbgAgAE0AQQBLAEUAQQBSAFIAQQBZACgANAAsACAAMwAsAFwAbgAgAEwAQQBNAEIARABBACgAcgAsAGMALABcAG4AIAAgAEkATgBEAEUAWAAoAHsAXABuACAAIABcACIARQBsAGUAbQBlAG4AdABcACIALAAgAFwAIgBQAFwAIgAsACAAXAAiAEUARgBcACIAOwBcAG4AIAAgAFwAIgBMAGkAbQBlACAAKABDAGEAbABjAGkAdQBtACAAYwBhAHIAYgBvAG4AYQB0AGUAKQBcACIALAAgADAALgA5ACwAIAAwAC4AMQAyADsAXABuACAAIABcACIARABvAGwAbwBtAGkAdABlACAAKABNAGEAZwBuAGUAcwBpAHUAbQAgAGMAYQByAGIAbwBuAGEAdABlACkAXAAiACwAIAAwAC4AOQA1ACwAIAAwAC4AMQAzADsAXABuACAAIABcACIARwB5AHAAcwB1AG0AXAAiACwAIAAwACwAIAAwAFwAbgAgACAAfQAsACAAcgAsACAAYwApAFwAbgApACkAKQA7AFwAbgBcAG4ARgBlAHIAdABpAGwAaQBzAGUAcgBfAEwAaQBtAGUARABvAGwAbwBtAGkAdABlAEcAeQBwAHMAdQBtAEMAbwBuAHMAdABhAG4AdABzAF8AVgBhAHIAaQBhAHQAaQBvAG4AXABuAD0ATABBAE0AQgBEAEEAKAAoAFwAIgBWAEEAUgBJAEEAVABJAE8ATgAgAEYAUgBPAE0AIABTAE8AVQBSAEMARQAgAEQAQQBUAEEAOgAgAEcAeQBwAHMAdQBtACAAaABhAHMAIABiAGUAZQBuACAAYQBkAGQAZQBkACAAdwBpAHQAaAAgAHAAbABhAGMAZQBoAG8AbABkAGUAcgAgAHYAYQBsAHUAZQBzACAAbwBmACAAMAAgAGYAbwByACAAUAAgAGEAbgBkACAARQBGAC4AXAAiACkAKQA7AFwAbgBcAG4AXABuAC8AKgBcAG4APQA9AD0APQA9AD0APQA9AD0APQA9AD0APQA9AD0APQA9AD0APQA9AD0APQA9AD0APQA9AD0APQA9AD0APQA9AD0APQA9AD0APQA9AD0APQA9AD0APQA9AD0APQA9AD0APQA9AD0APQA9AD0APQA9AD0APQA9AD0APQA9AD0APQA9AD0APQA9AD0APQA9AD0APQA9AD0APQBcAG4ARgByAGEAYwB0AGkAbwBuACAAbwBmACAAbgBpAHQAcgBvAGcAZQBu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OAEMAbwBtAG0AbwBuAEYAZQByAHQAaQBsAGkAcwBlAHIAcwBfAFQAaQB0AGwAZQBcAG4APQBMAEEATQBCAEQAQQAoACgAXAAiAEYAcgBhAGMAdABpAG8AbgAgAG8AZgAgAG4AaQB0AHIAbwBnAGUAbgAgAGkAbgAgAGMAbwBtAG0AbwBuACAAaQBuAG8AcgBnAGEAbgBpAGMAIABmAGUAcgB0AGkAbABpAHMAZQByAHMAIAAoAGsAZwBOAC8AawBnACkAIAAoAEYATgBvAHIAZwBhAG4AaQBjACwAZgApAFwAIgApACkAOwBcAG4AXABuAEYAZQByAHQAaQBsAGkAcwBlAHIAXwBGAHIAYQBjAHQAaQBvAG4ATgBDAG8AbQBtAG8AbgBGAGUAcgB0AGkAbABpAHMAZQByAHMAXwBTAG8AdQByAGMAZQBcAG4APQBMAEEATQBCAEQAQQAoACgAXAAiAFYARQBFAFIARwAgADIAMAAyADYAOgAgAFQAYQBiAGwAZQAgAEEALgAyAC4AMgAuADMAXAAiACkAKQA7AFwAbgBcAG4ARgBlAHIAdABpAGwAaQBzAGUAcgBfAEYAcgBhAGMAdABpAG8AbgBOAEMAbwBtAG0AbwBuAEYAZQByAHQAaQBsAGkAcwBlAHIAcwBfAEQAYQB0AGEAXABuAD0ATABBAE0AQgBEAEEAKABcAG4AIABNAEEASwBFAEEAUgBSAEEAWQAoADEAMAAsACAAMgAsAFwAbgAgAEwAQQBNAEIARABBACgAcgAsAGMALABcAG4AIAAgAEkATgBEAEUAWAAoAHsAXABuACAAIABcACIARgBlAHIAdABpAGwAaQBzAGUAcgAgAFQAeQBwAGUAIABmAFwAIgAsACAAXAAiAEYATgBpAG4AbwByAGcAYQBuAGkAYwBmAFwAIgA7AFwAbgAgACAAXAAiAE0AbwBuAG8AYQBtAG0AbwBuAGkAdQBtACAAcABoAG8AcwBwAGgAYQB0AGUAIAAoAE0AQQBQACkAXAAiACwAIAAwAC4AMQAwADsAXABuACAAIABcACIARABpAGEAbQBtAG8AbgBpAHUAbQAgAHAAaABvAHMAcABoAGEAdABlACAAKABEAEEAUAApAFwAIgAsACAAMAAuADEAOAA7AFwAbgAgACAAXAAiAFUAcgBlAGEAXAAiACwAIAAwAC4ANAA2ADsAXABuACAAIABcACIAUwB1AGwAcABoAGEAdABlACAAbwBmACAAYQBtAG0AbwBuAGkAYQAgACgAUwBPAEEAKQBcACIALAAgADAALgAyADEAOwBcAG4AIAAgAFwAIgBVAHIAZQBhAC0AYQBtAG0AbwBuAGkAdQBtACAAbgBpAHQAcgBhAHQAZQAgACgAVQBBAE4AKQBcACIALAAgADAALgAzADIAOwBcAG4AIAAgAFwAIgBBAG0AbQBvAG4AaQB1AG0AIABuAGkAdAByAGEAdABlACAAKABBAE4AKQBcACIALAAgADAALgAzADMANwA7AFwAbgAgACAAXAAiAEMAYQBsAGMAaQB1AG0AIABhAG0AbQBvAG4AaQB1AG0AIABuAGkAdAByAGEAdABlACAAKABDAEEATgApAFwAIgAsACAAMAAuADIANwA7AFwAbgAgACAAXAAiAEEAbQBtAG8AbgBpAHUAbQAgAFMAdQBsAGYAYQB0AGUAXAAiACwAIAAwAC4AMgAxADsAXABuACAAIABcACIAQwBhAGwAYwBpAHUAbQAgAE4AaQB0AHIAYQB0AGUAXAAiACwAIAAwAC4AMQA1ADUAXABuACAAIAB9ACwAIAByACwAIABjACkAXABuACkAKQApADsAXABuAFwAbgBGAGUAcgB0AGkAbABpAHMAZQByAF8ARgByAGEAYwB0AGkAbwBuAE4AQwBvAG0AbQBvAG4ARgBlAHIAdABpAGwAaQBzAGUAcgBzAF8AVgBhAHIAaQBhAHQAaQBvAG4AXABuAD0ATABBAE0AQgBEAEEAKAAoAFwAIgBcACIAKQApADsAXABuAFwAbgBcAG4ALwAqAFwAbgA9AD0APQA9AD0APQA9AD0APQA9AD0APQA9AD0APQA9AD0APQA9AD0APQA9AD0APQA9AD0APQA9AD0APQA9AD0APQA9AD0APQA9AD0APQA9AD0APQA9AD0APQA9AD0APQA9AD0APQA9AD0APQA9AD0APQA9AD0APQA9AD0APQA9AD0APQA9AD0APQA9AD0APQA9AD0APQA9AFwAbgBGAHIAYQBjAHQAaQBvAG4AIABvAGYAIAB1AHIAZQBhACAAaQBuACAAYwBvAG0AbQBvAG4AIABpAG4AbwByAGcAYQBuAGkAYwAgAGYAZQByAHQAaQBsAGkAcwBlAHIAcwBcAG4APQA9AD0APQA9AD0APQA9AD0APQA9AD0APQA9AD0APQA9AD0APQA9AD0APQA9AD0APQA9AD0APQA9AD0APQA9AD0APQA9AD0APQA9AD0APQA9AD0APQA9AD0APQA9AD0APQA9AD0APQA9AD0APQA9AD0APQA9AD0APQA9AD0APQA9AD0APQA9AD0APQA9AD0APQA9AD0APQBcAG4AKgAvAFwAbgBcAG4ARgBlAHIAdABpAGwAaQBzAGUAcgBfAEYAcgBhAGMAdABpAG8AbgBVAHIAZQBhAEMAbwBtAG0AbwBuAEYAZQByAHQAaQBsAGkAcwBlAHIAcwBfAFQAaQB0AGwAZQBcAG4APQBMAEEATQBCAEQAQQAoACgAXAAiAEYAcgBhAGMAdABpAG8AbgAgAG8AZgAgAHUAcgBlAGEAIABpAG4AIABjAG8AbQBtAG8AbgAgAGkAbgBvAHIAZwBhAG4AaQBjACAAZgBlAHIAdABpAGwAaQBzAGUAcgBzACAAKABrAGcAIAB1AHIAZQBhAC8AawBnACkAIAAoAEYAVQBmACkAXAAiACkAKQA7AFwAbgBcAG4ARgBlAHIAdABpAGwAaQBzAGUAcgBfAEYAcgBhAGMAdABpAG8AbgBVAHIAZQBhAEMAbwBtAG0AbwBuAEYAZQByAHQAaQBsAGkAcwBlAHIAcwBfAFMAbwB1AHIAYwBlAFwAbgA9AEwAQQBNAEIARABBACgAKABcACIAVgBFAEUAUgBHACAAMgAwADIANgA6ACAAVABhAGIAbABlACAAQQAuADIALgAyAC4ANABcACIAKQApADsAXABuAFwAbgBGAGUAcgB0AGkAbABpAHMAZQByAF8ARgByAGEAYwB0AGkAbwBuAFUAcgBlAGEAQwBvAG0AbQBvAG4ARgBlAHIAdABpAGwAaQBzAGUAcgBzAF8ARABhAHQAYQBcAG4APQBMAEEATQBCAEQAQQAoAFwAbgAgAE0AQQBLAEUAQQBSAFIAQQBZACgAMQAwACwAIAAyACwAXABuACAATABBAE0AQgBEAEEAKAByACwAYwAsAFwAbgAgACAASQBOAEQARQBYACgAewBcAG4AIAAgAFwAIgBGAGUAcgB0AGkAbABpAHMAZQByACAAVAB5AHAAZQAgAGYAXAAiACwAIABcACIARgBVAGYAXAAiADsAXABuACAAIABcACIATQBvAG4AbwBhAG0AbQBvAG4AaQB1AG0AIABwAGgAbwBzAHAAaABhAHQAZQAgACgATQBBAFAAKQBcACIALAAgADAAOwBcAG4AIAAgAFwAIgBEAGkAYQBtAG0AbwBuAGkAdQBtACAAcABoAG8AcwBwAGgAYQB0AGUAIAAoAEQAQQBQACkAXAAiACwAIAAwADsAXABuACAAIABcACIAVQByAGUAYQBcACIALAAgADEAOwBcAG4AIAAgAFwAIgBTAHUAbABwAGgAYQB0AGUAIABvAGYAIABhAG0AbQBvAG4AaQBhACAAKABTAE8AQQApAFwAIgAsACAAMAA7AFwAbgAgACAAXAAiAFUAcgBlAGEALQBhAG0AbQBvAG4AaQB1AG0AIABuAGkAdAByAGEAdABlACAAKABVAEEATgApAFwAIgAsACAAMAAuADMANQA7AFwAbgAgACAAXAAiAEEAbQBtAG8AbgBpAHUAbQAgAG4AaQB0AHIAYQB0AGUAIAAoAEEATgApAFwAIgAsACAAMAA7AFwAbgAgACAAXAAiAEMAYQBsAGMAaQB1AG0AIABhAG0AbQBvAG4AaQB1AG0AIABuAGkAdAByAGEAdABlACAAKABDAEEATgApAFwAIgAsACAAMAA7AFwAbgAgACAAXAAiAEEAbQBtAG8AbgBpAHUAbQAgAFMAdQBsAGYAYQB0AGUAXAAiACwAIAAwADsAXABuACAAIABcACIAQwBhAGwAYwBpAHUAbQAgAE4AaQB0AHIAYQB0AGUAXAAiACwAIAAwAFwAbgAgACAAfQAsACAAcgAsACAAYwApAFwAbgApACkAKQA7AFwAbgBcAG4ARgBlAHIAdABpAGwAaQBzAGUAcgBfAEYAcgBhAGMAdABpAG8AbgBVAHIAZQBhAEMAbwBtAG0AbwBuAEYAZQByAHQAaQBsAGkAcwBlAHIAcwBfAFYAYQByAGkAYQB0AGkAbwBuAFwAbgA9AEwAQQBNAEIARABBACgAKABcACIAXAAiACkAKQA7AFwAbgBcAG4AXABuAC8AKgBcAG4APQA9AD0APQA9AD0APQA9AD0APQA9AD0APQA9AD0APQA9AD0APQA9AD0APQA9AD0APQA9AD0APQA9AD0APQA9AD0APQA9AD0APQA9AD0APQA9AD0APQA9AD0APQA9AD0APQA9AD0APQA9AD0APQA9AD0APQA9AD0APQA9AD0APQA9AD0APQA9AD0APQA9AD0APQA9AD0APQBcAG4AUwBvAHUAcgBjAGUAIAByAGUAZwBpAG8AbgBzACAAZgBvAHIAIAB1AHIAZQBhACAAYQBuAGQAIABhAG0AbQBvAG4AaQBhAFwAbgA9AD0APQA9AD0APQA9AD0APQA9AD0APQA9AD0APQA9AD0APQA9AD0APQA9AD0APQA9AD0APQA9AD0APQA9AD0APQA9AD0APQA9AD0APQA9AD0APQA9AD0APQA9AD0APQA9AD0APQA9AD0APQA9AD0APQA9AD0APQA9AD0APQA9AD0APQA9AD0APQA9AD0APQA9AD0APQA9AFwAbgAqAC8AXABuAFwAbgBGAGUAcgB0AGkAbABpAHMAZQByAF8AVQByAGUAYQBBAG0AbQBvAG4AaQBhAFMAbwB1AHIAYwBlAFIAZQBnAGkAbwBuAHMAXwBUAGkAdABsAGUAXABuAD0ATABBAE0AQgBEAEEAKABcACIAUwBvAHUAcgBjAGUAIAByAGUAZwBpAG8AbgBzACAAZgBvAHIAIAB1AHIAZQBhACAAYQBuAGQAIABhAG0AbQBvAG4AaQBhAFwAIgApADsAXABuAFwAbgBGAGUAcgB0AGkAbABpAHMAZQByAF8AVQByAGUAYQBBAG0AbQBvAG4AaQBhAFMAbwB1AHIAYwBlAFIAZQBnAGkAbwBuAHMAXwBTAG8AdQByAGMAZQBcAG4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GAGUAcgB0AGkAbABpAHMAZQByAF8AVQByAGUAYQBBAG0AbQBvAG4AaQBhAFMAbwB1AHIAYwBlAFIAZQBnAGkAbwBuAHMAXwBEAGEAdABhAFwAbgA9AEwAQQBNAEIARABBACgAXABuACAATQBBAEsARQBBAFIAUgBBAFkAKAA1ACwAIAAxACwAXABuACAATABBAE0AQgBEAEEAKAByACwAYwAsAFwAbgAgACAASQBOAEQARQBYACgAewBcAG4AIAAgAFwAIgBTAG8AdQByAGMAZQBcACIAOwBcAG4AIAAgAFwAIgBHAGwAbwBiAGEAbABcACIAOwBcAG4AIAAgAFwAIgBDAGEAbgBhAGQAYQBcACIAOwBcAG4AIAAgAFwAIgBDAGgAaQBuAGEAXAAiADsAXABuACAAIABcACIAWQBlAG0AZQBuAFwAIgBcAG4AIAAgAH0ALAAgAHIALAAgAGMAKQBcAG4AKQApACkAOwBcAG4AXABuAC8AKgBcAG4APQA9AD0APQA9AD0APQA9AD0APQA9AD0APQA9AD0APQA9AD0APQA9AD0APQA9AD0APQA9AD0APQA9AD0APQA9AD0APQA9AD0APQA9AD0APQA9AD0APQA9AD0APQA9AD0APQA9AD0APQA9AD0APQA9AD0APQA9AD0APQA9AD0APQA9AD0APQA9AD0APQA9AD0APQA9AD0APQBcAG4AQgByAGEAbgBkAGUAZAAgAGYAZQByAHQAaQBsAGkAcwBlAHIAIABwAHIAbwBkAHUAYwB0AHMAXABuAD0APQA9AD0APQA9AD0APQA9AD0APQA9AD0APQA9AD0APQA9AD0APQA9AD0APQA9AD0APQA9AD0APQA9AD0APQA9AD0APQA9AD0APQA9AD0APQA9AD0APQA9AD0APQA9AD0APQA9AD0APQA9AD0APQA9AD0APQA9AD0APQA9AD0APQA9AD0APQA9AD0APQA9AD0APQA9AD0AXABuACoALwBcAG4AXABuAEYAZQByAHQAaQBsAGkAcwBlAHIAXwBQAHIAbwBkAHUAYwB0AHMAXwBUAGkAdABsAGUAXABuAD0ATABBAE0AQgBEAEEAKAAoAFwAIgBCAHIAYQBuAGQAZQBkACAAZgBlAHIAdABpAGwAaQBzAGUAcgAgAHAAcgBvAGQAdQBjAHQAcwAgAGEAbgBkACAAdABoAGUAaQByACAAYwBoAGUAbQBpAGMAYQBsACAAYwBvAG0AcABvAHMAaQB0AGkAbwBuAFwAIgApACkAOwBcAG4AXABuAEYAZQByAHQAaQBsAGkAcwBlAHIAXwBQAHIAbwBkAHUAYwB0AHMAXwBTAG8AdQByAGMAZQBcAG4APQBMAEEATQBCAEQAQQAoACgAXAAiAFwAIgApACkAOwBcAG4AXABuAC8AKgBcAG4ARgBlAHIAdABpAGwAaQBzAGUAcgAgAHAAcgBvAGQAdQBjAHQAIABkAGEAdABhACAALQAgAEUAeABjAGUAbAAgAE0AQQBLAEUAQQBSAFIAQQBZACAAZQB4AHAAbwByAHQAXABuAC0ALQAtAC0ALQAtAC0ALQAtAC0ALQAtAC0ALQAtAC0ALQAtAC0ALQAtAC0ALQAtAC0ALQAtAC0ALQAtAC0ALQAtAC0ALQAtAC0ALQAtAC0ALQAtAC0ALQAtAC0ALQAtAC0ALQAtAC0ALQAtAC0ALQAtAC0ALQAtAFwAbgBQAHIAbwBkAHUAYwB0AHMAOgAgADEAMwA0ACAAKABJAG4AYwBsAHUAZABlACAAbwBuAGwAeQA7ACAAYwBvAG0AYgBpAG4AZQBkACAAZgByAG8AbQAgAG0AYQBpAG4AIAArACAAYgBhAHQAYwBoACAAMQAgACsAIABiAGEAdABjAGgAIAAyACAAdwBvAHIAawBiAG8AbwBrAHMAKQBcAG4AQQByAHIAYQB5AHMAOgAgADUAIAB8ACAAUgBvAHcAcwAgAHAAZQByACAAYQByAHIAYQB5ADoAIAAzADAAIAAoAGYAaQBuAGEAbAAgAGEAcgByAGEAeQA6ACAAMQA0ACkAIAB8ACAAQwBvAGwAdQBtAG4AcwA6ACAAMwAxAFwAbgBcAG4ARQB4AGMAbAB1AGQAZQBkACAAYwBvAGwAdQBtAG4AcwA6ACAASQBuAGMAbAB1AGQAZQAgAG8AcgAgAGUAeABjAGwAdQBkAGUALAAgAEEAbgBhAGwAeQBzAGkAcwAgAGIAYQBzAGUALAAgAEEAbgBhAGwAeQBzAGkAcwAgAHMAbwB1AHIAYwBlACwAIABBAG4AYQBsAHkAcwBpAHMAIABmAGwAYQBnACwAIABOAG8AdABlAHMALAAgAEwAaQBuAGsALAAgAEQAYQB0AGEAIABzAG8AdQByAGMAZQAsACAARQBOAEQAIABSAE8AVwAuAFwAbgBJAG4AZwByAGUAZABpAGUAbgB0ACAAcABlAHIAYwBlAG4AdAAgAHYAYQBsAHUAZQBzACAAYQByAGUAIABlAHYAYQBsAHUAYQB0AGUAZAAgAGQAZQBjAGkAbQBhAGwAIABmAHIAYQBjAHQAaQBvAG4AcwAgACgAPQA0ADYALwAxADAAMAAgAC0AXAB1ADAAMAAzAGUAIAAwAC4ANAA2ACkAOwAgAGUAbQBwAHQAeQAgAGMAZQBsAGwAcwAgAGEAcgBlACAAXAAiAFwAIgAuAFwAbgBcAG4AQwBvAGwAdQBtAG4AIABvAHIAZABlAHIAIAAoADMAMQApADoAXABuACAAIAAxAC4AIABDAG8AbQBwAGEAbgB5AFwAbgAgACAAMgAuACAAUAByAG8AZAB1AGMAdAAgAG4AYQBtAGUAXABuACAAIAAzAC4AIABVAG4AaQB0AFwAbgAgACAANAAuACAARABlAG4AcwBpAHQAeQBcAG4AIAAgADUALgAgAEMAbwBuAHQAYQBpAG4AcwAgAGkAbgBoAGkAYgBpAHQAbwByAFwAbgAgACAANgAuACAAVQByAGUAYQAgAHMAbwB1AHIAYwBlAFwAbgAgACAANwAuACAAQQBtAG0AbwBuAGkAYQAgAHMAbwB1AHIAYwBlAFwAbgAgACAAOAAuACAATgAgAGQAZQBjAGwAYQByAGUAZABcAG4AIAAgADkALgAgAFAAIABkAGUAYwBsAGEAcgBlAGQAXABuACAAIAAxADAALgAgAEsAIABkAGUAYwBsAGEAcgBlAGQAXABuACAAIAAxADEALgAgAFMAIABkAGUAYwBsAGEAcgBlAGQAXABuACAAIAAxADIALgAgAEkAbgBnAHIAZQBkAGkAZQBuAHQAIAAxAFwAbgAgACAAMQAzAC4AIABJAG4AZwByAGUAZABpAGUAbgB0ACAAMQAgAHAAZQByAGMAZQBuAHQAXABuACAAIAAxADQALgAgAEkAbgBnAHIAZQBkAGkAZQBuAHQAIAAyAFwAbgAgACAAMQA1AC4AIABJAG4AZwByAGUAZABpAGUAbgB0ACAAMgAgAHAAZQByAGMAZQBuAHQAXABuACAAIAAxADYALgAgAEkAbgBnAHIAZQBkAGkAZQBuAHQAIAAzAFwAbgAgACAAMQA3AC4AIABJAG4AZwByAGUAZABpAGUAbgB0ACAAMwAgAHAAZQByAGMAZQBuAHQAXABuACAAIAAxADgALgAgAEkAbgBnAHIAZQBkAGkAZQBuAHQAIAA0AFwAbgAgACAAMQA5AC4AIABJAG4AZwByAGUAZABpAGUAbgB0ACAANAAgAHAAZQByAGMAZQBuAHQAXABuACAAIAAyADAALgAgAEkAbgBnAHIAZQBkAGkAZQBuAHQAIAA1AFwAbgAgACAAMgAxAC4AIABJAG4AZwByAGUAZABpAGUAbgB0ACAANQAgAHAAZQByAGMAZQBuAHQAXABuACAAIAAyADIALgAgAEkAbgBnAHIAZQBkAGkAZQBuAHQAIAA2AFwAbgAgACAAMgAzAC4AIABJAG4AZwByAGUAZABpAGUAbgB0ACAANgAgAHAAZQByAGMAZQBuAHQAXABuACAAIAAyADQALgAgAEkAbgBnAHIAZQBkAGkAZQBuAHQAIAA3AFwAbgAgACAAMgA1AC4AIABJAG4AZwByAGUAZABpAGUAbgB0ACAANwAgAHAAZQByAGMAZQBuAHQAXABuACAAIAAyADYALgAgAEkAbgBnAHIAZQBkAGkAZQBuAHQAIAA4AFwAbgAgACAAMgA3AC4AIABJAG4AZwByAGUAZABpAGUAbgB0ACAAOAAgAHAAZQByAGMAZQBuAHQAXABuACAAIAAyADgALgAgAEkAbgBnAHIAZQBkAGkAZQBuAHQAIAA5AFwAbgAgACAAMgA5AC4AIABJAG4AZwByAGUAZABpAGUAbgB0ACAAOQAgAHAAZQByAGMAZQBuAHQAXABuACAAIAAzADAALgAgAEkAbgBnAHIAZQBkAGkAZQBuAHQAIAAxADAAXABuACAAIAAzADEALgAgAEkAbgBnAHIAZQBkAGkAZQBuAHQAIAAxADAAIABwAGUAcgBjAGUAbgB0AFwAbgAgACAAXABuAC0ALQAtAC0ALQAtAC0ALQAtAC0ALQAtAC0ALQAtAC0ALQAtAC0ALQAtAC0ALQAtAC0ALQAtAC0ALQAtAC0ALQAtAC0ALQAtAC0ALQAtAC0ALQAtAC0ALQAtAC0ALQAtAC0ALQAtAC0ALQAtAC0ALQAtAC0ALQAtAFwAbgAqAC8AXABuAFwAbgBGAGUAcgB0AGkAbABpAHMAZQByAF8AUAByAG8AZAB1AGMAdABzAF8ARABhAHQAYQAxAFwAbgA9AEwAQQBNAEIARABBACgAXABuACAATQBBAEsARQBBAFIAUgBBAFkAKAAzADAALAAgADMAMQAsAFwAbgAgAEwAQQBNAEIARABBACgAcgAsAGMALABcAG4AIAAgAEkATgBEAEUAWAAoAHsAXABuAFwAIgBDAGEAbQBwAGIAZQBsAGwAcwAgAGYAZQByAHQAaQBsAGkAcwBlAHIAcwAgAEEAdQBzAHQAcgBhAGwAaQBhAFwAIgAsAFwAIgBBAHEAdQBhACAARgBpAG4AaQBzAGgAXAAiACwAXAAiAEwAXAAiACwAMQAuADIANgAsAFwAIgBcACIALABcACIAXAAiACwAXAAiAFwAIgAsADIALgA2ACwANAAsADIAMgAuADUALABcACIAXAAiACwAXAAiAFAAbwB0AGEAcwBzAGkAdQBtACAALQAgAEcAZQBuAGUAcgBpAGMAXAAiACwAMAAuADIAMgA1ACwAXAAiAFAAaABvAHMAcABoAG8AcgB1AHMAIAAtACAARwBlAG4AZQByAGkAYwBcACIALAAwAC4AMAA0ACwAXAAiAE4AaQB0AHIAbwBnAGUAbgAgAC0AIABHAGUAbgBlAHIAaQBjAFwAIgAsADAALgAwADIAN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RwByAG8AdwBcACIALABcACIATABcACIALAAxAC4AMgA2ACwAXAAiAFwAIgAsAFwAIgBcACIALABcACIAXAAiACwAOQAuADYALAA1ACwAMQAwAC4ANQAsAFwAIgBcACIALABcACIAUABvAHQAYQBzAHMAaQB1AG0AIAAtACAARwBlAG4AZQByAGkAYwBcACIALAAwAC4AMQAwADUALABcACIATgBpAHQAcgBvAGcAZQBuACAALQAgAEcAZQBuAGUAcgBpAGMAXAAiACwAMAAuADAAOQA2ACwAXAAiAFAAaABvAHMAcABoAG8AcgB1AHMAIAAtACAARwBlAG4AZQByAGkAYwBcACIALAAwAC4AMAA1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OAGkAdAByAG8AIABBAE4AXAAiACwAXAAiAEwAXAAiACwAMQAuADIANAAsAFwAIgBcACIALABcACIAXAAiACwAXAAiAFwAIgAsADIAMgAuADMALABcACIAXAAiACwAXAAiAFwAIgAsAFwAIgBcACIALABcACIATgBpAHQAcgBvAGcAZQBuACAALQAgAEEAbQBtAG8AbgBpAGEAYwBhAGwAXAAiACwAMAAuADIAMgAzACwAXAAiAFwAIgAsAFwAIgBcAC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FwAIgAsAFwAIgBMAFwAIgAsADEALgA1ACwAXAAiAFwAIgAsAFwAIgBcACIALABcACIAXAAiACwAMQAzAC4AMgAsAFwAIgBcACIALABcACIAXAAiACwAXAAiAFwAIgAsAFwAIgBDAGEAbABjAGkAdQBtAFwAIgAsADAALgAxADYAMgAsAFwAIgBOAGkAdAByAG8AZwBlAG4AIAAtACAATgBpAHQAcgBhAHQAZQBcACIALAAwAC4AMQAzADIALABcACIAXAAiACwAXAAiAFwAIgAsAFwAIgBcACIALABcACIAXAAiACwAXAAiAFwAIgAsAFwAIgBcACIALABcACIAXAAiACwAXAAiAFwAIgAsAFwAIgBcACIALABcACIAXAAiACwAXAAiAFwAIgAsAFwAIgBcACIALABcACIAXAAiACwAXAAiAFwAIgAsAFwAIgBcACIALABcACIAXAAiADsAXABuAFwAIgBDAGEAbQBwAGIAZQBsAGwAcwAgAGYAZQByAHQAaQBsAGkAcwBlAHIAcwAgAEEAdQBzAHQAcgBhAGwAaQBhAFwAIgAsAFwAIgBBAHEAdQBhACAATgBpAHQAcgBvAEMAYQBsACAAKABWAEkAKQBcACIALABcACIATABcACIALAAxAC4ANQAsAFwAIgBcACIALABcACIAXAAiACwAXAAiAFwAIgAsADEAMwAuADIALABcACIAXAAiACwAXAAiAFwAIgAsAFwAIgBcACIALABcACIAQwBhAGwAYwBpAHUAbQBcACIALAAwAC4AMQA4ADc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E4AaQB0AHIAbwBDAGEAbAAgAFUAbAB0AGkAbQBhAHQAZQBcACIALABcACIATABcACIALAAxAC4ANQAsAFwAIgBcACIALABcACIAXAAiACwAXAAiAFwAIgAsADEAMwAuADIALABcACIAXAAiACwAXAAiAFwAIgAsAFwAIgBcACIALABcACIAQwBhAGwAYwBpAHUAbQBcACIALAAwAC4AMQA4ADMALABcACIATgBpAHQAcgBvAGcAZQBuACAALQAgAE4AaQB0AHIAYQB0AGUAXAAiACwAMAAuADEAMwAy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MAdABhAHIAdABcACIALABcACIATABcACIALAAxAC4AMgA1ACwAXAAiAFwAIgAsAFwAIgBcACIALABcACIAXAAiACwAMQAwAC4AMwAsADEAMAAsADMALgA0ACwAXAAiAFwAIgAsAFwAIgBOAGkAdAByAG8AZwBlAG4AIAAtACAARwBlAG4AZQByAGkAYwBcACIALAAwAC4AMQAwADMALABcACIAUABoAG8AcwBwAGgAbwByAHUAcwAgAC0AIABHAGUAbgBlAHIAaQBjAFwAIgAsADAALgAxACwAXAAiAFAAbwB0AGEAcwBzAGkAdQBtACAALQAgAEcAZQBuAGUAcgBpAGMAXAAiACwAMAAuADAAMwA0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EEAcQB1AGEAIABUAGgAaQBvAC0AQwBvAG0AcABsAGUAdABlAFwAIgAsAFwAIgBMAFwAIgAsADEALgA0ADMALABcACIAXAAiACwAXAAiAFwAIgAsAFwAIgBcACIALAAyAC4ANQAsADMALgA4ACwAMgAyAC4ANQAsAFwAIgBcACIALABcACIAUABvAHQAYQBzAHMAaQB1AG0AIAAtACAARwBlAG4AZQByAGkAYwBcACIALAAwAC4AMgAyADUALABcACIAUABoAG8AcwBwAGgAbwByAHUAcwAgAC0AIABHAGUAbgBlAHIAaQBjAFwAIgAsADAALgAwADMAOAAsAFwAIgBOAGkAdAByAG8AZwBlAG4AIAAtACAARwBlAG4AZQByAGkAYwBcACIALAAwAC4AMAAyADU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FAG0AZQByAGcAZQBcACIALABcACIATABcACIALAAxAC4AMgA5ACwAXAAiAFwAIgAsAFwAIgBcACIALABcACIAXAAiACwAMQAwAC4ANQAsADkALgA0ACwANAAsADMALABcACIATgBpAHQAcgBvAGcAZQBuACAALQAgAEcAZQBuAGUAcgBpAGMAXAAiACwAMAAuADEAMAA1ACwAXAAiAFAAaABvAHMAcABoAG8AcgB1AHMAIAAtACAARwBlAG4AZQByAGkAYwBcACIALAAwAC4AMAA5ADQALABcACIAUABvAHQAYQBzAHMAaQB1AG0AIAAtACAARwBlAG4AZQByAGkAYwBcACIALAAwAC4AMAA0ACwAXAAiAFMAdQBsAGYAdQByACAALQAgAEcAZQBuAGUAcgBpAGMAXAAiACwAMAAuADAAMwAsAFwAIgBcACIALABcACIAXAAiACwAXAAiAFwAIgAsAFwAIgBcACIALABcACIAXAAiACwAXAAiAFwAIgAsAFwAIgBcACIALABcACIAXAAiACwAXAAiAFwAIgAsAFwAIgBcACIALABcACIAXAAiACwAXAAiAFwAIgA7AFwAbgBcACIAQwBhAG0AcABiAGUAbABsAHMAIABmAGUAcgB0AGkAbABpAHMAZQByAHMAIABBAHUAcwB0AHIAYQBsAGkAYQBcACIALABcACIAQQBxAHUAYQAgAFQAaABpAG8ALQBGAGwAbwB1AHIAaQBzAGgAXAAiACwAXAAiAEwAXAAiACwAMQAuADMAMgAsAFwAIgBcACIALABcACIAXAAiACwAXAAiAFwAIgAsADkALgA1ACwANAAuADcALAAxADAALgA4ACwAOAAuADEALABcACIAUABvAHQAYQBzAHMAaQB1AG0AIAAtACAARwBlAG4AZQByAGkAYwBcACIALAAwAC4AMQAwADgALABcACIATgBpAHQAcgBvAGcAZQBuACAALQAgAEcAZQBuAGUAcgBpAGMAXAAiACwAMAAuADAAOQA1ACwAXAAiAFMAdQBsAGYAdQByACAALQAgAEcAZQBuAGUAcgBpAGMAXAAiACwAMAAuADAAOAAxACwAXAAiAFAAaABvAHMAcABoAG8AcgB1AHMAIAAtACAARwBlAG4AZQByAGkAYwBcACIALAAwAC4AMAA0ADcALABcACIAXAAiACwAXAAiAFwAIgAsAFwAIgBcACIALABcACIAXAAiACwAXAAiAFwAIgAsAFwAIgBcACIALABcACIAXAAiACwAXAAiAFwAIgAsAFwAIgBcACIALABcACIAXAAiACwAXAAiAFwAIgAsAFwAIgBcACIAOwBcAG4AXAAiAEMAYQBtAHAAYgBlAGwAbABzACAAZgBlAHIAdABpAGwAaQBzAGUAcgBzACAAQQB1AHMAdAByAGEAbABpAGEAXAAiACwAXAAiAEIAbwBvAHMAdAAtAEkAdABcACIALABcACIAawBnAFwAIgAsADEALABcACIAXAAiACwAXAAiAFwAIgAsAFwAIgBcACIALAAyADQALAA1AC4AMgAsADgALAA1AC4AMwAsAFwAIgBVAHIAZQBhAFwAIgAsADAALgA1ADIAMQA3ADMAOQAsAFwAIgBQAG8AdABhAHMAcwBpAHUAbQAgAC0AIABHAGUAbgBlAHIAaQBjAFwAIgAsADAALgAwADgALABcACIAUwB1AGwAZgB1AHIAIAAtACAARwBlAG4AZQByAGkAYwBcACIALAAwAC4AMAA1ADMALABcACIAUABoAG8AcwBwAGgAbwByAHUAcwAgAC0AIABHAGUAbgBlAHIAaQBjAFwAIgAsADAALgAwADUAMgAsAFwAIgBNAGEAZwBuAGUAcwBpAHUAbQBcACIALAAwAC4AMAAxADMALABcACIAWgBpAG4AYwBcACIALAAwAC4AMAAwADIALABcACIATQBhAG4AZwBhAG4AZQBzAGUAXAAiACwAMAAuADAAMAAzADUALABcACIASQByAG8AbgBcACIALAAwAC4AMAAwADEAMwAsAFwAIgBDAG8AcABwAGUAcgBcACIALAAwAC4AMAAwADAANwAsAFwAIgBCAG8AcgBvAG4AXAAiACwAMAAuADAAMAAwADcAOwBcAG4AXAAiAEMAYQBtAHAAYgBlAGwAbABzACAAZgBlAHIAdABpAGwAaQBzAGUAcgBzACAAQQB1AHMAdAByAGEAbABpAGEAXAAiACwAXAAiAEIAcgBvAG4AegBlAFwAIgAsAFwAIgBrAGcAXAAiACwAMQAsAFwAIgBcACIALABcACIAXAAiACwAXAAiAFwAIgAsADEANwAsADAALgAwADQALAAxADEALgA2ACwAMAAuADUALABcACIATQB1AHIAaQBhAHQAZQAgAG8AZgAgAHAAbwB0AGEAcwBoACAAKABNAE8AUAApAFwAIgAsADAALgAyADMAMgAsAFwAIgBOAGkAdAByAG8AZwBlAG4AIAAtACAARwBlAG4AZQByAGkAYwBcACIALAAwAC4AMQA3ACwAXAAiAFMAdQBsAGYAdQByACAALQAgAEcAZQBuAGUAcgBpAGMAXAAiACwAMAAuADAAMAA1ACwAXAAiAE0AYQBnAG4AZQBzAGkAdQBtAFwAIgAsADAALgAwADAAMgA0ACwAXAAiAFAAaABvAHMAcABoAG8AcgB1AHMAIAAtACAARwBlAG4AZQByAGkAYwBcACIALAAwAC4AMAAwADAANAAsAFwAIgBcACIALABcACIAXAAiACwAXAAiAFwAIgAsAFwAIgBcACIALABcACIAXAAiACwAXAAiAFwAIgAsAFwAIgBcACIALABcACIAXAAiACwAXAAiAFwAIgAsAFwAIgBcACIAOwBcAG4AXAAiAEMAYQBtAHAAYgBlAGwAbABzACAAZgBlAHIAdABpAGwAaQBzAGUAcgBzACAAQQB1AHMAdAByAGEAbABpAGEAXAAiACwAXAAiAEMAYQBsAGIAaQB0ACAAQwBcACIALABcACIATABcACIALAAxAC4ANAA1ACwAXAAiAFwAIgAsAFwAIgBcACIALABcACIAXAAiACwAXAAiAFwAIgAsAFwAIgBcACIALABcACIAXAAiACwAXAAiAFwAIgAsAFwAIgBDAGEAbABjAGkAdQBtAFwAIgAsADAALgAxADAANw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QwBvAG0AcABhAHMAcwBcACIALABcACIAawBnAFwAIgAsADEALABcACIAXAAiACwAXAAiAFwAIgAsAFwAIgBcACIALAAxADUALAA2AC4ANQAsADEAMgAuADUALAA2ACwAXAAiAE4AaQB0AHIAbwBnAGUAbgAgAC0AIABBAG0AbQBvAG4AaQBhAGMAYQBsAFwAIgAsADAALgAwADcANQAsAFwAIgBOAGkAdAByAG8AZwBlAG4AIAAtACAATgBpAHQAcgBhAHQAZQBcACIALAAwAC4AMAA3ADUALABcACIAUABvAHQAYQBzAHMAaQB1AG0AIAAtACAARwBlAG4AZQByAGkAYwBcACIALAAwAC4AMQAyADUALABcACIAUABoAG8AcwBwAGgAbwByAHUAcwAgAC0AIABHAGUAbgBlAHIAaQBjAFwAIgAsADAALgAwADYANQAsAFwAIgBTAHUAbABmAHUAcgAgAC0AIABHAGUAbgBlAHIAaQBjAFwAIgAsADAALgAwADYALABcACIAXAAiACwAXAAiAFwAIgAsAFwAIgBcACIALABcACIAXAAiACwAXAAiAFwAIgAsAFwAIgBcACIALABcACIAXAAiACwAXAAiAFwAIgAsAFwAIgBcACIALABcACIAXAAiADsAXABuAFwAIgBDAGEAbQBwAGIAZQBsAGwAcwAgAGYAZQByAHQAaQBsAGkAcwBlAHIAcwAgAEEAdQBzAHQAcgBhAGwAaQBhAFwAIgAsAFwAIgBDAG8AUgBvAE4AIAAxADIALQAwAC0AMQAwAFwAIgAsAFwAIgBMAFwAIgAsADEALgAyADEANQAsAFwAIgBcACIALABcACIAXAAiACwAXAAiAFwAIgAsADEAMgAsAFwAIgBcACIALAAxADAALABcACIAXAAiACwAXAAiAFUAcgBlAGEAXAAiACwAMAAuADEAOQA1ADYANQAyACwAXAAiAFAAbwB0AGEAcwBzAGkAdQBtACAALQAgAEcAZQBuAGUAcgBpAGMAXAAiACwAMAAuADEALABcACIATgBpAHQAcgBvAGcAZQBuACAALQAgAEcAZQBuAGUAcgBpAGMAXAAiACwAMAAuADAAMwAsAFwAIgBCAG8AcgBvAG4AXAAiACwAMAAuADAAMAA1ACwAXAAiAFwAIgAsAFwAIgBcACIALABcACIAXAAiACwAXAAiAFwAIgAsAFwAIgBcACIALABcACIAXAAiACwAXAAiAFwAIgAsAFwAIgBcACIALABcACIAXAAiACwAXAAiAFwAIgAsAFwAIgBcACIALABcACIAXAAiADsAXABuAFwAIgBDAGEAbQBwAGIAZQBsAGwAcwAgAGYAZQByAHQAaQBsAGkAcwBlAHIAcwAgAEEAdQBzAHQAcgBhAGwAaQBhAFwAIgAsAFwAIgBNAGEAeABpAG0AdQBtACAAUQB1AGkAYwBrAC0ATgBcACIALABcACIAawBnAFwAIgAsADEALABcACIAXAAiACwAXAAiAFwAIgAsAFwAIgBcACIALAAyADEALgA2ADYALABcACIAXAAiACwAXAAiAFwAIgAsADEAMwAuADIALABcACIAUwB1AGwAcABoAGEAdABlACAAbwBmACAAYQBtAG0AbwBuAGkAYQAgACgAUwBPAEEAKQBcACIALAAwAC4ANQA1ACwAXAAiAEEAbQBtAG8AbgBpAHUAbQAgAG4AaQB0AHIAYQB0AGUAIAAoAEEATgApAFwAIgAsADAALgAzACwAXAAiAFwAIgAsAFwAIgBcACIALABcACIAXAAiACwAXAAiAFwAIgAsAFwAIgBcACIALABcACIAXAAiACwAXAAiAFwAIgAsAFwAIgBcACIALABcACIAXAAiACwAXAAiAFwAIgAsAFwAIgBcACIALABcACIAXAAiACwAXAAiAFwAIgAsAFwAIgBcACIALABcACIAXAAiACwAXAAiAFwAIgA7AFwAbgBcACIAUwBMACAAVABlAGMAXAAiACwAXAAiAEMAcgBvAHAAIABCAG8AbwBzAHQAZQByACAAUABMAFUAUwBcACIALABcACIATABcACIALAAxAC4AMwAxADkALABcACIAXAAiACwAXAAiAFwAIgAsAFwAIgBcACIALAA1ACwAMQA1ACwAMgAuADEALABcACIAXAAiACwAXAAiAFAAaABvAHMAcABoAG8AcgB1AHMAIAAtACAARwBlAG4AZQByAGkAYwBcACIALAAwAC4AMQA1ACwAXAAiAEMAYQBsAGMAaQB1AG0AXAAiACwAMAAuADAANAAsAFwAIgBOAGkAdAByAG8AZwBlAG4AIAAtACAAQQBtAG0AbwBuAGkAYQBjAGEAbABcACIALAAwAC4AMAAyADkALABcACIATgBpAHQAcgBvAGcAZQBuACAALQAgAE4AaQB0AHIAYQB0AGUAXAAiACwAMAAuADAAMgAxACwAXAAiAFAAbwB0AGEAcwBzAGkAdQBtACAALQAgAEcAZQBuAGUAcgBpAGMAXAAiACwAMAAuADAAMgAxACwAXAAiAEMAbwBwAHAAZQByAFwAIgAsADAALgAwADAANQAsAFwAIgBaAGkAbgBjAFwAIgAsADAALgAwADAANAAsAFwAIgBNAGEAbgBnAGEAbgBlAHMAZQBcACIALAAwAC4AMAAwADQALABcACIATQBhAGcAbgBlAHMAaQB1AG0AXAAiACwAMAAuADAAMAAyACwAXAAiAFwAIgAsAFwAIgBcACIAOwBcAG4AXAAiAFIAaQBzAHMAbwAtAEMAaABlAG0AaQBjAGEAbABcACIALABcACIAQQBtAG0AbwBuAGkAdQBtACAAQgBpAGMAYQByAGIAbwBuAGEAdABlAFwAIgAsAFwAIgBrAGcAXAAiACwAMQAsAFwAIgBcACIALABcACIAXAAiACwAXAAiAEMAaABpAG4AYQBcACIALAAxADcALgA3ACwAXAAiAFwAIgAsAFwAIgBcACIALABcACIAXAAiACwAXAAiAE4AaQB0AHIAbwBnAGUAbgAgAC0AIABBAG0AbQBvAG4AaQBhAGMAYQBsAFwAIgAsADAALgAxADcANw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BAG0AbQBvAG4AaQB1AG0AIABTAHUAbABmAGEAdABlAFwAIgAsAFwAIgBrAGcAXAAiACwAMQAsAFwAIgBcACIALABcACIAXAAiACwAXAAiAEMAaABpAG4AYQBcACIALAAyADEALABcACIAXAAiACwAXAAiAFwAIgAsADIANAAsAFwAIgBTAHUAbABmAHUAcgAgAC0AIABHAGUAbgBlAHIAaQBjAFwAIgAsADAALgAyADQALABcACIATgBpAHQAcgBvAGcAZQBuACAALQAgAEEAbQBtAG8AbgBpAGEAYwBhAGwAXAAiACwAMAAuADIAMQAsAFwAIgBcACIALABcACIAXAAiACwAXAAiAFwAIgAsAFwAIgBcACIALABcACIAXAAiACwAXAAiAFwAIgAsAFwAIgBcACIALABcACIAXAAiACwAXAAiAFwAIgAsAFwAIgBcACIALABcACIAXAAiACwAXAAiAFwAIgAsAFwAIgBcACIALABcACIAXAAiACwAXAAiAFwAIgAsAFwAIgBcACIAOwBcAG4AXAAiAFIAYQB2AGUAbgBzAGQAbwB3AG4AXAAiACwAXAAiAEEAbQBtAG8AbgBpAHUAbQAgAFMAdQBsAHAAaABhAHQAZQAgAC0AIABHAHIAYQBuAHUAbABhAHI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RABpAC0AQQBtAG0AbwBuAGkAdQBtACAAUABoAG8AcwBwAGgAYQB0AGUAIAAoAEQAQQBQACkAXAAiACwAXAAiAGsAZwBcACIALAAxACwAXAAiAFwAIgAsAFwAIgBcACIALABcACIAXAAiACwAMQA4ACwAMgAwACwAXAAiAFwAIgAsAFwAIgBcACIALABcACIARABpAGEAbQBtAG8AbgBpAHUAbQAgAHAAaABvAHMAcABoAGEAdABlACAAKABEAEEAUAApAFwAIgAsADEALABcACIAXAAiACwAXAAiAFwAIgAsAFwAIgBcACIALABcACIAXAAi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IAYQBzAGEAbAB0ACAAQgBvAG8AUwBTAHQAYQBcACIALABcACIAawBnAFwAIgAsADEALABcACIAXAAiACwAXAAiAFwAIgAsAFwAIgBcACIALAA4ACwAMQA0ACwAXAAiAFwAIgAsADIANwAuADYALABcACIAUwB1AGwAZgB1AHIAIAAtACAARwBlAG4AZQByAGkAYwBcACIALAAwAC4AMgA3ADYALABcACIAUABoAG8AcwBwAGgAbwByAHUAcwAgAC0AIABHAGUAbgBlAHIAaQBjAFwAIgAsADAALgAxADQALABcACIATgBpAHQAcgBvAGcAZQBuACAALQAgAEcAZQBuAGUAcgBpAGMAXAAiACwAMAAuADAAOAAsAFwAIgBGAGwAdQBvAHIAaQBkAGUAXAAiACwAMAAuADAAMgA0ACwAXAAiAFwAIgAsAFwAIgBcACIALABcACIAXAAiACwAXAAiAFwAIgAsAFwAIgBcACIALABcACIAXAAiACwAXAAiAFwAIgAsAFwAIgBcACIALABcACIAXAAiACwAXAAiAFwAIgAsAFwAIgBcACIALABcACIAXAAiADsAXABuAFwAIgBTAHUAbQBtAGkAdAAgAEYAZQByAHQAaQBsAGkAegBlAHIAcwBcACIALABcACIARABBAFAAUwBaAEMAXAAiACwAXAAiAGsAZwBcACIALAAxACwAXAAiAFwAIgAsAFwAIgBcACIALABcACIAXAAiACwAMQA2AC4AOQAsADEAOAAuADIALABcACIAXAAiACwAOAAsAFwAIgBQAGgAbwBzAHAAaABvAHIAdQBzACAALQAgAEcAZQBuAGUAcgBpAGMAXAAiACwAMAAuADEAOAAyACwAXAAiAE4AaQB0AHIAbwBnAGUAbgAgAC0AIABHAGUAbgBlAHIAaQBjAFwAIgAsADAALgAxADYAOQAsAFwAIgBTAHUAbABmAHUAcgAgAC0AIABHAGUAbgBlAHIAaQBjAFwAIgAsADAALgAwADgALABcACIAWgBpAG4AYwBcACIALAAwAC4AMAAwADIALABcACIAQwBvAHAAcABlAHIAXAAiACwAMAAuADAAMAAxACwAXAAiAFwAIgAsAFwAIgBcACIALABcACIAXAAiACwAXAAiAFwAIgAsAFwAIgBcACIALABcACIAXAAiACwAXAAiAFwAIgAsAFwAIgBcACIALABcACIAXAAiACwAXAAiAFwAIgA7AFwAbgBcACIASQBuAGMAaQB0AGUAYwAgAFAAaQB2AG8AdAAgAEYAZQByAHQAaQBsAGkAcwBlAHIAcwBcACIALABcACIARQBhAHMAeQAgAE4AXAAiACwAXAAiAEwAXAAiACwAMQAuADMAMgAsAFwAIgBcACIALABcACIAXAAiACwAXAAiAFwAIgAsADQAMgAuADUALABcACIAXAAiACwAXAAiAFwAIgAsAFwAIgBcACIALABcACIAVQByAGUAYQBcACIALAAwAC4ANAA2ADcAMwA5ADEALABcACIATgBpAHQAcgBvAGcAZQBuACAALQAgAE4AaQB0AHIAYQB0AGUAXAAiACwAMAAuADEAMAA1ACwAXAAiAE4AaQB0AHIAbwBnAGUAbgAgAC0AIABBAG0AbQBvAG4AaQBhAGMAYQBsAFwAIgAsADAALgAxADAANQAsAFwAIgBCAGkAdQByAGUAdABcACIALAAwAC4AMAAwADYALABcACIAXAAiACwAXAAiAFwAIgAsAFwAIgBcACIALABcACIAXAAiACwAXAAiAFwAIgAsAFwAIgBcACIALABcACIAXAAiACwAXAAiAFwAIgAsAFwAIgBcACIALABcACIAXAAiACwAXAAiAFwAIgAsAFwAIgBcACIAOwBcAG4AXAAiAFIAaQBzAHMAbwAtAEMAaABlAG0AaQBjAGEAbABcACIALABcACIAQwBhAGwAYwBpAHUAbQAgAEEAbQBtAG8AbgBpAHUAbQAgAG4AaQB0AHIAYQB0AGUAXAAiACwAXAAiAGsAZwBcACIALAAxACwAXAAiAFwAIgAsAFwAIgBcACIALABcACIAQwBoAGkAbgBhAFwAIgAsADQAMAAuADUALABcACIAXAAiACwAXAAiAFwAIgAsAFwAIgBcACIALABcACIATgBpAHQAcgBvAGcAZQBuACAALQAgAEEAbQBtAG8AbgBpAGEAYwBhAGwAXAAiACwAMAAuADIANwAsAFwAIgBOAGkAdAByAG8AZwBlAG4AIAAtACAATgBpAHQAcgBhAHQAZQBcACIALAAwAC4AMQAzADUALABcACIAQwBhAGwAYwBpAHUAbQBcACIALAAwAC4AMQAyACwAXAAiAFwAIgAsAFwAIgBcACIALABcACIAXAAiACwAXAAiAFwAIgAsAFwAIgBcACIALABcACIAXAAiACwAXAAiAFwAIgAsAFwAIgBcACIALABcACIAXAAiACwAXAAiAFwAIgAsAFwAIgBcACIALABcACIAXAAiACwAXAAiAFwAIgAsAFwAIgBcACIAOwBcAG4AXAAiAFMATAAgAFQAZQBjAFwAIgAsAFwAIgBDAGUAbABsAEMAQQBMACAAUABsAHUAcwBcACIALABcACIATABcACIALAAxAC4AMQAzADgALABcACIAXAAiACwAXAAiAFwAIgAsAFwAIgBcACIALABcACIAXAAiACwAXAAiAFwAIgAsAFwAIgBcACIALABcACIAXAAiACwAXAAiAEMAYQBsAGMAaQB1AG0AXAAiACwAMAAuADAANQA5ACwAXAAiAEMAbwBwAHAAZQByAFwAIgAsADAALgAwADAAMwAsAFwAIgBCAG8AcgBvAG4AXAAiACwAMAAuADAAMAAx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MASwA1ADUAXAAiACwAXAAiAGsAZwBcACIALAAxACwAXAAiAFwAIgAsAFwAIgBcACIALABcACIAXAAiACwAMQAzAC4ANQAsADEANQAsADYALgAyADUALAAxAC4AMgAsAFwAIgBQAGgAbwBzAHAAaABvAHIAdQBzACAALQAgAEcAZQBuAGUAcgBpAGMAXAAiACwAMAAuADEANQAsAFwAIgBOAGkAdAByAG8AZwBlAG4AIAAtACAAQQBtAG0AbwBuAGkAYQBjAGEAbABcACIALAAwAC4AMQAzADUALABcACIATQB1AHIAaQBhAHQAZQAgAG8AZgAgAHAAbwB0AGEAcwBoACAAKABNAE8AUAApAFwAIgAsADAALgAxADIANQAsAFwAIgBGAGwAdQBvAHIAaQBkAGUAXAAiACwAMAAuADAAMgAzACwAXAAiAFMAdQBsAGYAdQByACAALQAgAEcAZQBuAGUAcgBpAGMAXAAiACwAMAAuADAAMQAyACwAXAAiAFwAIgAsAFwAIgBcACIALABcACIAXAAiACwAXAAiAFwAIgAsAFwAIgBcACIALABcACIAXAAiACwAXAAiAFwAIgAsAFwAIgBcACIALABcACIAXAAiACwAXAAiAFwAIgA7AFwAbgBcACIAUwB3AGkAdABjAGgAIABBAGcAXAAiACwAXAAiAEMAcgBvAHAAIABLAFwAIgAsAFwAIgBMAFwAIgAsADEALgAyADUALABcACIAXAAiACwAXAAiAFwAIgAsAFwAIgBcACIALAAzACwAXAAiAFwAIgAsADIAMQAsAFwAIgBcACIALABcACIAUABvAHQAYQBzAHMAaQB1AG0AIAAtACAARwBlAG4AZQByAGkAYwBcACIALAAwAC4AMgAxACwAXAAiAE4AaQB0AHIAbwBnAGUAbgAgAC0AIABHAGUAbgBlAHIAaQBjAFwAIgAsADAALgAwADMALABcACIAXAAiACwAXAAiAFwAIgAsAFwAIgBcACIALABcACIAXAAiACwAXAAiAFwAIgAsAFwAIgBcACIALABcACIAXAAiACwAXAAiAFwAIgAsAFwAIgBcACIALABcACIAXAAiACwAXAAiAFwAIgAsAFwAIgBcACIALABcACIAXAAiACwAXAAiAFwAIgAsAFwAIgBcACIALABcACIAXAAiADsAXABuAFwAIgBTAHcAaQB0AGMAaAAgAEEAZwBcACIALABcACIAQwByAG8AcAAgAFMAdABhAHIAdABlAHIAXAAiACwAXAAiAEwAXAAiACwAMQAuADIALABcACIAXAAiACwAXAAiAFwAIgAsAFwAIgBcACIALAA1ACwAMwAsADgALABcACIAXAAiACwAXAAiAFAAbwB0AGEAcwBzAGkAdQBtACAALQAgAEcAZQBuAGUAcgBpAGMAXAAiACwAMAAuADAAOAAsAFwAIgBOAGkAdAByAG8AZwBlAG4AIAAtACAARwBlAG4AZQByAGkAYwBcACIALAAwAC4AMAA1ACwAXAAiAFAAaABvAHMAcABoAG8AcgB1AHMAIAAtACAARwBlAG4AZQByAGkAYwBcACIALAAwAC4AMAAz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EcAcgBhAG4ALQBBAG0AXAAiACwAXAAiAGsAZwBcACIALAAxACwAXAAiAFwAIgAsAFwAIgBcACIALABcACIAXAAiACwAMgAxACwAXAAiAFwAIgAsAFwAIgBcACIALAAyADQALABcACIAUwB1AGwAcABoAGEAdABlACAAbwBmACAAYQBtAG0AbwBuAGkAYQAgACgAUwBPAEE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IAXABuAD0ATABBAE0AQgBEAEEAKABcAG4AIABNAEEASwBFAEEAUgBSAEEAWQAoADMAMAAsACAAMwAxACwAXABuACAATABBAE0AQgBEAEEAKAByACwAYwAsAFwAbgAgACAASQBOAEQARQBYACgAewBcAG4AXAAiAEMAYQBtAHAAYgBlAGwAbABzACAAZgBlAHIAdABpAGwAaQBzAGUAcgBzACAAQQB1AHMAdAByAGEAbABpAGEAXAAiACwAXAAiAEUAbgBjAGEAbABcACIALABcACIATABcACIALAAxAC4ANQAsAFwAIgBcACIALABcACIAXAAiACwAXAAiAFwAIgAsADkALABcACIAXAAiACwAXAAiAFwAIgAsADEAMwAuADkANAAsAFwAIgBTAHUAbABwAGgAYQB0AGUAIABvAGYAIABhAG0AbQBvAG4AaQBhACAAKABTAE8AQQApAFwAIgAsADAALgA1ADgAMAA2ADQANQAsAFwAIgBNAGEAZwBuAGUAcwBpAHUAbQBcACIALAAwAC4AMAAxAD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FwAIgAsAFwAIgBHAHIAYQBuAHUAbABvAGMAawAgAFMAUwBcACIALABcACIAawBnAFwAIgAsADEALABcACIAXAAiACwAXAAiAFwAIgAsAFwAIgBcACIALAAxADAALAAxADcALgA1ACwAXAAiAFwAIgAsADEAMgAsAFwAIgBQAGgAbwBzAHAAaABvAHIAdQBzACAALQAgAEcAZQBuAGUAcgBpAGMAXAAiACwAMAAuADEANwA1ACwAXAAiAFMAdQBsAGYAdQByACAALQAgAEcAZQBuAGUAcgBpAGMAXAAiACwAMAAuADEAMgAsAFwAIgBOAGkAdAByAG8AZwBlAG4AIAAtACAAQQBtAG0AbwBuAGkAYQBjAGEAbABcACIALAAwAC4AMQAsAFwAIgBGAGwAdQBvAHIAaQBkAGUAXAAiACwAMAAuADAAMwAsAFwAIgBcACIALABcACIAXAAiACwAXAAiAFwAIgAsAFwAIgBcACIALABcACIAXAAiACwAXAAiAFwAIgAsAFwAIgBcACIALABcACIAXAAiACwAXAAiAFwAIgAsAFwAIgBcACIALABcACIAXAAiACwAXAAiAFwAIgA7AFwAbgBcACIASQBuAGMAaQB0AGUAYwAgAFAAaQB2AG8AdAAgAEYAZQByAHQAaQBsAGkAcwBlAHIAcwBcACIALABcACIARwByAGEAbgB1AGwAbwBjAGsAIABaAFwAIgAsAFwAIgBrAGcAXAAiACwAMQAsAFwAIgBcACIALABcACIAXAAiACwAXAAiAFwAIgAsADEAMQAsADIAMQAuADgALABcACIAXAAiACwANAAsAFwAIgBQAGgAbwBzAHAAaABvAHIAdQBzACAALQAgAEcAZQBuAGUAcgBpAGMAXAAiACwAMAAuADIAMQA4ACwAXAAiAE4AaQB0AHIAbwBnAGUAbgAgAC0AIABHAGUAbgBlAHIAaQBjAFwAIgAsADAALgAxADEALABcACIAUwB1AGwAZgB1AHIAIAAtACAARwBlAG4AZQByAGkAYwBcACIALAAwAC4AMAA0ACwAXAAiAEYAbAB1AG8AcgBpAGQAZQBcACIALAAwAC4AMAAzACwAXAAiAFoAaQBuAGMAXAAiACwAMAAuADAAMQAsAFwAIgBcACIALABcACIAXAAiACwAXAAiAFwAIgAsAFwAIgBcACIALABcACIAXAAiACwAXAAiAFwAIgAsAFwAIgBcACIALABcACIAXAAiACwAXAAiAFwAIgAsAFwAIgBcACIAOwBcAG4AXAAiAEkAbgBjAGkAdABlAGMAIABQAGkAdgBvAHQAIABGAGUAcgB0AGkAbABpAHMAZQByAHMAXAAiACwAXAAiAEYAYQByAG0AIABBAGcAIABMAGUAaQBjAGgAaABhAHIAZAB0AFwAIgAsAFwAIgBrAGcAXAAiACwAMQAsAFwAIgBcACIALABcACIAXAAiACwAXAAiAFwAIgAsADMAMgAuADUALAA1AC4ANAAsADYALgAyADUALABcACIAXAAiACwAXAAiAFUAcgBlAGEAXAAiACwAMAAuADYALABcACIATgBpAHQAcgBvAGcAZQBuACAALQAgAEEAbQBtAG8AbgBpAGEAYwBhAGwAXAAiACwAMAAuADAANAA5ACwAXAAiAFAAaABvAHMAcABoAG8AcgB1AHMAIAAtACAARwBlAG4AZQByAGkAYwBcACIALAAwAC4AMAA1ADQALABcACIATQB1AHIAaQBhAHQAZQAgAG8AZgAgAHAAbwB0AGEAcwBoACAAKABNAE8AUAApAFwAIgAsADAALgAxADIANQAsAFwAIgBcACIALABcACIAXAAiACwAXAAiAFwAIgAsAFwAIgBcACIALABcACIAXAAiACwAXAAiAFwAIgAsAFwAIgBcACIALABcACIAXAAiACwAXAAiAFwAIgAsAFwAIgBcACIALABcACIAXAAiACwAXAAiAFwAIgA7AFwAbgBcACIAUgBhAHYAZQBuAHMAZABvAHcAbgBcACIALABcACIARgBsAGUAeABpAC0ATgAgAE4AQgBQAFQAXAAiACwAXAAiAGsAZwBcACIALAAxACwAXAAiAFkAZQBzAFwAIgAsAFwAIgBcACIALABcACIAXAAiACwANAA1AC4ANQA0ACwAXAAiAFwAIgAsAFwAIgBcACIALABcACIAXAAiACwAXAAiAFUAcgBlAGEAXAAiACwAMAAuADkAO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RwBvAGwAZAAgAFAAcgBlAG0AaQB1AG0AXAAiACwAXAAiAGsAZwBcACIALAAxACwAXAAiAFwAIgAsAFwAIgBcACIALABcACIAXAAiACwAMQA0AC4AOAA3ACwAMgAuADIALAAxADYALgA2ACwAOAAsAFwAIgBBAG0AbQBvAG4AaQB1AG0AIABuAGkAdAByAGEAdABlACAAKABBAE4AKQBcACIALAAwAC4ANAA0ADEAMQA3ADYALABcACIAUABvAHQAYQBzAHMAaQB1AG0AIAAtACAARwBlAG4AZQByAGkAYwBcACIALAAwAC4AMQA2ADYALABcACIAUwB1AGwAZgB1AHIAIAAtACAARwBlAG4AZQByAGkAYwBcACIALAAwAC4AMAA4ACwAXAAiAFAAaABvAHMAcABoAG8AcgB1AHMAIAAtACAARwBlAG4AZQByAGkAYwBcACIALAAwAC4AMAAyADIALABcACIATQBhAGcAbgBlAHMAaQB1AG0AXAAiACwAMAAuADAAMQAyACwAXAAiAEIAbwByAG8AbgBcACIALAAwAC4AMAAwADAAMgAsAFwAIgBaAGkAbgBjAFwAIgAsADAALgAwADAAMAAxACwAXAAiAFwAIgAsAFwAIgBcACIALABcACIAXAAiACwAXAAiAFwAIgAsAFwAIgBcACIALABcACIAXAAiADsAXABuAFwAIgBTAEwAIABUAGUAYwBcACIALABcACIASABpAGcAaAAgAE4AUwBcACIALABcACIATABcACIALAAxAC4AMgA5ADkALABcACIAXAAiACwAXAAiAFwAIgAsAFwAIgBcACIALAAzADgALABcACIAXAAiACwAXAAiAFwAIgAsADIALABcACIAVQByAGUAYQBcACIALAAwAC4ANAA2ADAAOAA3ACwAXAAiAE4AaQB0AHIAbwBnAGUAbgAgAC0AIABBAG0AbQBvAG4AaQBhAGMAYQBsAFwAIgAsADAALgAwADkAMgAsAFwAIgBOAGkAdAByAG8AZwBlAG4AIAAtACAATgBpAHQAcgBhAHQAZQBcACIALAAwAC4AMAA3ADYALABcACIAUwB1AGwAZgB1AHIAIAAtACAARwBlAG4AZQByAGkAYwBcACIALAAwAC4AMAAyACwAXAAiAFwAIgAsAFwAIgBcACIALABcACIAXAAiACwAXAAiAFwAIgAsAFwAIgBcACIALABcACIAXAAiACwAXAAiAFwAIgAsAFwAIgBcACIALABcACIAXAAiACwAXAAiAFwAIgAsAFwAIgBcACIALABcACIAXAAiADsAXABuAFwAIgBJAG0AcABhAGMAdAAgAEYAZQByAHQAaQBsAGkAcwBlAHIAcwBcACIALABcACIASQBtAHAAYQBjAHQAIABTAFMAUABcACIALABcACIAawBnAFwAIgAsADEALABcACIAXAAiACwAXAAiAFwAIgAsAFwAIgBcACIALABcACIAXAAiACwAOAAuADgALABcACIAXAAiACwAMQAxACwAXAAiAFMAaQBuAGcAbABlACAAcwB1AHAAZQByAHAAaABvAHMAcABoAGEAdABlACAAKABTAFMAUAApAFwAIgAsADEALABcACIAXAAiACwAXAAiAFwAIgAsAFwAIgBcACIALABcACIAXAAiACwAXAAiAFwAIgAsAFwAIgBcACIALABcACIAXAAiACwAXAAiAFwAIgAsAFwAIgBcACIALABcACIAXAAiACwAXAAiAFwAIgAsAFwAIgBcACIALABcACIAXAAiACwAXAAiAFwAIgAsAFwAIgBcACIALABcACIAXAAiACwAXAAiAFwAIgAsAFwAIgBcACIAOwBcAG4AXAAiAFMAdwBpAHQAYwBoACAAQQBnAFwAIgAsAFwAIgBJAG4AIABDAHIAbwBwAFwAIgAsAFwAIgBMAFwAIgAsADEALgAyACwAXAAiAFwAIgAsAFwAIgBcACIALABcACIAXAAiACwAMQAwACwAMQAsADEAMQAsAFwAIgBcACIALABcACIAUABvAHQAYQBzAHMAaQB1AG0AIAAtACAARwBlAG4AZQByAGkAYwBcACIALAAwAC4AMQAxACwAXAAiAE4AaQB0AHIAbwBnAGUAbgAgAC0AIABHAGUAbgBlAHIAaQBjAFwAIgAsADAALgAxACwAXAAiAFAAaABvAHMAcABoAG8AcgB1AHMAIAAtACAARwBlAG4AZQByAGkAYwBcACIALAAwAC4AMAAxACwAXAAiAFwAIgAsAFwAIgBcACIALABcACIAXAAiACwAXAAiAFwAIgAsAFwAIgBcACIALABcACIAXAAiACwAXAAiAFwAIgAsAFwAIgBcACIALABcACIAXAAiACwAXAAiAFwAIgAsAFwAIgBcACIALABcACIAXAAiACwAXAAiAFwAIgAsAFwAIgBcACIAOwBcAG4AXAAiAFMAdwBpAHQAYwBoACAAQQBnAFwAIgAsAFwAIgBLADIAMABcACIALABcACIATABcACIALAAxAC4AMwAsAFwAIgBcACIALABcACIAXAAiACwAXAAiAFwAIgAsADMALABcACIAXAAiACwAMgAyACwAXAAiAFwAIgAsAFwAIgBQAG8AdABhAHMAcwBpAHUAbQAgAC0AIABHAGUAbgBlAHIAaQBjAFwAIgAsADAALgAyADIALABcACIATgBpAHQAcgBvAGcAZQBuACAALQAgAEcAZQBuAGUAcgBpAGMAXAAiACwAMAAuADAAMwAsAFwAIgBcACIALABcACIAXAAiACwAXAAiAFwAIgAsAFwAIgBcACIALABcACIAXAAiACwAXAAiAFwAIgAsAFwAIgBcACIALABcACIAXAAiACwAXAAiAFwAIgAsAFwAIgBcACIALABcACIAXAAiACwAXAAiAFwAIgAsAFwAIgBcACIALABcACIAXAAiACwAXAAiAFwAIgAsAFwAIgBcACIAOwBcAG4AXAAiAEwAbwB2AGUAbABhAG4AZAAgAEEAZwByAGkAcAByAG8AZAB1AGMAdABzAFwAIgAsAFwAIgBNAGEAeABpAG0AdQBtACAATgAtAFAAYQBjAHQAXAAiACwAXAAiAEwAXAAiACwAMQAuADEAOAA1ACwAXAAiAFwAIgAsAFwAIgBcACIALABcACIAXAAiACwAMgAzAC4AOAAsAFwAIgBcACIALABcACIAXAAiACwAXAAiAFwAIgAsAFwAIgBVAHIAZQBhAFwAIgAsADAALgA1ADEANwAzADkAMQAsAFwAIgBcACIALABcACIAXAAiACwAXAAiAFwAIgAsAFwAIgBcACIALABcACIAXAAiACwAXAAiAFwAIgAsAFwAIgBcACIALABcACIAXAAiACwAXAAiAFwAIgAsAFwAIgBcACIALABcACIAXAAiACwAXAAiAFwAIgAsAFwAIgBcACIALABcACIAXAAiACwAXAAiAFwAIgAsAFwAIgBcACIALABcACIAXAAiACwAXAAiAFwAIgA7AFwAbgBcACIAUwBMACAAVABlAGMAXAAiACwAXAAiAE4AaQB0AHIAbwAgAEMAbwBtAGIAaQAgAFQARQBcACIALABcACIATABcACIALAAxAC4AMgA1ADUALABcACIAXAAiACwAXAAiAFwAIgAsAFwAIgBcACIALABcACIAXAAiACwAXAAiAFwAIgAsADAALgAxACwANAAuADQALABcACIAUwB1AGwAZgB1AHIAIAAtACAARwBlAG4AZQByAGkAYwBcACIALAAwAC4AMAA0ADQALABcACIAWgBpAG4AYwBcACIALAAwAC4AMAAyADIALABcACIASQByAG8AbgBcACIALAAwAC4AMAAyADIALABcACIATQBhAG4AZwBhAG4AZQBzAGUAXAAiACwAMAAuADAAMQA2ACwAXAAiAEIAbwByAG8AbgBcACIALAAwAC4AMAAwADgALABcACIATQBhAGcAbgBlAHMAaQB1AG0AXAAiACwAMAAuADAAMAA3ACwAXAAiAEYAdQBsAHYAaQBjACAAYQBjAGkAZAAgACgAbwByAGcAYQBuAGkAYwApAFwAIgAsADAALgAwADAANQAsAFwAIgBDAG8AcABwAGUAcgBcACIALAAwAC4AMAAwADMALABcACIAUABvAHQAYQBzAHMAaQB1AG0AIAAtACAARwBlAG4AZQByAGkAYwBcACIALAAwAC4AMAAwADEALABcACIATQBvAGwAeQBiAGQAZQBuAHUAbQBcACIALAAwAC4AMAAwADAAMwA7AFwAbgBcACIAUwB3AGkAdABjAGgAIABBAGcAXAAiACwAXAAiAFAAYQBzAHQAdQByAGUATQBBAFgAWABcACIALABcACIATABcACIALAAxAC4AMgAzACwAXAAiAFwAIgAsAFwAIgBcACIALABcACIAXAAiACwAOQAuADcAMQAsAFwAIgBcACIALAAzAC4AMgA1ACwAMgAuADEAMQAsAFwAIgBOAGkAdAByAG8AZwBlAG4AIAAtACAARwBlAG4AZQByAGkAYwBcACIALAAwAC4AMAA5ADcAMQAsAFwAIgBQAG8AdABhAHMAcwBpAHUAbQAgAC0AIABHAGUAbgBlAHIAaQBjAFwAIgAsADAALgAwADMAMgA1ACwAXAAiAFMAdQBsAGYAdQByACAALQAgAEcAZQBuAGUAcgBpAGMAXAAiACwAMAAuADAAMgAxADEALABcACIAWgBpAG4AYwBcACIALAAwAC4AMAAxADUALABcACIASQByAG8AbgBcACIALAAwAC4AMAAxADEAMQAsAFwAIgBNAGEAbgBnAGEAbgBlAHMAZQBcACIALAAwAC4AMAAxADEANQAsAFwAIgBNAGEAZwBuAGUAcwBpAHUAbQBcACIALAAwAC4AMAAwADQANQAsAFwAIgBCAG8AcgBvAG4AXAAiACwAMAAuADAAMAAyACwAXAAiAFwAIgAsAFwAIgBcACIALABcACIAXAAiACwAXAAiAFwAIgA7AFwAbgBcACIAQwBhAG0AcABiAGUAbABsAHMAIABmAGUAcgB0AGkAbABpAHMAZQByAHMAIABBAHUAcwB0AHIAYQBsAGkAYQBcACIALABcACIAUABsAGEAdABpAG4AdQBtACAATgBlAHIAZwBlAHQAaQBjAFwAIgAsAFwAIgBrAGcAXAAiACwAMQAsAFwAIgBcACIALABcACIAXAAiACwAXAAiAFwAIgAsADEAMAAsADEAMAAuADkALAAxADAALAA0AC4AMwA0ACwAXAAiAE0AbwBuAG8AYQBtAG0AbwBuAGkAdQBtACAAcABoAG8AcwBwAGgAYQB0AGUAIAAoAE0AQQBQACkAXAAiACwAMAAuADQAMQA3ADgALABcACIAQQBtAG0AbwBuAGkAdQBtACAAbgBpAHQAcgBhAHQAZQAgACgAQQBOACkAXAAiACwAMAAuADEANwAyADgALABcACIAUABvAHQAYQBzAHMAaQB1AG0AIABzAHUAbABwAGgAYQB0AGUAXAAiACwAMAAuADIANAAwADkANgA0ACwAXAAiAEQAbwB1AGIAbABlACAAcwB1AHAAZQByAHAAaABvAHMAcABoAGEAdABlAFwAIgAsADAALgAxACwAXAAiAE0AYQBnAG4AZQBzAGkAdQBtAFwAIgAsADAALgAwADEAMgAsAFwAIgBaAGkAbgBjAFwAIgAsADAALgAwADAAMwA2ACwAXAAiAEIAbwByAG8AbgBcACIALAAwAC4AMAAwADEALABcACIARwBsAGEAegBlACAARQB4AHQAZQBuAGQAIABHADMAIABGAGwAZQB4AGkAXAAiACwAMAAuADAANQAxADkALABcACIAXAAiACwAXAAiAFwAIgAsAFwAIgBcACIALABcACIAXAAiADsAXABuAFwAIgBJAG0AcABhAGMAdAAgAEYAZQByAHQAaQBsAGkAcwBlAHIAcwBcACIALABcACIAUwB1AGwAcABoAGEAdABlACAAbwBmACAAYQBtAG0AbwBuAGkAYQAgACgAUwBPAEEAK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NAG8AbgBvAC0AQQBtAG0AbwBuAGkAdQBtACAAUABoAG8AcwBwAGgAYQB0AGUAIAAoAE0AQQBQACkAXAAiACwAXAAiAGsAZwBcACIALAAxACwAXAAiAFwAIgAsAFwAIgBcACIALABcACIAXAAiACwAMQAwACwAMgAxAC4AOQAsAFwAIgBcACIALAAxAC4ANQ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VAHIAZQBhAFwAIgAsAFwAIgBrAGcAXAAiACwAMQAsAFwAIgBcACIALABcACIAXAAiACwAXAAiAFwAIgAsADQANgAsAFwAIgBcACIALABcACIAXAAiACwAXAAiAFwAIgAsAFwAIgBVAHIAZQBhAFwAIgAsADEALABcACIAXAAiACwAXAAiAFwAIgAsAFwAIgBcACIALABcACIAXAAiACwAXAAiAFwAIgAsAFwAIgBcACIALABcACIAXAAiACwAXAAiAFwAIgAsAFwAIgBcACIALABcACIAXAAiACwAXAAiAFwAIgAsAFwAIgBcACIALABcACIAXAAiACwAXAAiAFwAIgAsAFwAIgBcACIALABcACIAXAAiACwAXAAiAFwAIgAsAFwAIgBcACIAOwBcAG4AXAAiAEsAbwBjAGgAIABGAGUAcgB0AGkAbABpAHMAZQByACAAQQB1AHMAdAByAGEAbABpAGEAXAAiACwAXAAiAE0AdQByAGkAYQB0AGUAIABvAGYAIABwAG8AdABhAHMAaAAgACgATQBPAFAAKQBcACIALABcACIAawBnAFwAIgAsADEALABcACIAXAAiACwAXAAiAFwAIgAsAFwAIgBcACIALABcACIAXAAiACwAXAAiAFwAIgAsADUAMAAsAFwAIgBcACIALABcACIATQB1AHIAaQBhAHQAZQAgAG8AZgAgAHAAbwB0AGEAcwBoACAAKABNAE8AUAApAFwAIgAsADEALABcACIAXAAiACwAXAAiAFwAIgAsAFwAIgBcACIALABcACIAXAAiACwAXAAiAFwAIgAsAFwAIgBcACIALABcACIAXAAiACwAXAAiAFwAIgAsAFwAIgBcACIALABcACIAXAAiACwAXAAiAFwAIgAsAFwAIgBcACIALABcACIAXAAiACwAXAAiAFwAIgAsAFwAIgBcACIALABcACIAXAAiACwAXAAiAFwAIgAsAFwAIgBcACIAOwBcAG4AXAAiAFIAaQBzAHMAbwAtAEMAaABlAG0AaQBjAGEAbABcACIALABcACIAVQByAGUAYQAgAEEAbQBtAG8AbgBpAHUAbQAgAG4AaQB0AHIAYQB0AGUAIAAoAFUAQQBOACAAMwAyAC0AMAAtADAAKQBcACIALABcACIATABcACIALAAxAC4AMwAyACwAXAAiAFwAIgAsAFwAIgBDAGgAaQBuAGEAXAAiACwAXAAiAEMAaABpAG4AYQBcACIALAAzADIALABcACIAXAAiACwAXAAiAFwAIgAsAFwAIgBcACIALABcACIAVQByAGUAYQAtAGEAbQBtAG8AbgBpAHUAbQAgAG4AaQB0AHIAYQB0AGUAIAAoAFUAQQBOACkAXAAiACwAMQAsAFwAIgBcACIALABcACIAXAAiACwAXAAiAFwAIgAsAFwAIgBcACIALABcACIAXAAiACwAXAAiAFwAIgAsAFwAIgBcACIALABcACIAXAAiACwAXAAiAFwAIgAsAFwAIgBcACIALABcACIAXAAiACwAXAAiAFwAIgAsAFwAIgBcACIALABcACIAXAAiACwAXAAiAFwAIgAsAFwAIgBcACIALABcACIAXAAiACwAXAAiAFwAIgA7AFwAbgBcACIAUgBpAHMAcwBvAC0AQwBoAGUAbQBpAGMAYQBsAFwAIgAsAFwAIgBQAG8AbAB5AHAAZQBwAHQAaQBkAGUAIABVAHIAZQBhAFwAIgAsAFwAIgBrAGcAXAAiACwAMQAsAFwAIgBcACIALABcACIAQwBoAGkAbgBhAFwAIgAsAFwAIgBcACIALAA0ADYALABcACIAXAAiACwAXAAiAFwAIgAsAFwAIgBcACIALABcACIAVQByAGUAYQBcACIALAAxACwAXAAiAFAAbwBsAHkAcABlAHAAdABpAGQAZQAgACgAYQBtAGkAbgBvACAAYQBjAGkAZABzACkAXAAiACwAMA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QwBBAEwAQwBJAE4ASQBUAFwAIgAsAFwAIgBrAGcAXAAiACwAMQAsAFwAIgBcACIALABcACIAXAAiACwAXAAiAFwAIgAsADEANQAuADUALABcACIAXAAiACwAXAAiAFwAIgAsAFwAIgBcACIALABcACIAQwBhAGwAYwBpAHUAbQAgAG4AaQB0AHIAYQB0AGUAXAAiACwAMQAsAFwAIgBcACIALABcACIAXAAi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EwAaQB2AGEAIABOAEkAVABSAEEAQgBPAFIAXAAiACwAXAAiAGsAZwBcACIALAAxACwAXAAiAFwAIgAsAFwAIgBcACIALABcACIAXAAiACwAMQA1AC4ANAAsAFwAIgBcACIALABcACIAXAAiACwAXAAiAFwAIgAsAFwAIgBDAGEAbABjAGkAdQBtACAAbgBpAHQAcgBhAHQAZQBcACIALAAwAC4AOQA5ADMANQA0ADgALABcACIAQgBvAHIAbwBuAFwAIgAsADAALgAwADAAMw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NAGkAbABhACAAQwBPAE0AUABMAEUAWABcACIALABcACIAawBnAFwAIgAsADEALABcACIAXAAiACwAXAAiAFwAIgAsAFwAIgBcACIALAAxADIALAA1ACwAMQA1ACwAOAAsAFwAIgBOAGkAdAByAG8AZwBlAG4AIAAtACAATgBpAHQAcgBhAHQAZQBcACIALAAwAC4AMAA1ACwAXAAiAE4AaQB0AHIAbwBnAGUAbgAgAC0AIABBAG0AbQBvAG4AaQBhAGMAYQBsAFwAIgAsADAALgAwADcALABcACIAUABoAG8AcwBwAGgAbwByAHUAcwAgAC0AIABHAGUAbgBlAHIAaQBjAFwAIgAsADAALgAwADUALABcACIAUABvAHQAYQBzAHMAaQB1AG0AIAAtACAARwBlAG4AZQByAGkAYwBcACIALAAwAC4AMQA1ACwAXAAiAFMAdQBsAGYAdQByACAALQAgAEcAZQBuAGUAcgBpAGMAXAAiACwAMAAuADAAOAAsAFwAIgBNAGEAZwBuAGUAcwBpAHUAbQBcACIALAAwAC4AMAAxADYALABcACIAWgBpAG4AYwBcACIALAAwAC4AMAAwADAAMgAsAFwAIgBCAG8AcgBvAG4AXAAiACwAMAAuADAAMAAwADEANQAsAFwAIgBcACIALABcACIAXAAiACwAXAAiAFwAIgAsAFwAIgBcACIAOwBcAG4AXAAiAFkAYQByAGEAIABBAHUAcwB0AHIAYQBsAGkAYQBcACIALABcACIAWQBhAHIAYQBSAGUAZwBhACAAOQAtADAALQAzADAAIAAoADEANAApAFwAIgAsAFwAIgBrAGcAXAAiACwAMQAsAFwAIgBcACIALABcACIAXAAiACwAXAAiAFwAIgAsADkALABcACIAXAAiACwAMwAwACwAMQA0ACwAXAAiAFAAbwB0AGEAcwBzAGkAdQBtACAALQAgAEcAZQBuAGUAcgBpAGMAXAAiACwAMAAuADMALABcACIAUwB1AGwAZgB1AHIAIAAtACAARwBlAG4AZQByAGkAYwBcACIALAAwAC4AMQA0ACwAXAAiAE4AaQB0AHIAbwBnAGUAbgAgAC0AIABOAGkAdAByAGEAdABlAFwAIgAsADAALgAwADQANQAsAFwAIgBOAGkAdAByAG8AZwBlAG4AIAAtACAAQQBtAG0AbwBuAGkAYQBjAGEAbABcACIALAAwAC4AMAA0ADUALABcACIAXAAiACwAXAAiAFwAIgAsAFwAIgBcACIALABcACIAXAAiACwAXAAiAFwAIgAsAFwAIgBcACIALABcACIAXAAiACwAXAAiAFwAIgAsAFwAIgBcACIALABcACIAXAAiACwAXAAiAFwAIgAsAFwAIgBcACIAOwBcAG4AXAAiAFkAYQByAGEAIABBAHUAcwB0AHIAYQBsAGkAYQBcACIALABcACIAWQBhAHIAYQBSAGUAZwBhACAAMQAzAC0AMgAtADIAMQBcACIALABcACIAawBnAFwAIgAsADEALABcACIAXAAiACwAXAAiAFwAIgAsAFwAIgBcACIALAAxADMALAAxAC4ANwA1ACwAMgAxACwAMQAwAC4AOAAsAFwAIgBQAG8AdABhAHMAcwBpAHUAbQAgAC0AIABHAGUAbgBlAHIAaQBjAFwAIgAsADAALgAyADEALABcACIAUwB1AGwAZgB1AHIAIAAtACAARwBlAG4AZQByAGkAYwBcACIALAAwAC4AMQAwADgALABcACIATgBpAHQAcgBvAGcAZQBuACAALQAgAEEAbQBtAG8AbgBpAGEAYwBhAGwAXAAiACwAMAAuADAANwA3ACwAXAAiAE4AaQB0AHIAbwBnAGUAbgAgAC0AIABOAGkAdAByAGEAdABlAFwAIgAsADAALgAwADUAMwAsAFwAIgBQAGgAbwBzAHAAaABvAHIAdQBzACAALQAgAEcAZQBuAGUAcgBpAGMAXAAiACwAMAAuADAAMQA3ADUALABcACIATQBhAGcAbgBlAHMAaQB1AG0AXAAiACwAMAAuADAAMAA0ACwAXAAiAFoAaQBuAGMAXAAiACwAMAAuADAAMAAwADgALABcACIAQgBvAHIAbwBuAFwAIgAsADAALgAwADAAMAA4ACwAXAAiAFwAIgAsAFwAIgBcACIALABcACIAXAAiACwAXAAiAFwAIgA7AFwAbgBcACIAWQBhAHIAYQAgAEEAdQBzAHQAcgBhAGwAaQBhAFwAIgAsAFwAIgBZAGEAcgBhAFIAZQBnAGEAIAAxADUALQA3AC0AMQAzACAAKAA3AFMAKQBcACIALABcACIAawBnAFwAIgAsADEALABcACIAXAAiACwAXAAiAFwAIgAsAFwAIgBcACIALAAxADUALAA2AC4ANQAsADEAMgAuADUALAA3AC4AMgAsAFwAIgBOAGkAdAByAG8AZwBlAG4AIAAtACAATgBpAHQAcgBhAHQAZQBcACIALAAwAC4AMAA5ADUALABcACIAUABvAHQAYQBzAHMAaQB1AG0AIAAtACAARwBlAG4AZQByAGkAYwBcACIALAAwAC4AMQAyADUALABcACIAUwB1AGwAZgB1AHIAIAAtACAARwBlAG4AZQByAGkAYwBcACIALAAwAC4AMAA3ADIALABcACIAUABoAG8AcwBwAGgAbwByAHUAcwAgAC0AIABHAGUAbgBlAHIAaQBjAFwAIgAsADAALgAwADYANQAsAFwAIgBOAGkAdAByAG8AZwBlAG4AIAAtACAAQQBtAG0AbwBuAGkAYQBjAGEAbABcACIALAAwAC4AMAA1ADUALABcACIATQBhAGcAbgBlAHMAaQB1AG0AXAAiACwAMAAuADAAMAA2ADYALABcACIAQgBvAHIAbwBuAFwAIgAsADAALgAwADAAMQAsAFwAIgBaAGkAbgBjAFwAIgAsADAALgAwADAAMAA2ACwAXAAiAFwAIgAsAFwAIgBcACIALABcACIAXAAiACwAXAAiAFwAIgA7AFwAbgBcACIAWQBhAHIAYQAgAEEAdQBzAHQAcgBhAGwAaQBhAFwAIgAsAFwAIgBZAGEAcgBhAFQAZQByAGEAIABDAEEATABDAEkATgBJAFQAIABCAFwAIgAsAFwAIgBrAGcAXAAiACwAMQAsAFwAIgBcACIALABcACIAXAAiACwAXAAiAFwAIgAsADEANQAuADUALABcACIAXAAiACwAXAAiAFwAIgAsAFwAIgBcACIALABcACIAQwBhAGwAYwBpAHUAbQAgAG4AaQB0AHIAYQB0AGUAXAAiACwAMQAsAFwAIgBCAG8AcgBvAG4AXAAiACwAMAAuADAAMAAxACwAXAAiAFwAIgAsAFwAIgBcACIALABcACIAXAAiACwAXAAiAFwAIgAsAFwAIgBcACIALABcACIAXAAiACwAXAAiAFwAIgAsAFwAIgBcACIALABcACIAXAAiACwAXAAiAFwAIgAsAFwAIgBcACIALABcACIAXAAiACwAXAAiAFwAIgAsAFwAIgBcACIALABcACIAXAAiACwAXAAiAFwAIgA7AFwAbgBcACIAWQBhAHIAYQAgAEEAdQBzAHQAcgBhAGwAaQBhAFwAIgAsAFwAIgBZAGEAcgBhAFQAZQByAGEAIABLAFIASQBTAFQAQQAg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FkAYQByAGEAIABBAHUAcwB0AHIAYQBsAGkAYQBcACIALABcACIAWQBhAHIAYQBUAGUAcgBhACAASwBSAEkAUwBUAEEATABPAE4AIABSAEUARABcACIALABcACIAawBnAFwAIgAsADEALABcACIAXAAiACwAXAAiAFwAIgAsAFwAIgBcACIALAAxADIALAA1AC4AMgAsADIAOQAuADkALAAxACwAXAAiAFAAbwB0AGEAcwBzAGkAdQBtACAALQAgAEcAZQBuAGUAcgBpAGMAXAAiACwAMAAuADIAOQA5ACwAXAAiAE4AaQB0AHIAbwBnAGUAbgAgAC0AIABOAGkAdAByAGEAdABlAFwAIgAsADAALgAxADAAMQAsAFwAIgBQAGgAbwBzAHAAaABvAHIAdQBzACAALQAgAEcAZQBuAGUAcgBpAGMAXAAiACwAMAAuADAANQAyACwAXAAiAE4AaQB0AHIAbwBnAGUAbgAgAC0AIABBAG0AbQBvAG4AaQBhAGMAYQBsAFwAIgAsADAALgAwADEAOQAsAFwAIgBTAHUAbABmAHUAcgAgAC0AIABHAGUAbgBlAHIAaQBjAFwAIgAsADAALgAwADEALABcACIATQBhAGcAbgBlAHMAaQB1AG0AXAAiACwAMAAuADAAMAA2ACwAXAAiAEkAcgBvAG4AXAAiACwAMAAuADAAMAAwADcALABcACIATQBhAG4AZwBhAG4AZQBzAGUAXAAiACwAMAAuADAAMAAwADQALABcACIAWgBpAG4AYwBcACIALAAwAC4AMAAwADAAMgA1ACwAXAAiAEIAbwByAG8AbgBcACIALAAwAC4AMAAwADAAMgA1ADsAXABuAFwAIgBZAGEAcgBhACAAQQB1AHMAdAByAGEAbABpAGEAXAAiACwAXAAiAFkAYQByAGEAVABlAHIAYQAgAEsAUgBJAFMAVABBAEwATwBOACAAUwBQAEUAQwBJAEEATABcACIALABcACIAawBnAFwAIgAsADEALABcACIAXAAiACwAXAAiAFwAIgAsAFwAIgBcACIALAAxADgALAA3AC4AOQAsADEANAAuADkALAAyACwAXAAiAFAAbwB0AGEAcwBzAGkAdQBtACAALQAgAEcAZQBuAGUAcgBpAGMAXAAiACwAMAAuADEANAA5ACwAXAAiAFUAcgBlAGEAXAAiACwAMAAuADIAMQAzADAANAAzACwAXAAiAFAAaABvAHMAcABoAG8AcgB1AHMAIAAtACAARwBlAG4AZQByAGkAYwBcACIALAAwAC4AMAA3ADkALABcACIATgBpAHQAcgBvAGcAZQBuACAALQAgAE4AaQB0AHIAYQB0AGUAXAAiACwAMAAuADAANAA5ACwAXAAiAE4AaQB0AHIAbwBnAGUAbgAgAC0AIABBAG0AbQBvAG4AaQBhAGMAYQBsAFwAIgAsADAALgAwADMAMwAsAFwAIgBTAHUAbABmAHUAcgAgAC0AIABHAGUAbgBlAHIAaQBjAFwAIgAsADAALgAwADIALABcACIATQBhAGcAbgBlAHMAaQB1AG0AXAAiACwAMAAuADAAMQA4ACwAXAAiAEkAcgBvAG4AXAAiACwAMAAuADAAMAAwADcALABcACIATQBhAG4AZwBhAG4AZQBzAGUAXAAiACwAMAAuADAAMAAwADQALABcACIAWgBpAG4AYwBcACIALAAwAC4AMAAwADAAMgA1AFwAbgAgACAAfQAsACAAcgAsACAAYwApAFwAbgAgACkAKQApAFwAbgBcAG4AXABuAEYAZQByAHQAaQBsAGkAcwBlAHIAXwBQAHIAbwBkAHUAYwB0AHMAXwBEAGEAdABhADMAXABuAD0ATABBAE0AQgBEAEEAKABcAG4AIABNAEEASwBFAEEAUgBSAEEAWQAoADMAMAAsACAAMwAxACwAXABuACAATABBAE0AQgBEAEEAKAByACwAYwAsAFwAbgAgACAASQBOAEQARQBYACgAewBcAG4AXAAiAFkAYQByAGEAIABBAHUAcwB0AHIAYQBsAGkAYQBcACIALABcACIAWQBhAHIAYQBNAGkAbABhACAAMgAxAC0ANwAtADMAKAA0ACkAXAAiACwAXAAiAGsAZwBcACIALAAxACwAXAAiAFwAIgAsAFwAIgBcACIALABcACIAXAAiACwAMgAxACwANwAuADQALAAyAC4ANQAsADQALABcACIATgBpAHQAcgBvAGcAZQBuACAALQAgAE4AaQB0AHIAYQB0AGUAXAAiACwAMAAuADEAMAA1ACwAXAAiAE4AaQB0AHIAbwBnAGUAbgAgAC0AIABBAG0AbQBvAG4AaQBhAGMAYQBsAFwAIgAsADAALgAxADAANQAsAFwAIgBQAGgAbwBzAHAAaABvAHIAdQBzACAALQAgAEcAZQBuAGUAcgBpAGMAXAAiACwAMAAuADAANwA0ACwAXAAiAFMAdQBsAGYAdQByACAALQAgAEcAZQBuAGUAcgBpAGMAXAAiACwAMAAuADAANAAsAFwAIgBQAG8AdABhAHMAcwBpAHUAbQAgAC0AIABHAGUAbgBlAHIAaQBjAFwAIgAsADAALgAwADIANQAsAFwAIgBNAGEAZwBuAGUAcwBpAHUAbQBcACIALAAwAC4AMAAwADQALABcACIAWgBpAG4AYwBcACIALAAwAC4AMAAwADEANQAsAFwAIgBcACIALABcACIAXAAiACwAXAAiAFwAIgAsAFwAIgBcACIALABcACIAXAAiACwAXAAiAFwAIgA7AFwAbgBcACIAWQBhAHIAYQAgAEEAdQBzAHQAcgBhAGwAaQBhAFwAIgAsAFwAIgBZAGEAcgBhAFQAZQByAGEAIABLAFIASQBTAFQAQQBMAE8ATgAgAFMAQwBBAFIATABFAFQAXAAiACwAXAAiAGsAZwBcACIALAAxACwAXAAiAFwAIgAsAFwAIgBcACIALABcACIAXAAiACwANwAuADUALABcACIAXAAiACwAMgA5AC4AOQAsADQALABcACIAUABvAHQAYQBzAHMAaQB1AG0AIAAtACAARwBlAG4AZQByAGkAYwBcACIALAAwAC4AMgA5ADkALABcACIATgBpAHQAcgBvAGcAZQBuACAALQAgAE4AaQB0AHIAYQB0AGUAXAAiACwAMAAuADAANQAyACwAXAAiAFMAdQBsAGYAdQByACAALQAgAEcAZQBuAGUAcgBpAGMAXAAiACwAMAAuADAANAAsAFwAIgBNAGEAZwBuAGUAcwBpAHUAbQBcACIALAAwAC4AMAAyADcALABcACIATgBpAHQAcgBvAGcAZQBuACAALQAgAEEAbQBtAG8AbgBpAGEAYwBhAGwAXAAiACwAMAAuADAAMgAzACwAXAAiAFwAIgAsAFwAIgBcACIALABcACIAXAAiACwAXAAiAFwAIgAsAFwAIgBcACIALABcACIAXAAiACwAXAAiAFwAIgAsAFwAIgBcACIALABcACIAXAAiACwAXAAiAFwAIgA7AFwAbgBcACIAQwBhAG0AcABiAGUAbABsAHMAIABmAGUAcgB0AGkAbABpAHMAZQByAHMAIABBAHUAcwB0AHIAYQBsAGkAYQBcACIALABcACIAUwBvAGwAdQAtAE0AQQBQAFwAIgAsAFwAIgBrAGcAXAAiACwAMQAsAFwAIgBcACIALABcACIAXAAiACwAXAAiAFwAIgAsADEAMAAsADIAMQAuADkALABcACIAXAAiACwAXAAiAFwAIgAsAFwAIgBNAG8AbgBvAGEAbQBtAG8AbgBpAHUAbQAgAHAAaABvAHMAcABoAGEAdABlACAAKABNAEEAUA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MAbwBsAHUALQBTAGEAbQBcACIALABcACIAawBnAFwAIgAsADEALABcACIAXAAiACwAXAAiAFwAIgAsAFwAIgBcACIALAAyADEALABcACIAXAAiACwAXAAiAFwAIgAsADIANAAsAFwAIgBTAHUAbABwAGgAYQB0AGUAIABvAGYAIABhAG0AbQBvAG4AaQBhACAAKABTAE8AQQApAFwAIgAsADEALABcACIAXAAiACwAXAAiAFwAIgAsAFwAIgBcACIALABcACIAXAAiACwAXAAiAFwAIgAsAFwAIgBcACIALABcACIAXAAiACwAXAAiAFwAIgAsAFwAIgBcACIALABcACIAXAAiACwAXAAiAFwAIgAsAFwAIgBcACIALABcACIAXAAiACwAXAAiAFwAIgAsAFwAIgBcACIALABcACIAXAAiACwAXAAiAFwAIgAsAFwAIgBcACIAOwBcAG4AXAAiAEMAYQBtAHAAYgBlAGwAbABzACAAZgBlAHIAdABpAGwAaQBzAGUAcgBzACAAQQB1AHMAdAByAGEAbABpAGEAXAAiACwAXAAiAFIAdQBzAHQAaQBjAGEAIABQAGwAdQBzAFwAIgAsAFwAIgBrAGcAXAAiACwAMQAsAFwAIgBcACIALABcACIAXAAiACwAXAAiAFwAIgAsADEAMgAsADUALAAxADQALAA5AC4ANwAsAFwAIgBQAG8AdABhAHMAcwBpAHUAbQAgAC0AIABHAGUAbgBlAHIAaQBjAFwAIgAsADAALgAxADQALABcACIAUwB1AGwAZgB1AHIAIAAtACAARwBlAG4AZQByAGkAYwBcACIALAAwAC4AMAA5ADcALABcACIATgBpAHQAcgBvAGcAZQBuACAALQAgAE4AaQB0AHIAYQB0AGUAXAAiACwAMAAuADAANgAsAFwAIgBOAGkAdAByAG8AZwBlAG4AIAAtACAAQQBtAG0AbwBuAGkAYQBjAGEAbABcACIALAAwAC4AMAA2ACwAXAAiAFAAaABvAHMAcABoAG8AcgB1AHMAIAAtACAARwBlAG4AZQByAGkAYwBcACIALAAwAC4AMAA1ACwAXAAiAEMAYQBsAGMAaQB1AG0AXAAiACwAMAAuADAAMwAxACwAXAAiAE0AYQBnAG4AZQBzAGkAdQBtAFwAIgAsADAALgAwADEAMgAsAFwAIgBaAGkAbgBjAFwAIgAsADAALgAwADAAMQAsAFwAIgBCAG8AcgBvAG4AXAAiACwAMAAuADAAMAAwADIALABcACIAXAAiACwAXAAiAFwAIgA7AFwAbgBcACIAQwBhAG0AcABiAGUAbABsAHMAIABmAGUAcgB0AGkAbABpAHMAZQByAHMAIABBAHUAcwB0AHIAYQBsAGkAYQBcACIALABcACIAUABsAGEAdABpAG4AdQBtACAAUABsAHUAcwBcACIALABcACIAawBnAFwAIgAsADEALABcACIAXAAiACwAXAAiAFwAIgAsAFwAIgBcACIALAAxADAALAAxADEALAAxADAALAA2ACwAXAAiAFAAaABvAHMAcABoAG8AcgB1AHMAIAAtACAARwBlAG4AZQByAGkAYwBcACIALAAwAC4AMQAxACwAXAAiAFAAbwB0AGEAcwBzAGkAdQBtACAALQAgAEcAZQBuAGUAcgBpAGMAXAAiACwAMAAuADEALABcACIAUwB1AGwAZgB1AHIAIAAtACAARwBlAG4AZQByAGkAYwBcACIALAAwAC4AMAA2ACwAXAAiAE4AaQB0AHIAbwBnAGUAbgAgAC0AIABOAGkAdAByAGEAdABlAFwAIgAsADAALgAwADUALABcACIATgBpAHQAcgBvAGcAZQBuACAALQAgAEEAbQBtAG8AbgBpAGEAYwBhAGwAXAAiACwAMAAuADAANQAsAFwAIgBDAGEAbABjAGkAdQBtAFwAIgAsADAALgAwADQAMwAsAFwAIgBNAGEAZwBuAGUAcwBpAHUAbQBcACIALAAwAC4AMAAxADIALABcACIAWgBpAG4AYwBcACIALAAwAC4AMAAwADMANgAsAFwAIgBCAG8AcgBvAG4AXAAiACwAMAAuADAAMAAxACwAXAAiAFwAIgAsAFwAIgBcACIAOwBcAG4AXAAiAEMAYQBtAHAAYgBlAGwAbABzACAAZgBlAHIAdABpAGwAaQBzAGUAcgBzACAAQQB1AHMAdAByAGEAbABpAGEAXAAiACwAXAAiAFQAcgBvAHAAaQBrAGEAXAAiACwAXAAiAGsAZwBcACIALAAxACwAXAAiAFwAIgAsAFwAIgBcACIALABcACIAXAAiACwAMQAxACwAMgAuADYALAAyADAALgA4ACwANAAsAFwAIgBOAGkAdAByAG8AZwBlAG4AIAAtACAATgBpAHQAcgBhAHQAZQBcACIALAAwAC4AMAA1ADUALABcACIATgBpAHQAcgBvAGcAZQBuACAALQAgAEEAbQBtAG8AbgBpAGEAYwBhAGwAXAAiACwAMAAuADAANQA1ACwAXAAiAFAAaABvAHMAcABoAG8AcgB1AHMAIAAtACAARwBlAG4AZQByAGkAYwBcACIALAAwAC4AMAAyADYALABcACIAUABvAHQAYQBzAHMAaQB1AG0AIAAtACAARwBlAG4AZQByAGkAYwBcACIALAAwAC4AMgAwADgALABcACIAUwB1AGwAZgB1AHIAIAAtACAARwBlAG4AZQByAGkAYwBcACIALAAwAC4AMAA0ACwAXAAiAE0AYQBnAG4AZQBzAGkAdQBtAFwAIgAsADAALgAwADIANAAsAFwAIgBcACIALABcACIAXAAiACwAXAAiAFwAIgAsAFwAIgBcACIALABcACIAXAAiACwAXAAiAFwAIgAsAFwAIgBcACIALABcACIAXAAiADsAXABuAFwAIgBDAGEAbQBwAGIAZQBsAGwAcwAgAGYAZQByAHQAaQBsAGkAcwBlAHIAcwAgAEEAdQBzAHQAcgBhAGwAaQBhAFwAIgAsAFwAIgBSAHUAcwB0AGkAYwBhACAATgBlAHIAZwBlAHQAaQBjAFwAIgAsAFwAIgBrAGcAXAAiACwAMQAsAFwAIgBcACIALABcACIAXAAiACwAXAAiAFwAIgAsADEAMgAsADUALgAyACwAMQA0AC4AMQAsADkALgA2ACwAXAAiAFAAbwB0AGEAcwBzAGkAdQBtACAALQAgAEcAZQBuAGUAcgBpAGMAXAAiACwAMAAuADEANAAxACwAXAAiAFMAdQBsAGYAdQByACAALQAgAEcAZQBuAGUAcgBpAGMAXAAiACwAMAAuADAAOQA2ACwAXAAiAE4AaQB0AHIAbwBnAGUAbgAgAC0AIABOAGkAdAByAGEAdABlAFwAIgAsADAALgAwADYALABcACIATgBpAHQAcgBvAGcAZQBuACAALQAgAEEAbQBtAG8AbgBpAGEAYwBhAGwAXAAiACwAMAAuADAANgAsAFwAIgBQAGgAbwBzAHAAaABvAHIAdQBzACAALQAgAEcAZQBuAGUAcgBpAGMAXAAiACwAMAAuADAANQAyACwAXAAiAE0AYQBnAG4AZQBzAGkAdQBtAFwAIgAsADAALgAwADEAMgAsAFwAIgBaAGkAbgBjAFwAIgAsADAALgAwADAAMAA4ACwAXAAiAEkAcgBvAG4AXAAiACwAMAAuADAAMAAwADcALABcACIATQBhAG4AZwBhAG4AZQBzAGUAXAAiACwAMAAuADAAMAAwADYALABcACIAQgBvAHIAbwBuAFwAIgAsADAALgAwADAAMAAyADsAXABuAFwAIgBDAGEAbQBwAGIAZQBsAGwAcwAgAGYAZQByAHQAaQBsAGkAcwBlAHIAcwAgAEEAdQBzAHQAcgBhAGwAaQBhAFwAIgAsAFwAIgBRAHUAaQBjAGsALQBOACAATgBlAHIAZwBlAHQAaQBjAFwAIgAsAFwAIgBrAGcAXAAiACwAMQAsAFwAIgBcACIALABcACIAXAAiACwAXAAiAFwAIgAsADIANQAsAFwAIgBcACIALABcACIAXAAiACwAMQAyAC4AOAAsAFwAIgBTAHUAbABwAGgAYQB0AGUAIABvAGYAIABhAG0AbQBvAG4AaQBhACAAKABTAE8AQQApAFwAIgAsADAALgA1ADMAMwAzADMAMwAsAFwAIgBBAG0AbQBvAG4AaQB1AG0AIABuAGkAdAByAGEAdABlACAAKABBAE4AKQBcACIALAAwAC4ANAAwADkANAA5ADYALABcACIAWgBpAG4AYwBcACIALAAwAC4AMAAwADEALABcACIATQBhAG4AZwBhAG4AZQBzAGUAXAAiACwAMAAuADAAMAAxACwAXAAiAEIAbwByAG8AbgBcACIALAAwAC4AMAAwADAAMQAsAFwAIgBNAG8AbAB5AGIAZABlAG4AdQBtAFwAIgAsADAALgAwADAAMAAwADEALABcACIAXAAiACwAXAAiAFwAIgAsAFwAIgBcACIALABcACIAXAAiACwAXAAiAFwAIgAsAFwAIgBcACIALABcACIAXAAiACwAXAAiAFwAIgA7AFwAbgBcACIARgBlAHIAdABQAHIAbwAgAE0AYQBuAHUAZgBhAGMAdAB1AHIAaQBuAGcAIABQAHQAeQAuACAATAB0AGQALgBcACIALABcACIAKABTAFMAUAApACAAUwBpAG4AZwBsAGUAIABTAHUAcABlAHIAIABGAGUAcgB0AGkAbABpAHMAZQBy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FoAaQBuAGMAUwB0AGEAcgBcACIALABcACIAawBnAFwAIgAsADEALABcACIAXAAiACwAXAAiAFwAIgAsAFwAIgBcACIALAAxADAALAAyADEALgA5ACwAMAAsADIALABcACIATQBvAG4AbwBhAG0AbQBvAG4AaQB1AG0AIABwAGgAbwBzAHAAaABhAHQAZQAgACgATQBBAFAAKQBcACIALAAxACwAXAAiAFoAaQBuAGMAXAAiACwAMAAuADAAMQAsAFwAIgBcACIALABcACIAXAAiACwAXAAiAFwAIgAsAFwAIgBcACIALABcACIAXAAiACwAXAAiAFwAIgAsAFwAIgBcACIALABcACIAXAAiACwAXAAiAFwAIgAsAFwAIgBcACIALABcACIAXAAiACwAXAAiAFwAIgAsAFwAIgBcACIALABcACIAXAAiACwAXAAiAFwAIgAsAFwAIgBcACIAOwBcAG4AXAAiAEIAYQBpAGwAZQB5AHMAIAAoAFMAaQBtAHAAbABvAHQAKQAgAFsAbABpAHMAdABlAGQAIABhAHMAIABJAG0AcABhAGMAdABdAFwAIgAsAFwAIgBBAHAAZQB4ACAARwBhAEkAWABlACAATABvAHcAIABQACAAMgAxAC0AMQAtADYAXAAiACwAXAAiAGsAZwBcACIALAAxACwAXAAiAFwAIgAsAFwAIgBcACIALABcACIAXAAiACwAMgAxACwAMAAuADgANgAsADUALgA4ACwANAAuADIALABcACIATgBpAHQAcgBvAGcAZQBuACAALQAgAEcAZQBuAGUAcgBpAGMAXAAiACwAMAAuADIAMQAsAFwAIgBQAG8AdABhAHMAcwBpAHUAbQAgAC0AIABHAGUAbgBlAHIAaQBjAFwAIgAsADAALgAwADUAOAAsAFwAIgBTAHUAbABmAHUAcgAgAC0AIABHAGUAbgBlAHIAaQBjAFwAIgAsADAALgAwADQAMgAsAFwAIgBQAGgAbwBzAHAAaABvAHIAdQBzACAALQAgAEcAZQBuAGUAcgBpAGMAXAAiACwAMAAuADAAMAA4ADYALABcACIAXAAiACwAXAAiAFwAIgAsAFwAIgBcACIALABcACIAXAAiACwAXAAiAFwAIgAsAFwAIgBcACIALABcACIAXAAiACwAXAAiAFwAIgAsAFwAIgBcACIALABcACIAXAAiACwAXAAiAFwAIgAsAFwAIgBcACIAOwBcAG4AXAAiAEkAbgBjAGkAdABlAGMAIABQAGkAdgBvAHQAIABGAGUAcgB0AGkAbABpAHMAZQByAHMAXAAiACwAXAAiAFMAdQBQAGUAcgBmAGUAYwB0AFwAIgAsAFwAIgBrAGcAXAAiACwAMQAsAFwAIgBcACIALABcACIAXAAiACwAXAAiAFwAIgAsAFwAIgBcACIALAA4AC4AOAAsAFwAIgBcACIALAAxADEALABcACIAUwBpAG4AZwBsAGUAIABzAHUAcABlAHIAcABoAG8AcwBwAGgAYQB0AGUAIAAoAFMAUwBQ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AgAFsAbABpAHMAdABlAGQAIABhAHMAIABTAHUAbQBtAGkAdABdAFwAIgAsAFwAIgBCAGkAZwAgAE4AXAAiACwAXAAiAGsAZwBcACIALAAxACwAXAAiAFwAIgAsAFwAIgBcACIALABcACIAXAAiACwAOAAyAC4AMwA1ACwAXAAiAFwAIgAsAFwAIgBcACIALABcACIAXAAiACwAXAAiAEEAbQBtAG8AbgBpAGE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RQBuAHQAZQBjACAAVQByAGUAYQBcACIALABcACIAawBnAFwAIgAsADEALABcACIAWQBlAHMAXAAiACwAXAAiAFwAIgAsAFwAIgBcACIALAA0ADYALABcACIAXAAiACwAXAAiAFwAIgAsAFwAIgBcACIALABcACIAVQByAGUAYQBcACIALAAxACwAXAAiAFwAIgAsAFwAIgBcACIALABcACIAXAAiACwAXAAiAFwAIgAsAFwAIgBcACIALABcACIAXAAiACwAXAAiAFwAIgAsAFwAIgBcACIALABcACIAXAAiACwAXAAiAFwAIgAsAFwAIgBcACIALABcACIAXAAiACwAXAAiAFwAIgAsAFwAIgBcACIALABcACIAXAAiACwAXAAiAFwAIgAsAFwAIgBcACIALABcACIAXAAiADsAXABuAFwAIgBJAG4AYwBpAHQAZQBjACAAUABpAHYAbwB0ACAARgBlAHIAdABpAGwAaQBzAGUAcgBzACAAKABvAHIAIABSAGEAdgBlAG4AcwBkAG8AdwBuACAALQAgAHMAZQBlACAAbgBvAHQAZQApAFwAIgAsAFwAIgBGAGwAZQB4AGkALQBOACAATgBJACAAbwBuAGwAeQBcACIALABcACIAawBnAFwAIgAsADEALABcACIAWQBlAHMAXAAiACwAXAAiAFwAIgAsAFwAIgBcACIALAA0ADUALgA1ADQALABcACIAXAAiACwAXAAiAFwAIgAsAFwAIgBcACIALABcACIAVQByAGUAYQBcACIALAAwAC4AOQA5ACwAXAAiAFUAcgBlAGEAcwBlAC8AbgBpAHQAcgBpAGYAaQBjAGEAdABpAG8AbgAgAGkAbgBoAGkAYgBpAHQAbwByAFwAIgAsADAALgAwADEALABcACIAXAAiACwAXAAiAFwAIgAsAFwAIgBcACIALABcACIAXAAiACwAXAAiAFwAIgAsAFwAIgBcACIALABcACIAXAAiACwAXAAiAFwAIgAsAFwAIgBcACIALABcACIAXAAiACwAXAAiAFwAIgAsAFwAIgBcACIALABcACIAXAAiACwAXAAiAFwAIgAsAFwAIgBcACIALABcACIAXAAiADsAXABuAFwAIgBOAHUAdAByAGkALQBUAGUAYwBoACAAUwBvAGwAdQB0AGkAbwBuAHMAIAAoAE4AVABTACkAXAAiACwAXAAiAE0AdQByAGkAYQB0AGUAIABPAGYAIABQAG8AdABhAHMAaAAgAE0ATwBQAFwAIgAsAFwAIgBrAGcAXAAiACwAMQAsAFwAIgBcACIALABcACIAXAAiACwAXAAiAFwAIgAsAFwAIgBcACIALABcACIAXAAiACwANQAwACwAXAAiAFwAIgAsAFwAIgBNAHUAcgBpAGEAdABlACAAbwBmACAAcABvAHQAYQBzAGgAIAAoAE0ATwBQACkAXAAiACwAMQAsAFwAIgBcACIALABcACIAXAAiACwAXAAiAFwAIgAsAFwAIgBcACIALABcACIAXAAiACwAXAAiAFwAIgAsAFwAIgBcACIALABcACIAXAAiACwAXAAiAFwAIgAsAFwAIgBcACIALABcACIAXAAiACwAXAAiAFwAIgAsAFwAIgBcACIALABcACIAXAAiACwAXAAiAFwAIgAsAFwAIgBcACIALABcACIAXAAiACwAXAAiAFwAIgA7AFwAbgBcACIATgB1AHQAdQByAGYAXAAiACwAXAAiAE0AQQBQACAATgBVAFQAVQBSAEYAXAAiACwAXAAiAGsAZwBcACIALAAxACwAXAAiAFwAIgAsAFwAIgBcACIALABcACIAXAAiACwAMQAwACwAMgAxAC4AOQAsAFwAIgBcACIALABcACIAXAAiACwAXAAiAE0AbwBuAG8AYQBtAG0AbwBuAGkAdQBtACAAcABoAG8AcwBwAGgAYQB0AGUAIAAoAE0AQQBQACkAXAAiACwAMQAsAFwAIgBcACIALABcACIAXAAiACwAXAAiAFwAIgAsAFwAIgBcACIALABcACIAXAAiACwAXAAiAFwAIgAsAFwAIgBcACIALABcACIAXAAiACwAXAAiAFwAIgAsAFwAIgBcACIALABcACIAXAAiACwAXAAiAFwAIgAsAFwAIgBcACIALABcACIAXAAiACwAXAAiAFwAIgAsAFwAIgBcACIALABcACIAXAAiACwAXAAiAFwAIgA7AFwAbgBcACIAQwBhAG0AcABiAGUAbABsAHMAIABmAGUAcgB0AGkAbABpAHMAZQByAHMAIABBAHUAcwB0AHIAYQBsAGkAYQBcACIALABcACIAUQB1AGkAYwBrAC0ATgBcACIALABcACIAawBnAFwAIgAsADEALABcACIAXAAiACwAXAAiAFwAIgAsAFwAIgBcACIALAAyADYALABcACIAXAAiACwAXAAiAFwAIgAsADEAMwAsAFwAIgBTAHUAbABwAGgAYQB0AGUAIABvAGYAIABhAG0AbQBvAG4AaQBhACAAKABTAE8AQQApAFwAIgAsADAALgA1ADQAMQA2ADYANwAsAFwAIgBBAG0AbQBvAG4AaQB1AG0AIABuAGkAdAByAGEAdABlACAAKABBAE4AKQBcACIALAAwAC4ANAAzADMAOQA3ADYALABcACIAXAAiACwAXAAiAFwAIgAsAFwAIgBcACIALABcACIAXAAiACwAXAAiAFwAIgAsAFwAIgBcACIALABcACIAXAAiACwAXAAiAFwAIgAsAFwAIgBcACIALABcACIAXAAiACwAXAAiAFwAIgAsAFwAIgBcACIALABcACIAXAAiACwAXAAiAFwAIgAsAFwAIgBcACIALABcACIAXAAiADsAXABuAFwAIgBTAEwAVABFAEMAIABGAGUAcgB0AGkAbABpAHoAZQByAHMAXAAiACwAXAAiAFUAQQBTAFwAIgAsAFwAIgBMAFwAIgAsADEALgAyADMANQAsAFwAIgBcACIALABcACIAXAAiACwAXAAiAFwAIgAsADIANgAuADYALABcACIAXAAiACwAXAAiAFwAIgAsADYALgA3ACwAXAAiAFUAcgBlAGEAXAAiACwAMAAuADQANQAwADgAMQA1ACwAXAAiAFMAdQBsAHAAaABhAHQAZQAgAG8AZgAgAGEAbQBtAG8AbgBpAGEAIAAoAFMATwBBACkAXAAiACwAMAAuADIANwA5ADEANgA3ACwAXAAiAFwAIgAsAFwAIgBcACIALABcACIAXAAiACwAXAAiAFwAIgAsAFwAIgBcACIALABcACIAXAAiACwAXAAiAFwAIgAsAFwAIgBcACIALABcACIAXAAiACwAXAAiAFwAIgAsAFwAIgBcACIALABcACIAXAAiACwAXAAiAFwAIgAsAFwAIgBcACIALABcACIAXAAiACwAXAAiAFwAIgA7AFwAbgBcACIAUwBMAFQARQBDACAARgBlAHIAdABpAGwAaQB6AGUAcgBzAFwAIgAsAFwAIgBUAHIAaQBhAHoAbwBuAGUAIABVAHIAZQBhAFwAIgAsAFwAIgBMAFwAIgAsADEALgAyADgALABcACIAXAAiACwAXAAiAFwAIgAsAFwAIgBcACIALAAwACwAXAAiAFwAIgAsAFwAIgBcACIALABcACIAXAAiACwAXAAiAFUAcgBlAGEAXAAiACwAMAAuADYANQAyADEANwA0ACwAXAAiAFwAIgAsAFwAIgBcACIALABcACIAXAAiACwAXAAiAFwAIgAsAFwAIgBcACIALABcACIAXAAiACwAXAAiAFwAIgAsAFwAIgBcACIALABcACIAXAAiACwAXAAiAFwAIgAsAFwAIgBcACIALABcACIAXAAiACwAXAAiAFwAIgAsAFwAIgBcACIALABcACIAXAAiACwAXAAiAFwAIgAsAFwAIgBcACIALABcACIAXAAiADsAXABuAFwAIgBNAGEAcgBuAGMAbwAgAFsAbABpAHMAdABlAGQAIABhAHMAIABTAEwAVABFAEMAXQBcACIALABcACIAQQBtAG0AbwAgADMANgBOAFwAIgAsAFwAIgBrAGcAXAAiACwAMQAsAFwAIgBcACIALABcACIAXAAiACwAXAAiAFwAIgAsADMANgAsAFwAIgBcACIALABcACIAXAAiACwAOQAuADYALABcACIATgBpAHQAcgBvAGcAZQBuACAALQAgAEcAZQBuAGUAcgBpAGMAXAAiACwAMAAuADMANgAsAFwAIgBTAHUAbABmAHUAcgAgAC0AIABHAGUAbgBlAHIAaQBjAFwAIgAsADAALgAwADkANgAsAFwAIgBcACIALABcACIAXAAiACwAXAAiAFwAIgAsAFwAIgBcACIALABcACIAXAAiACwAXAAiAFwAIgAsAFwAIgBcACIALABcACIAXAAiACwAXAAiAFwAIgAsAFwAIgBcACIALABcACIAXAAiACwAXAAiAFwAIgAsAFwAIgBcACIALABcACIAXAAiACwAXAAiAFwAIgAsAFwAIgBcACIAOwBcAG4AXAAiAFIAaQBzAHMAbwAtAEMAaABlAG0AaQBjAGEAbABcACIALABcACIAUgBpAHMAcwBvACAATABpAHEAdQBpAGQAIABOAFAASwAgACgAMgAwADAALQAyADAAMAAtADIAMAAwACkAXAAiACwAXAAiAEwAXAAiACwAMQAuADMALABcACIAXAAiACwAXAAiAFwAIgAsAFwAIgBcACIALAAyADAALAA4AC4ANwAzACwAMQA2AC4ANgAsAFwAIgBcACIALABcACIATgBpAHQAcgBvAGcAZQBuACAALQAgAEcAZQBuAGUAcgBpAGMAXAAiACwAMAAuADIALABcACIAUABoAG8AcwBwAGgAbwByAHUAcwAgAC0AIABHAGUAbgBlAHIAaQBjAFwAIgAsADAALgAwADgANwAyADgALABcACIAUABvAHQAYQBzAHMAaQB1AG0AIAAtACAARwBlAG4AZQByAGkAYwBcACIALAAwAC4AMQA2ADYAMAAyACwAXAAiAFwAIgAsAFwAIgBcACIALABcACIAXAAiACwAXAAiAFwAIgAsAFwAIgBcACIALABcACIAXAAiACwAXAAiAFwAIgAsAFwAIgBcACIALABcACIAXAAiACwAXAAiAFwAIgAsAFwAIgBcACIALABcACIAXAAiACwAXAAiAFwAIgAsAFwAIgBcACIAOwBcAG4AXAAiAFQAdQByAGYAIABHAHIAbwB1AHAAIABBAHUAcwB0AHIAYQBsAGkAYQAgACgAUwBpAG0AcABsAG8AdAApAFwAIgAsAFwAIgBTAHUAcABlAHIAIABDAGEAbAAgADEANQAtADAALQAxADIAXAAiACwAXAAiAGsAZwBcACIALAAxACwAXAAiAFwAIgAsAFwAIgBcACIALABcACIAXAAiACwAMQA1ACwAXAAiAFwAIgAsADkALgA5ADYALABcACIAXAAiACwAXAAiAE4AaQB0AHIAbwBnAGUAbgAgAC0AIABOAGkAdAByAGEAdABlAFwAIgAsADAALgAwADgANAA3ADMANwAsAFwAIgBQAG8AdABhAHMAcwBpAHUAbQAgAC0AIABHAGUAbgBlAHIAaQBjAFwAIgAsADAALgAwADkAOQA2ADEAMgAsAFwAIgBDAGEAbABjAGkAdQBtACAAbgBpAHQAcgBhAHQAZQBcACIALAAwAC4ANAAyADEAMAA1ADMALABcACIATQBhAGcAbgBlAHMAaQB1AG0AXAAiACwAMAAuADAAMAA1ACwAXAAiAEIAbwByAG8AbgBcACIALAAwAC4AMAAwADAAMgAsAFwAIgBcACIALABcACIAXAAiACwAXAAiAFwAIgAsAFwAIgBcACIALABcACIAXAAiACwAXAAiAFwAIgAsAFwAIgBcACIALABcACIAXAAiACwAXAAiAFwAIgAsAFwAIgBcACIAOwBcAG4AXAAiAEkAbgBjAGkAdABlAGMAIABQAGkAdgBvAHQAIABGAGUAcgB0AGkAbABpAHMAZQByAHMAXAAiACwAXAAiAEMASwAgADgAOABcACIALABcACIAawBnAFwAIgAsADEALABcACIAXAAiACwAXAAiAFwAIgAsAFwAIgBcACIALAAxADUALgAxACwANAAuADQALAAxADEALgA1ACwAMQAzAC4ANgAsAFwAIgBOAGkAdAByAG8AZwBlAG4AIAAtACAARwBlAG4AZQByAGkAYwBcACIALAAwAC4AMQA1ADEALABcACIAUABoAG8AcwBwAGgAbwByAHUAcwAgAC0AIABHAGUAbgBlAHIAaQBjAFwAIgAsADAALgAwADQANAAsAFwAIgBQAG8AdABhAHMAcwBpAHUAbQAgAC0AIABHAGUAbgBlAHIAaQBjAFwAIgAsADAALgAxADEANQAsAFwAIgBTAHUAbABmAHUAcgAgAC0AIABHAGUAbgBlAHIAaQBjAFwAIgAsADAALgAxADMANgAsAFwAIgBcACIALABcACIAXAAiACwAXAAiAFwAIgAsAFwAIgBcACIALABcACIAXAAiACwAXAAiAFwAIgAsAFwAIgBcACIALABcACIAXAAiACwAXAAiAFwAIgAsAFwAIgBcACIALABcACIAXAAiACwAXAAiAFwAIgA7AFwAbgBcACIASQBuAGMAaQB0AGUAYwAgAFAAaQB2AG8AdAAgAEYAZQByAHQAaQBsAGkAcwBlAHIAcwBcACIALABcACIAQwByAG8AcABMAGkAZgB0ACAAMQA1AFwAIgAsAFwAIgBrAGcAXAAiACwAMQAsAFwAIgBcACIALABcACIAXAAiACwAXAAiAFwAIgAsADEANAAuADYALAAxADIALgAxACwAXAAiAFwAIgAsADEAMQAuADYALABcACIATgBpAHQAcgBvAGcAZQBuACAALQAgAEcAZQBuAGUAcgBpAGMAXAAiACwAMAAuADEANAA2ACwAXAAiAFAAaABvAHMAcABoAG8AcgB1AHMAIAAtACAARwBlAG4AZQByAGkAYwBcACIALAAwAC4AMQAyADEALABcACIAUwB1AGwAZgB1AHIAIAAtACAARwBlAG4AZQByAGkAYwBcACIALAAwAC4AMQAxADY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TgBQAEsAUwAgADEAOQAtADEAMwAtADAALQA5AFwAIgAsAFwAIgBrAGcAXAAiACwAMQAsAFwAIgBcACIALABcACIAXAAiACwAXAAiAFwAIgAsADEAOQAsADEAMwAsADAALAA5ACwAXAAiAE4AaQB0AHIAbwBnAGUAbgAgAC0AIABHAGUAbgBlAHIAaQBjAFwAIgAsADAALgAxADkALABcACIAUABoAG8AcwBwAGgAbwByAHUAcwAgAC0AIABHAGUAbgBlAHIAaQBjAFwAIgAsADAALgAxADMALABcACIAUwB1AGwAZgB1AHIAIAAtACAARwBlAG4AZQByAGkAYwBcACIALAAwAC4AMAA5ACwAXAAiAFwAIgAsAFwAIgBcACIALABcACIAXAAiACwAXAAiAFwAIgAsAFwAIgBcACIALABcACIAXAAiACwAXAAiAFwAIgAsAFwAIgBcACIALABcACIAXAAiACwAXAAiAFwAIgAsAFwAIgBcACIALABcACIAXAAiACwAXAAiAFwAIgAsAFwAIgBcACIAOwBcAG4AXAAiAEkAbgBjAGkAdABlAGMAIABQAGkAdgBvAHQAIABGAGUAcgB0AGkAbABpAHMAZQByAHMAXAAiACwAXAAiAFAAYQBzAHQAdQByAGUAQgBvAG8AcwB0AGEAXAAiACwAXAAiAGsAZwBcACIALAAxACwAXAAiAFwAIgAsAFwAIgBcACIALABcACIAXAAiACwAMgAzAC4AOAAsADMALgA3ACwAMQAzACwANAAuADEALABcACIATgBpAHQAcgBvAGcAZQBuACAALQAgAEcAZQBuAGUAcgBpAGMAXAAiACwAMAAuADIAMwA4ACwAXAAiAFAAaABvAHMAcABoAG8AcgB1AHMAIAAtACAARwBlAG4AZQByAGkAYwBcACIALAAwAC4AMAAzADcALABcACIAUABvAHQAYQBzAHMAaQB1AG0AIAAtACAARwBlAG4AZQByAGkAYwBcACIALAAwAC4AMQAzACwAXAAiAFMAdQBsAGYAdQByACAALQAgAEcAZQBuAGUAcgBpAGMAXAAiACwAMAAuADAANAAxACwAXAAiAFwAIgAsAFwAIgBcACIALABcACIAXAAiACwAXAAiAFwAIgAsAFwAIgBcACIALABcACIAXAAiACwAXAAiAFwAIgAsAFwAIgBcACIALABcACIAXAAiACwAXAAiAFwAIgAsAFwAIgBcACIALABcACIAXAAiADsAXABuAFwAIgBJAG4AYwBpAHQAZQBjACAAUABpAHYAbwB0ACAARgBlAHIAdABpAGwAaQBzAGUAcgBzAFwAIgAsAFwAIgBHAHIAZQBlAG4AdABvAHAAIABLAFwAIgAsAFwAIgBrAGcAXAAiACwAMQAsAFwAIgBcACIALABcACIAXAAiACwAXAAiAFwAIgAsADMAMgAuADgALABcACIAXAAiACwAMQAxACwAMgAuADkALABcACIAVQByAGUAYQBcACIALAAwAC4ANgA2ADAAOAA3ACwAXAAiAE4AaQB0AHIAbwBnAGUAbgAgAC0AIABBAG0AbQBvAG4AaQBhAGMAYQBsAFwAIgAsADAALgAwADIANAAsAFwAIgBQAG8AdABhAHMAcwBpAHUAbQAgAC0AIABHAGUAbgBlAHIAaQBjAFwAIgAsADAALgAxADEALABcACIAUwB1AGwAZgB1AHIAIAAtACAARwBlAG4AZQByAGkAYwBcACIALAAwAC4AMAAyADkALABcACIAXAAiACwAXAAiAFwAIgAsAFwAIgBcACIALABcACIAXAAiACwAXAAiAFwAIgAsAFwAIgBcACIALABcACIAXAAiACwAXAAiAFwAIgAsAFwAIgBcACIALABcACIAXAAiACwAXAAiAFwAIgAsAFwAIgBcACIAOwBcAG4AXAAiAEkAbgBjAGkAdABlAGMAIABQAGkAdgBvAHQAIABGAGUAcgB0AGkAbABpAHMAZQByAHMAXAAiACwAXAAiAEgAYQB5AEIAbwBvAHMAdABhAFwAIgAsAFwAIgBrAGcAXAAiACwAMQAsAFwAIgBcACIALABcACIAXAAiACwAXAAiAFwAIgAsADEAMQAuADcALAA0AC4ANwAsADIAMwAuADkALAA0AC4ANgAsAFwAIgBOAGkAdAByAG8AZwBlAG4AIAAtACAARwBlAG4AZQByAGkAYwBcACIALAAwAC4AMQAxADcALABcACIAUABoAG8AcwBwAGgAbwByAHUAcwAgAC0AIABHAGUAbgBlAHIAaQBjAFwAIgAsADAALgAwADQANwAsAFwAIgBQAG8AdABhAHMAcwBpAHUAbQAgAC0AIABHAGUAbgBlAHIAaQBjAFwAIgAsADAALgAyADMAOQAsAFwAIgBTAHUAbABmAHUAcgAgAC0AIABHAGUAbgBlAHIAaQBjAFwAIgAsADAALgAwADQANgAsAFwAIgBcACIALABcACIAXAAiACwAXAAiAFwAIgAsAFwAIgBcACIALABcACIAXAAiACwAXAAiAFwAIgAsAFwAIgBcACIALABcACIAXAAiACwAXAAiAFwAIgAsAFwAIgBcACIALABcACIAXAAiACwAXAAiAFwAIgBcAG4AIAAgAH0ALAAgAHIALAAgAGMAKQBcAG4AIAApACkAKQBcAG4AXABuAFwAbgBGAGUAcgB0AGkAbABpAHMAZQByAF8AUAByAG8AZAB1AGMAdABzAF8ARABhAHQAYQA0AFwAbgA9AEwAQQBNAEIARABBACgAXABuACAATQBBAEsARQBBAFIAUgBBAFkAKAAzADAALAAgADMAMQAsAFwAbgAgAEwAQQBNAEIARABBACgAcgAsAGMALABcAG4AIAAgAEkATgBEAEUAWAAoAHsAXABuAFwAIgBJAG0AcABhAGMAdAAgAEYAZQByAHQAaQBsAGkAcwBlAHIAcwBcACIALABcACIASQBtAHAAYQBjAHQAIABTAHUAcABlAHIAIABQAG8AdABhAHMAaAAgADEAXAB1ADAAMAAyADYAMQBcACIALABcACIAawBnAFwAIgAsADEALABcACIAXAAiACwAXAAiAFwAIgAsAFwAIgBcACIALABcACIAXAAiACwANAAuADQALAAyADUALAA1AC4ANQAsAFwAIgBTAGkAbgBnAGwAZQAgAHMAdQBwAGUAcgBwAGgAbwBzAHAAaABhAHQAZQAgACgAUwBTAFAAKQBcACIALAAwAC4ANQAsAFwAIgBNAHUAcgBpAGEAdABlACAAbwBmACAAcABvAHQAYQBzAGgAIAAoAE0ATwBQACkAXAAiACwAMAAu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IAXAB1ADAAMAAyADYAMQBcACIALABcACIAawBnAFwAIgAsADEALABcACIAXAAiACwAXAAiAFwAIgAsAFwAIgBcACIALABcACIAXAAiACwANQAuADgANAAsADEANgAuADgALAA3AC4AMgA5ACwAXAAiAFMAaQBuAGcAbABlACAAcwB1AHAAZQByAHAAaABvAHMAcABoAGEAdABlACAAKABTAFMAUAApAFwAIgAsADAALgA2ADYAMwAxADUAOAAsAFwAIgBNAHUAcgBpAGEAdABlACAAbwBmACAAcABvAHQAYQBzAGgAIAAoAE0ATwBQACkAXAAiACwAMAAuADMAMwA2ACwAXAAiAFwAIgAsAFwAIgBcACIALABcACIAXAAiACwAXAAiAFwAIgAsAFwAIgBcACIALABcACIAXAAiACwAXAAiAFwAIgAsAFwAIgBcACIALABcACIAXAAiACwAXAAiAFwAIgAsAFwAIgBcACIALABcACIAXAAiACwAXAAiAFwAIgAsAFwAIgBcACIALABcACIAXAAiACwAXAAiAFwAIgA7AFwAbgBcACIASQBtAHAAYQBjAHQAIABGAGUAcgB0AGkAbABpAHMAZQByAHMAXAAiACwAXAAiAEkAbQBwAGEAYwB0ACAAUwB1AHAAZQByACAAUABvAHQAYQBzAGgAIAAzAFwAdQAwADAAMgA2ADEAXAAiACwAXAAiAGsAZwBcACIALAAxACwAXAAiAFwAIgAsAFwAIgBcACIALABcACIAXAAiACwAXAAiAFwAIgAsADYALgA1ADgALAAxADIALgA1ACwAOAAuADIAMgAsAFwAIgBTAGkAbgBnAGwAZQAgAHMAdQBwAGUAcgBwAGgAbwBzAHAAaABhAHQAZQAgACgAUwBTAFAAKQBcACIALAAwAC4ANwA0ADcAMwA2ADgALABcACIATQB1AHIAaQBhAHQAZQAgAG8AZgAgAHAAbwB0AGEAcwBoACAAKABNAE8AUAApAFwAIgAsADAALgAyADUALABcACIAXAAiACwAXAAiAFwAIgAsAFwAIgBcACIALABcACIAXAAiACwAXAAiAFwAIgAsAFwAIgBcACIALABcACIAXAAiACwAXAAiAFwAIgAsAFwAIgBcACIALABcACIAXAAiACwAXAAiAFwAIgAsAFwAIgBcACIALABcACIAXAAiACwAXAAiAFwAIgAsAFwAIgBcACIALABcACIAXAAiADsAXABuAFwAIgBJAG0AcABhAGMAdAAgAEYAZQByAHQAaQBsAGkAcwBlAHIAcwBcACIALABcACIASQBtAHAAYQBjAHQAIABTAHUAcABlAHIAIABQAG8AdABhAHMAaAAgADQAXAB1ADAAMAAyADYAMQBcACIALABcACIAawBnAFwAIgAsADEALABcACIAXAAiACwAXAAiAFwAIgAsAFwAIgBcACIALABcACIAXAAiACwANwAuADAANAAsADEAMAAsADgALgA4ACwAXAAiAFMAaQBuAGcAbABlACAAcwB1AHAAZQByAHAAaABvAHMAcABoAGEAdABlACAAKABTAFMAUAApAFwAIgAsADAALgA4ACwAXAAiAE0AdQByAGkAYQB0AGUAIABvAGYAIABwAG8AdABhAHMAaAAgACgATQBPAFAAKQBcACIALAAwAC4AMgAsAFwAIgBcACIALABcACIAXAAiACwAXAAiAFwAIgAsAFwAIgBcACIALABcACIAXAAiACwAXAAiAFwAIgAsAFwAIgBcACIALABcACIAXAAiACwAXAAiAFwAIgAsAFwAIgBcACIALABcACIAXAAiACwAXAAiAFwAIgAsAFwAIgBcACIALABcACIAXAAiACwAXAAiAFwAIgAsAFwAIgBcACIAOwBcAG4AXAAiAEkAbQBwAGEAYwB0ACAARgBlAHIAdABpAGwAaQBzAGUAcgBzAFwAIgAsAFwAIgBJAG0AcABhAGMAdAAgAFMAdQBwAGUAcgAgAFAAbwB0AGEAcwBoACAANQBcAHUAMAAwADIANgAxAFwAIgAsAFwAIgBrAGcAXAAiACwAMQAsAFwAIgBcACIALABcACIAXAAiACwAXAAiAFwAIgAsAFwAIgBcACIALAA3AC4AMwAyACwAOAAuADQALAA5AC4AMQA1ACwAXAAiAFMAaQBuAGcAbABlACAAcwB1AHAAZQByAHAAaABvAHMAcABoAGEAdABlACAAKABTAFMAUAApAFwAIgAsADAALgA4ADMAMQA1ADcAOQAsAFwAIgBNAHUAcgBpAGEAdABlACAAbwBmACAAcABvAHQAYQBzAGgAIAAoAE0ATwBQACkAXAAiACwAMAAuADEANgA4ACwAXAAiAFwAIgAsAFwAIgBcACIALABcACIAXAAiACwAXAAiAFwAIg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FwAIgAsAFwAIgBrAGcAXAAiACwAMQAsAFwAIgBcACIALABcACIAXAAiACwAXAAiAFwAIgAsADIAMwAuADkALABcACIAXAAiACwAXAAiAFwAIgAsADEAMAAuADgALABcACIATgBpAHQAcgBvAGcAZQBuACAALQAgAE4AaQB0AHIAYQB0AGUAXAAiACwAMAAuADAANwA0ACwAXAAiAE4AaQB0AHIAbwBnAGUAbgAgAC0AIABBAG0AbQBvAG4AaQBhAGMAYQBsAFwAIgAsADAALgAxADYANQAsAFwAIgBTAHUAbABmAHUAcgAgAC0AIABHAGUAbgBlAHIAaQBjAFwAIgAsADAALgAxADAAOAAsAFwAIgBDAGEAbABjAGkAdQBtAFwAIgAsADAALgAwADQANAAsAFwAIgBcACIALABcACIAXAAi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NQAwAC8ANQAwAFwAIgAsAFwAIgBrAGcAXAAiACwAMQAsAFwAIgBcACIALABcACIAXAAiACwAXAAiAFwAIgAsADEANwAuADkALABcACIAXAAiACwAMQA1ACwAMwAuADYALABcACIATgBpAHQAcgBvAGcAZQBuACAALQAgAE4AaQB0AHIAYQB0AGUAXAAiACwAMAAuADAANQA1ACwAXAAiAE4AaQB0AHIAbwBnAGUAbgAgAC0AIABBAG0AbQBvAG4AaQBhAGMAYQBsAFwAIgAsADAALgAxADIANAAsAFwAIgBQAG8AdABhAHMAcwBpAHUAbQAgAC0AIABHAGUAbgBlAHIAaQBjAFwAIgAsADAALgAxADUALABcACIAUwB1AGwAZgB1AHIAIAAtACAARwBlAG4AZQByAGkAYwBcACIALAAwAC4AMAAzADYALABcACIAQwBhAGwAYwBpAHUAbQBcACIALAAwAC4AMAA0ADQALABcACIAXAAiACwAXAAiAFwAIg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A1ADAALwA1ADAAIAAoAFMAKQBcACIALABcACIAawBnAFwAIgAsADEALABcACIAXAAiACwAXAAiAFwAIgAsAFwAIgBcACIALAAxADYALgA5ACwAXAAiAFwAIgAsADEANAAuADQALAA4AC4ANwAsAFwAIgBOAGkAdAByAG8AZwBlAG4AIAAtACAATgBpAHQAcgBhAHQAZQBcACIALAAwAC4AMAA1ADIALABcACIATgBpAHQAcgBvAGcAZQBuACAALQAgAEEAbQBtAG8AbgBpAGEAYwBhAGwAXAAiACwAMAAuADEAMQA3ACwAXAAiAFAAbwB0AGEAcwBzAGkAdQBtACAALQAgAEcAZQBuAGUAcgBpAGMAXAAiACwAMAAuADEANAA0ACwAXAAiAFMAdQBsAGYAdQByACAALQAgAEcAZQBuAGUAcgBpAGMAXAAiACwAMAAuADAAOAA3ACwAXAAiAEMAYQBsAGMAaQB1AG0AXAAiACwAMAAuADAANAA0ACwAXAAiAFwAIgAsAFwAIgBcACI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zADAAXAAiACwAXAAiAGsAZwBcACIALAAxACwAXAAiAFwAIgAsAFwAIgBcACIALABcACIAXAAiACwAMQA4AC4AOAAsADEALAAxADIALgA1ACwAMwAuADcALABcACIATgBpAHQAcgBvAGcAZQBuACAALQAgAE4AaQB0AHIAYQB0AGUAXAAiACwAMAAuADAANQA4ACwAXAAiAE4AaQB0AHIAbwBnAGUAbgAgAC0AIABBAG0AbQBvAG4AaQBhAGMAYQBsAFwAIgAsADAALgAxADMALABcACIAUABoAG8AcwBwAGgAbwByAHUAcwAgAC0AIABHAGUAbgBlAHIAaQBjAFwAIgAsADAALgAwADEALABcACIAUABvAHQAYQBzAHMAaQB1AG0AIAAtACAARwBlAG4AZQByAGkAYwBcACIALAAwAC4AMQAyADUALABcACIAUwB1AGwAZgB1AHIAIAAtACAARwBlAG4AZQByAGkAYwBcACIALAAwAC4AMAAzADcALABcACIAQwBhAGwAYwBpAHUAbQBcACIALAAwAC4AMAA0ADQALABcACIAXAAiACwAXAAiAFwAIgAsAFwAIgBcACIALABcACIAXAAiACwAXAAiAFwAIgAsAFwAIgBcACIALABcACIAXAAiACwAXAAiAFwAIgA7AFwAbgBcACIAUABhAGMAaQBmAGkAYwAgAEYAZQByAHQAaQBsAGkAcwBlAHIAIAAvACAASQBuAGMAaQB0AGUAYwAgAFAAaQB2AG8AdAAgAEYAZQByAHQAaQBsAGkAcwBlAHIAcwBcACIALABcACIAQwBhAGwALQBHAHIAYQBuACAAMQA1ADAAXAAiACwAXAAiAGsAZwBcACIALAAxACwAXAAiAFwAIgAsAFwAIgBcACIALABcACIAXAAiACwAMQA4AC4ANgAsADMALAAxADIALgA1ACwAMQAuADQALABcACIATgBpAHQAcgBvAGcAZQBuACAALQAgAE4AaQB0AHIAYQB0AGUAXAAiACwAMAAuADAANQA4ACwAXAAiAE4AaQB0AHIAbwBnAGUAbgAgAC0AIABBAG0AbQBvAG4AaQBhAGMAYQBsAFwAIgAsADAALgAxADIAOAAsAFwAIgBQAGgAbwBzAHAAaABvAHIAdQBzACAALQAgAEcAZQBuAGUAcgBpAGMAXAAiACwAMAAuADAAMwAsAFwAIgBQAG8AdABhAHMAcwBpAHUAbQAgAC0AIABHAGUAbgBlAHIAaQBjAFwAIgAsADAALgAxADIANQAsAFwAIgBTAHUAbABmAHUAcgAgAC0AIABHAGUAbgBlAHIAaQBjAFwAIgAsADAALgAwADEANAAsAFwAIgBDAGEAbABjAGkAdQBtAFwAIgAsADAALgAwADQANAAsAFwAIgBcACIALABcACIAXAAiACwAXAAiAFwAIgAsAFwAIgBcACIALABcACIAXAAiACwAXAAiAFwAIgAsAFwAIgBcACIALABcACIAXAAiADsAXABuAFwAIgBQAGEAYwBpAGYAaQBjACAARgBlAHIAdABpAGwAaQBzAGUAcgAgAC8AIABJAG4AYwBpAHQAZQBjACAAUABpAHYAbwB0ACAARgBlAHIAdABpAGwAaQBzAGUAcgBzAFwAIgAsAFwAIgBDAGEAbAAtAEcAcgBhAG4AIABFAHgAdAByAGEAIABLAFwAIgAsAFwAIgBrAGcAXAAiACwAMQAsAFwAIgBcACIALABcACIAXAAiACwAXAAiAFwAIgAsADEANQAuADgALABcACIAXAAiACwAMQA5ACwAMwAuADIALABcACIATgBpAHQAcgBvAGcAZQBuACAALQAgAE4AaQB0AHIAYQB0AGUAXAAiACwAMAAuADAANAA5ACwAXAAiAE4AaQB0AHIAbwBnAGUAbgAgAC0AIABBAG0AbQBvAG4AaQBhAGMAYQBsAFwAIgAsADAALgAxADAAOQAsAFwAIgBQAG8AdABhAHMAcwBpAHUAbQAgAC0AIABHAGUAbgBlAHIAaQBjAFwAIgAsADAALgAxADkALABcACIAUwB1AGwAZgB1AHIAIAAtACAARwBlAG4AZQByAGkAYwBcACIALAAwAC4AMAAzADIALABcACIAQwBhAGwAYwBpAHUAbQBcACIALAAwAC4AMAAzADkALABcACIAXAAiACwAXAAiAFwAIgAsAFwAIgBcACIALABcACIAXAAiACwAXAAiAFwAIgAsAFwAIgBcACIALABcACIAXAAiACwAXAAiAFwAIgAsAFwAIgBcACIALABcACIAXAAiADsAXABuAFwAIgBJAG4AYwBpAHQAZQBjACAAUABpAHYAbwB0ACAARgBlAHIAdABpAGwAaQBzAGUAcgBzAFwAIgAsAFwAIgBEAGEAaQByAHkAIABQAHIAbwBcACIALABcACIAawBnAFwAIgAsADEALABcACIAXAAiACwAXAAiAFwAIgAsAFwAIgBcACIALAAyADUALgA5ACwAMwAuADkALAAxADUALgA5ACwAMAAuADMALABcACIATgBpAHQAcgBvAGcAZQBuACAALQAgAEcAZQBuAGUAcgBpAGMAXAAiACwAMAAuADIANQA5ACwAXAAiAFAAaABvAHMAcABoAG8AcgB1AHMAIAAtACAARwBlAG4AZQByAGkAYwBcACIALAAwAC4AMAAzADkALABcACIAUABvAHQAYQBzAHMAaQB1AG0AIAAtACAARwBlAG4AZQByAGkAYwBcACIALAAwAC4AMQA1ADkALABcACIAUwB1AGwAZgB1AHIAIAAtACAARwBlAG4AZQByAGkAYwBcACIALAAwAC4AMAAwADMALABcACIAXAAiACwAXAAiAFwAIgAsAFwAIgBcACIALABcACIAXAAiACwAXAAiAFwAIgAsAFwAIgBcACIALABcACIAXAAiACwAXAAiAFwAIgAsAFwAIgBcACIALABcACIAXAAiACwAXAAiAFwAIgAsAFwAIgBcACIAOwBcAG4AXAAiAFkAYQByAGEAIABBAHUAcwB0AHIAYQBsAGkAYQBcACIALABcACIAWQBhAHIAYQBNAGkAbABhACAAQQBDAFQAWQBWAEEAIABTAFwAIgAsAFwAIgBrAGcAXAAiACwAMQAsAFwAIgBcACIALABcACIAXAAiACwAXAAiAFwAIgAsADEANQAuADYALAA2AC4AMwA3ACwAMQAyAC4ANAA1ACwAMgAuADYALABcACIATgBpAHQAcgBvAGcAZQBuACAALQAgAE4AaQB0AHIAYQB0AGUAXAAiACwAMAAuADAANQA4ACwAXAAiAE4AaQB0AHIAbwBnAGUAbgAgAC0AIABBAG0AbQBvAG4AaQBhAGMAYQBsAFwAIgAsADAALgAwADkAOAAsAFwAIgBQAGgAbwBzAHAAaABvAHIAdQBzACAALQAgAEcAZQBuAGUAcgBpAGMAXAAiACwAMAAuADAANgAzADcAMQA0ACwAXAAiAFAAbwB0AGEAcwBzAGkAdQBtACAALQAgAEcAZQBuAGUAcgBpAGMAXAAiACwAMAAuADEAMgA0ADUAMQA1ACwAXAAiAFMAdQBsAGYAdQByACAALQAgAEcAZQBuAGUAcgBpAGMAXAAiACwAMAAuADAAMgA2ACwAXAAiAFwAIgAsAFwAIgBcACIALABcACIAXAAiACwAXAAiAFwAIgAsAFwAIgBcACIALABcACIAXAAiACwAXAAiAFwAIgAsAFwAIgBcACIALABcACIAXAAiACwAXAAiAFwAIgA7AFwAbgBcACIAQwBTAEIAUABcACIALABcACIAQQBnAGYAbABvAHcAIABFAHgAdAByAGEAXAAiACwAXAAiAGsAZwBcACIALAAxACwAXAAiAFwAIgAsAFwAIgBcACIALABcACIAXAAiACwAMQAxAC4AMQA1ACwAMQA3AC4ANQAyACwAXAAiAFwAIgAsADMALgA2ACwAXAAiAE0AbwBuAG8AYQBtAG0AbwBuAGkAdQBtACAAcABoAG8AcwBwAGgAYQB0AGUAIAAoAE0AQQBQACkAXAAiACwAMAAuADgALABcACIAUwB1AGwAcABoAGEAdABlACAAbwBmACAAYQBtAG0AbwBuAGkAYQAgACgAUwBPAEEAKQBcACIALAAwAC4AMQA1ACwAXAAiAEMAbwBwAHAAZQByAFwAIgAsAFwAIgBOAG8AIABkAGEAdABhAFwAIgAsAFwAIgBNAG8AbAB5AGIAZABlAG4AdQBtAFwAIgAsAFwAIgBOAG8AIABkAGEAdABhAFwAIgAsAFwAIgBaAGkAbgBjAFwAIgAsAFwAIgBOAG8AIABkAGEAdABhAFwAIgAsAFwAIgBcACIALABcACIAXAAiACwAXAAiAFwAIgAsAFwAIgBcACIALABcACIAXAAiACwAXAAiAFwAIgAsAFwAIgBcACIALABcACIAXAAiACwAXAAiAFwAIgAsAFwAIgBcACIAOwBcAG4AXAAiAEMAUwBCAFAAXAAiACwAXAAiAFMAdQBwAGUAcgAgAFwAdQAwADAAMgA2ACAAUABvAHQAYQBzAGgAIAAzADoAMQBcACIALABcACIAawBnAFwAIgAsADEALABcACIAXAAiACwAXAAiAFwAIgAsAFwAIgBcACIALABcACIAXAAiACwANQAuADUALAAxADUALAA2AC4AOAA4ACwAXAAiAFMAaQBuAGcAbABlACAAcwB1AHAAZQByAHAAaABvAHMAcABoAGEAdABlACAAKABTAFMAUAApAFwAIgAsADAALgA2ADIANQAsAFwAIgBNAHUAcgBpAGEAdABlACAAbwBmACAAcABvAHQAYQBzAGgAIAAoAE0ATwBQACkAXAAiACwAMAAuADMALABcACIAXAAiACwAXAAiAFwAIgAsAFwAIgBcACIALABcACIAXAAiACwAXAAiAFwAIgAsAFwAIgBcACIALABcACIAXAAiACwAXAAiAFwAIgAsAFwAIgBcACIALABcACIAXAAiACwAXAAiAFwAIgAsAFwAIgBcACIALABcACIAXAAiACwAXAAiAFwAIgAsAFwAIgBcACIALABcACIAXAAiADsAXABuAFwAIgBZAGEAcgBhAFwAIgAsAFwAIgBZAGEAcgBhAEIAZQBsAGEAIABDAEEATgAtADIANwBcACIALABcACIAawBnAFwAIgAsADEALABcACIAXAAiACwAXAAiAFwAIgAsAFwAIgBcACIALAAyADcALABcACIAXAAiACwAXAAiAFwAIgAsAFwAIgBcACIALABcACIAQwBhAGwAYwBpAHUAbQAgAGEAbQBtAG8AbgBpAHUAbQAgAG4AaQB0AHIAYQB0AGUAIAAoAEMAQQBOACkAXAAiACwAMQAsAFwAIgBcACIALABcACIAXAAiACwAXAAiAFwAIgAsAFwAIgBcACIALABcACIAXAAiACwAXAAiAFwAIgAsAFwAIgBcACIALABcACIAXAAiACwAXAAiAFwAIgAsAFwAIgBcACIALABcACIAXAAiACwAXAAiAFwAIgAsAFwAIgBcACIALABcACIAXAAiACwAXAAiAFwAIgAsAFwAIgBcACIALABcACIAXAAiACwAXAAiAFwAIgA7AFwAbgBcACIASQBuAGMAaQB0AGUAYwAgAFAAaQB2AG8AdAAgAEYAZQByAHQAaQBsAGkAcwBlAHIAcwBcACIALABcACIAQwBhAGwALQBHAHIAYQBuACAAQQBmAHQAZQByAGcAcgBhAHoAZQBcACIALABcACIAawBnAFwAIgAsADEALABcACIAXAAiACwAXAAiAFwAIgAsAFwAIgBcACIALAAyADAALgA2ACwAMwAsADcALgA1ACwAMwAuADgALABcACIATgBpAHQAcgBvAGcAZQBuACAALQAgAE4AaQB0AHIAYQB0AGUAXAAiACwAMAAuADAANgA0ACwAXAAiAE4AaQB0AHIAbwBnAGUAbgAgAC0AIABBAG0AbQBvAG4AaQBhAGMAYQBsAFwAIgAsADAALgAxADQAMgAsAFwAIgBQAGgAbwBzAHAAaABvAHIAdQBzACAALQAgAEcAZQBuAGUAcgBpAGMAXAAiACwAMAAuADAAMwAsAFwAIgBQAG8AdABhAHMAcwBpAHUAbQAgAC0AIABHAGUAbgBlAHIAaQBjAFwAIgAsADAALgAwADcANQAsAFwAIgBTAHUAbABmAHUAcgAgAC0AIABHAGUAbgBlAHIAaQBjAFwAIgAsADAALgAwADMAOAAsAFwAIgBDAGEAbABjAGkAdQBtAFwAIgAsADAALgAwADQANAAsAFwAIgBcACIALABcACIAXAAiACwAXAAiAFwAIgAsAFwAIgBcACIALABcACIAXAAiACwAXAAiAFwAIgAsAFwAIgBcACIALABcACIAXAAiADsAXABuAFwAIgBJAG4AYwBpAHQAZQBjACAAUABpAHYAbwB0ACAARgBlAHIAdABpAGwAaQBzAGUAcgBzAFwAIgAsAFwAIgBDAGEAbAAtAEcAcgBhAG4AIABQAHIAbwBkAHIAZQBzAHMAXAAiACwAXAAiAGsAZwBcACIALAAxACwAXAAiAFwAIgAsAFwAIgBcACIALABcACIAXAAiACwAMQA3AC4AOAAsADEALAAxADUALAAyAC4ANQAsAFwAIgBOAGkAdAByAG8AZwBlAG4AIAAtACAATgBpAHQAcgBhAHQAZQBcACIALAAwAC4AMAA1ADUALABcACIATgBpAHQAcgBvAGcAZQBuACAALQAgAEEAbQBtAG8AbgBpAGEAYwBhAGwAXAAiACwAMAAuADEAMgAzACwAXAAiAFAAaABvAHMAcABoAG8AcgB1AHMAIAAtACAARwBlAG4AZQByAGkAYwBcACIALAAwAC4AMAAxACwAXAAiAFAAbwB0AGEAcwBzAGkAdQBtACAALQAgAEcAZQBuAGUAcgBpAGMAXAAiACwAMAAuADEANQAsAFwAIgBTAHUAbABmAHUAcgAgAC0AIABHAGUAbgBlAHIAaQBjAFwAIgAsADAALgAwADIANQAsAFwAIgBDAGEAbABjAGkAdQBtAFwAIgAsADAALgAwADQANAAsAFwAIgBcACIALABcACIAXAAiACwAXAAiAFwAIgAsAFwAIgBcACIALABcACIAXAAiACwAXAAiAFwAIgAsAFwAIgBcACIALABcACIAXAAiADsAXABuAFwAIgBXAGUAbgBnAGYAdQAgAEEAdQBzAHQAcgBhAGwAaQBhAFwAIgAsAFwAIgBXAGUAbgBnAGYAdQAgAFAAcgBpAG0AZQBaAGkAbgBjACAAMQAwAFwAIgAsAFwAIgBrAGcAXAAiACwAMQAsAFwAIgBcACIALABcACIAXAAiACwAXAAiAFwAIgAsADEAMAAsADIAMgAsAFwAIgBcACIALAAxAC4ANQAsAFwAIgBOAGkAdAByAG8AZwBlAG4AIAAtACAARwBlAG4AZQByAGkAYwBcACIALAAwAC4AMQAsAFwAIgBQAGgAbwBzAHAAaABvAHIAdQBzACAALQAgAEcAZQBuAGUAcgBpAGMAXAAiACwAMAAuADIAMgAsAFwAIgBTAHUAbABmAHUAcgAgAC0AIABHAGUAbgBlAHIAaQBjAFwAIgAsADAALgAwADEANQAsAFwAIgBaAGkAbgBjAFwAIgAsADAALgAwADEALABcACIAXAAiACwAXAAiAFwAIgAsAFwAIgBcACIALABcACIAXAAiACwAXAAiAFwAIgAsAFwAIgBcACIALABcACIAXAAiACwAXAAiAFwAIgAsAFwAIgBcACIALABcACIAXAAiACwAXAAiAFwAIgAsAFwAIgBcACIAOwBcAG4AXAAiAFcAZQBuAGcAZgB1ACAAQQB1AHMAdAByAGEAbABpAGEAXAAiACwAXAAiAFcAZQBuAGcAZgB1ACAAUABhAHMAdAB1AHIAZQAgAEsAaQBuAGcAXAAiACwAXAAiAGsAZwBcACIALAAxACwAXAAiAFwAIgAsAFwAIgBcACIALABcACIAXAAiACwAXAAiAFwAIgAsADEANQAuADcALABcACIAXAAiACwANAAuADYALABcACIAUABoAG8AcwBwAGgAbwByAHUAcwAgAC0AIABHAGUAbgBlAHIAaQBjAFwAIgAsADAALgAxADUANwAsAFwAIgBTAHUAbABmAHUAcgAgAC0AIABHAGUAbgBlAHIAaQBjAFwAIgAsADAALgAwADQANgAsAFwAIgBDAGEAbABjAGkAdQBtAFwAIgAsADAALgAxADQALABcACIAXAAiACwAXAAiAFwAIgAsAFwAIgBcACIALABcACIAXAAiACwAXAAiAFwAIgAsAFwAIgBcACIALABcACIAXAAiACwAXAAiAFwAIgAsAFwAIgBcACIALABcACIAXAAiACwAXAAiAFwAIgAsAFwAIgBcACIALABcACIAXAAiACwAXAAiAFwAIgA7AFwAbgBcACIAVwBlAG4AZwBmAHUAIABBAHUAcwB0AHIAYQBsAGkAYQBcACIALABcACIAVwBlAG4AZwBmAHUAIABTAHUAUwB0AGEAaQBuAFwAIgAsAFwAIgBrAGcAXAAiACwAMQAsAFwAIgBcACIALABcACIAXAAiACwAXAAiAFwAIgAsAFwAIgBcACIALABcACIAXAAiACwAXAAiAFwAIgAsADkAMAAsAFwAIgBTAHUAbABmAHUAcgAgAC0AIABHAGUAbgBlAHIAaQBjAFwAIgAsADAALgA5ACwAXAAiAFwAIgAsAFwAIgBcACIALABcACIAXAAiACwAXAAiAFwAIgAsAFwAIgBcACIALABcACIAXAAiACwAXAAiAFwAIgAsAFwAIgBcACIALABcACIAXAAiACwAXAAiAFwAIgAsAFwAIgBcACIALABcACIAXAAiACwAXAAiAFwAIgAsAFwAIgBcACIALABcACIAXAAiACwAXAAiAFwAIgAsAFwAIgBcACIALABcACIAXAAiADsAXABuAFwAIgBXAGUAbgBnAGYAdQAgAEEAdQBzAHQAcgBhAGwAaQBhAFwAIgAsAFwAIgBXAGUAbgBnAGYAdQAgAFMAbABhAG0AXAAiACwAXAAiAGsAZwBcACIALAAxACwAXAAiAFwAIgAsAFwAIgBcACIALABcACIAXAAiACwAMQA5AC4ANQAsADAALgA3ACwAXAAiAFwAIgAsADIAMwAsAFwAIgBOAGkAdAByAG8AZwBlAG4AIAAtACAARwBlAG4AZQByAGkAYwBcACIALAAwAC4AMQA5ADUALABcACIAUABoAG8AcwBwAGgAbwByAHUAcwAgAC0AIABHAGUAbgBlAHIAaQBjAFwAIgAsADAALgAwADAANwAsAFwAIgBTAHUAbABmAHUAcgAgAC0AIABHAGUAbgBlAHIAaQBjAFwAIgAsADAALgAyADMALABcACIAXAAiACwAXAAiAFwAIgAsAFwAIgBcACIALABcACIAXAAiACwAXAAiAFwAIgAsAFwAIgBcACIALABcACIAXAAiACwAXAAiAFwAIgAsAFwAIgBcACIALABcACIAXAAiACwAXAAiAFwAIgAsAFwAIgBcACIALABcACIAXAAiACwAXAAiAFwAIgA7AFwAbgBcACIAVwBlAG4AZwBmAHUAIABBAHUAcwB0AHIAYQBsAGkAYQBcACIALABcACIAVwBlAG4AZwBmAHUAIABQAHIAaQBtAGUAIABNAFMAWgBcACIALABcACIAawBnAFwAIgAsADEALABcACIAXAAiACwAXAAiAFwAIgAsAFwAIgBcACIALAAxADAALAAxADgALABcACIAXAAiACwAOAAsAFwAIgBOAGkAdAByAG8AZwBlAG4AIAAtACAARwBlAG4AZQByAGkAYwBcACIALAAwAC4AMQAsAFwAIgBQAGgAbwBzAHAAaABvAHIAdQBzACAALQAgAEcAZQBuAGUAcgBpAGMAXAAiACwAMAAuADEAOAAsAFwAIgBTAHUAbABmAHUAcgAgAC0AIABHAGUAbgBlAHIAaQBjAFwAIgAsADAALgAwADgALABcACIAWgBpAG4AYwBcACIALAAwAC4AMAAwADUALABcACIAXAAiACwAXAAiAFwAIgAsAFwAIgBcACIALABcACIAXAAiACwAXAAiAFwAIgAsAFwAIgBcACIALABcACIAXAAiACwAXAAiAFwAIgAsAFwAIgBcACIALABcACIAXAAiACwAXAAiAFwAIgAsAFwAIgBcACIAOwBcAG4AXAAiAFcAZQBuAGcAZgB1ACAAQQB1AHMAdAByAGEAbABpAGEAXAAiACwAXAAiAFcAZQBuAGcAZgB1ACAAOQAtADIAMAAtADAALQAxADAAIABNAEEAUAAgAFMAdQBTAHQAYQBpAG4AXAAiACwAXAAiAGsAZwBcACIALAAxACwAXAAiAFwAIgAsAFwAIgBcACIALABcACIAXAAiACwAOQAsADEAOQAuADgALAAwACwAMQAwAC4ANAAsAFwAIgBOAGkAdAByAG8AZwBlAG4AIAAtACAARwBlAG4AZQByAGkAYwBcACIALAAwAC4AMAA5ACwAXAAiAFAAaABvAHMAcABoAG8AcgB1AHMAIAAtACAARwBlAG4AZQByAGkAYwBcACIALAAwAC4AMQA5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xADUALQAxADcALQAwAC0AMQA1ACAARABBAFAAIABTAHUAUwB0AGEAaQBuAFwAIgAsAFwAIgBrAGcAXAAiACwAMQAsAFwAIgBcACIALABcACIAXAAiACwAXAAiAFwAIgAsADEANQAuADIALAAxADYALgA5ACwAMAAsADEANQAuADIALABcACIATgBpAHQAcgBvAGcAZQBuACAALQAgAEcAZQBuAGUAcgBpAGMAXAAiACwAMAAuADEANQAyACwAXAAiAFAAaABvAHMAcABoAG8AcgB1AHMAIAAtACAARwBlAG4AZQByAGkAYwBcACIALAAwAC4AMQA2ADkALABcACIAUwB1AGwAZgB1AHIAIAAtACAARwBlAG4AZQByAGkAYwBcACIALAAwAC4AMQA1ADIALABcACIAXAAiACwAXAAiAFwAIgAsAFwAIgBcACIALABcACIAXAAiACwAXAAiAFwAIgAsAFwAIgBcACIALABcACIAXAAiACwAXAAiAFwAIgAsAFwAIgBcACIALABcACIAXAAiACwAXAAiAFwAIgAsAFwAIgBcACIALABcACIAXAAiACwAXAAiAFwAIgA7AFwAbgBcACIAVwBlAG4AZwBmAHUAIABBAHUAcwB0AHIAYQBsAGkAYQBcACIALABcACIAVwBlAG4AZwBmAHUAIAAxADYALQAxADgALQAwAC0AMQAwACAARABBAFAAIABTAHUAUwB0AGEAaQBuAFwAIgAsAFwAIgBrAGcAXAAiACwAMQAsAFwAIgBcACIALABcACIAXAAiACwAXAAiAFwAIgAsADEANgAuADIALAAxADgALAAwACwAMQAwAC4ANAAsAFwAIgBOAGkAdAByAG8AZwBlAG4AIAAtACAARwBlAG4AZQByAGkAYwBcACIALAAwAC4AMQA2ADIALABcACIAUABoAG8AcwBwAGgAbwByAHUAcwAgAC0AIABHAGUAbgBlAHIAaQBjAFwAIgAsADAALgAxADgALABcACIAUwB1AGwAZgB1AHIAIAAtACAARwBlAG4AZQByAGkAYwBcACIALAAwAC4AMQAwADQALABcACIAXAAiACwAXAAiAFwAIgAsAFwAIgBcACIALABcACIAXAAiACwAXAAiAFwAIgAsAFwAIgBcACIALABcACIAXAAiACwAXAAiAFwAIgAsAFwAIgBcACIALABcACIAXAAiACwAXAAiAFwAIgAsAFwAIgBcACIALABcACIAXAAiACwAXAAiAFwAIgA7AFwAbgBcACIAVwBlAG4AZwBmAHUAIABBAHUAcwB0AHIAYQBsAGkAYQBcACIALABcACIAVwBlAG4AZwBmAHUAIAA1AC0AMQA1AC0AMAAtADYAIABGAGEAcwB0ACAAUwB0AGEAcgB0ACAATABlAGcAdQBtAGUAXAAiACwAXAAiAGsAZwBcACIALAAxACwAXAAiAFwAIgAsAFwAIgBcACIALABcACIAXAAiACwANQAsADEANQAuADQALAAwACwANgAuADMALABcACIATgBpAHQAcgBvAGcAZQBuACAALQAgAEcAZQBuAGUAcgBpAGMAXAAiACwAMAAuADAANQAsAFwAIgBQAGgAbwBzAHAAaABvAHIAdQBzACAALQAgAEcAZQBuAGUAcgBpAGMAXAAiACwAMAAuADEANQA0ACwAXAAiAFMAdQBsAGYAdQByACAALQAgAEcAZQBuAGUAcgBpAGMAXAAiACwAMAAuADAANgAzACwAXAAiAFwAIgAsAFwAIgBcACIALABcACIAXAAiACwAXAAiAFwAIgAsAFwAIgBcACIALABcACIAXAAiACwAXAAiAFwAIgAsAFwAIgBcACIALABcACIAXAAiACwAXAAiAFwAIgAsAFwAIgBcACIALABcACIAXAAiACwAXAAiAFwAIgAsAFwAIgBcACIAOwBcAG4AXAAiAFcAZQBuAGcAZgB1ACAAQQB1AHMAdAByAGEAbABpAGEAXAAiACwAXAAiAFcAZQBuAGcAZgB1ACAAOQAtADIAMAAtADAALQAxADAAIABQAHIAaQBtAGUAWgBpAG4AYwBcACIALABcACIAawBnAFwAIgAsADEALABcACIAXAAiACwAXAAiAFwAIgAsAFwAIgBcACIALAA5ACwAMQA5AC4AOAAsADAALAAxADAALgA0ACwAXAAiAE4AaQB0AHIAbwBnAGUAbgAgAC0AIABHAGUAbgBlAHIAaQBjAFwAIgAsADAALgAwADkALABcACIAUABoAG8AcwBwAGgAbwByAHUAcwAgAC0AIABHAGUAbgBlAHIAaQBjAFwAIgAsADAALgAxADkAOAAsAFwAIgBTAHUAbABmAHUAcgAgAC0AIABHAGUAbgBlAHIAaQBjAFwAIgAsADAALgAxADAANAAsAFwAIgBaAGkAbgBjAFwAIgAsADAALgAwADAAOQAsAFwAIgBcACIALABcACIAXAAiACwAXAAiAFwAIgAsAFwAIgBcACIALABcACIAXAAiACwAXAAiAFwAIgAsAFwAIgBcACIALABcACIAXAAiACwAXAAiAFwAIgAsAFwAIgBcACIALABcACIAXAAiACwAXAAiAFwAIgA7AFwAbgBcACIAVwBlAG4AZwBmAHUAIABBAHUAcwB0AHIAYQBsAGkAYQBcACIALABcACIAVwBlAG4AZwBmAHUAIAAxADIALQAxADgALQAwAC0ANgAgAFAAcgBpAG0AZQBaAGkAbgBjAFwAIgAsAFwAIgBrAGcAXAAiACwAMQAsAFwAIgBcACIALABcACIAXAAiACwAXAAiAFwAIgAsADEAMQAuADkALAAxADcALgA2ACwAMAAsADUALgA5ACwAXAAiAE4AaQB0AHIAbwBnAGUAbgAgAC0AIABHAGUAbgBlAHIAaQBjAFwAIgAsADAALgAxADEAOQAsAFwAIgBQAGgAbwBzAHAAaABvAHIAdQBzACAALQAgAEcAZQBuAGUAcgBpAGMAXAAiACwAMAAuADEANwA2ACwAXAAiAFMAdQBsAGYAdQByACAALQAgAEcAZQBuAGUAcgBpAGMAXAAiACwAMAAuADAANQA5ACwAXAAiAFoAaQBuAGMAXAAiACwAMAAuADAAMAA4ACwAXAAiAFwAIgAsAFwAIgBcACIALABcACIAXAAiACwAXAAiAFwAIgAsAFwAIgBcACIALABcACIAXAAiACwAXAAiAFwAIgAsAFwAIgBcACIALABcACIAXAAiACwAXAAiAFwAIgAsAFwAIgBcACIALABcACIAXAAiADsAXABuAFwAIgBXAGUAbgBnAGYAdQAgAEEAdQBzAHQAcgBhAGwAaQBhAFwAIgAsAFwAIgBXAGUAbgBnAGYAdQAgADEANAAtADEAMwAtADAALQAxADEAIABQAHIAaQBtAGUAWgBpAG4AYwBcACIALABcACIAawBnAFwAIgAsADEALABcACIAXAAiACwAXAAiAFwAIgAsAFwAIgBcACIALAAxADQALgAxACwAMQAyAC4AOAAsADAALAAxADAALgA3ACwAXAAiAE4AaQB0AHIAbwBnAGUAbgAgAC0AIABHAGUAbgBlAHIAaQBjAFwAIgAsADAALgAxADQAMQAsAFwAIgBQAGgAbwBzAHAAaABvAHIAdQBzACAALQAgAEcAZQBuAGUAcgBpAGMAXAAiACwAMAAuADEAMgA4ACwAXAAiAFMAdQBsAGYAdQByACAALQAgAEcAZQBuAGUAcgBpAGMAXAAiACwAMAAuADEAMAA3ACwAXAAiAFoAaQBuAGMAXAAiACwAMAAuADAAMAA2ACwAXAAiAFwAIgAsAFwAIgBcACIALABcACIAXAAiACwAXAAiAFwAIgAsAFwAIgBcACIALABcACIAXAAiACwAXAAiAFwAIgAsAFwAIgBcACIALABcACIAXAAiACwAXAAiAFwAIgAsAFwAIgBcACIALABcACIAXAAiAFwAbgAgACAAfQAsACAAcgAsACAAYwApAFwAbgAgACkAKQApAFwAbgBcAG4AXABuAEYAZQByAHQAaQBsAGkAcwBlAHIAXwBQAHIAbwBkAHUAYwB0AHMAXwBEAGEAdABhADUAXABuAD0ATABBAE0AQgBEAEEAKABcAG4AIABNAEEASwBFAEEAUgBSAEEAWQAoADEANAAsACAAMwAxACwAXABuACAATABBAE0AQgBEAEEAKAByACwAYwAsAFwAbgAgACAASQBOAEQARQBYACgAewBcAG4AXAAiAFcAZQBuAGcAZgB1ACAAQQB1AHMAdAByAGEAbABpAGEAXAAiACwAXAAiAFcAZQBuAGcAZgB1ACAAMQA5AC0AMQAzAC0AMAAtADcAIABQAHIAaQBtAGUAWgBpAG4AYwBcACIALABcACIAawBnAFwAIgAsADEALABcACIAXAAiACwAXAAiAFwAIgAsAFwAIgBcACIALAAxADgALgA2ACwAMQAyAC4ANwAsADAALAA2AC4AOAAsAFwAIgBOAGkAdAByAG8AZwBlAG4AIAAtACAARwBlAG4AZQByAGkAYwBcACIALAAwAC4AMQA4ADYALABcACIAUABoAG8AcwBwAGgAbwByAHUAcwAgAC0AIABHAGUAbgBlAHIAaQBjAFwAIgAsADAALgAxADIANwAsAFwAIgBTAHUAbABmAHUAcgAgAC0AIABHAGUAbgBlAHIAaQBjAFwAIgAsADAALgAwADYAOAAsAFwAIgBaAGkAbgBjAFwAIgAsADAALgAwADAANgAsAFwAIgBcACIALABcACIAXAAiACwAXAAiAFwAIgAsAFwAIgBcACIALABcACIAXAAiACwAXAAiAFwAIgAsAFwAIgBcACIALABcACIAXAAiACwAXAAiAFwAIgAsAFwAIgBcACIALABcACIAXAAiACwAXAAiAFwAIgA7AFwAbgBcACIAVwBlAG4AZwBmAHUAIABBAHUAcwB0AHIAYQBsAGkAYQBcACIALABcACIAVwBlAG4AZwBmAHUAIABCAG8AbwBzAHQAZQByACAASwBcACIALABcACIAawBnAFwAIgAsADEALABcACIAXAAiACwAXAAiAFwAIgAsAFwAIgBcACIALAAzADIALAAwACwAMQAxACwAMwAsAFwAIgBOAGkAdAByAG8AZwBlAG4AIAAtACAARwBlAG4AZQByAGkAYwBcACIALAAwAC4AMwAyACwAXAAiAFAAbwB0AGEAcwBzAGkAdQBtACAALQAgAEcAZQBuAGUAcgBpAGMAXAAiACwAMAAuADEAMQAsAFwAIgBTAHUAbABmAHUAcgAgAC0AIABHAGUAbgBlAHIAaQBjAFwAIgAsADAALgAwADMALABcACIAXAAiACwAXAAiAFwAIgAsAFwAIgBcACIALABcACIAXAAiACwAXAAiAFwAIgAsAFwAIgBcACIALABcACIAXAAiACwAXAAiAFwAIgAsAFwAIgBcACIALABcACIAXAAiACwAXAAiAFwAIgAsAFwAIgBcACIALABcACIAXAAiACwAXAAiAFwAIgA7AFwAbgBcACIAVwBlAG4AZwBmAHUAIABBAHUAcwB0AHIAYQBsAGkAYQBcACIALABcACIAVwBlAG4AZwBmAHUAIABCAG8AbwBzAHQAZQByACAAUgBpAGMAaAAgADEAXAAiACwAXAAiAGsAZwBcACIALAAxACwAXAAiAFwAIgAsAFwAIgBcACIALABcACIAXAAiACwAMwAxACwANgAsADAALAA2ACwAXAAiAE4AaQB0AHIAbwBnAGUAbgAgAC0AIABHAGUAbgBlAHIAaQBjAFwAIgAsADAALgAzADEALABcACIAUABoAG8AcwBwAGgAbwByAHUAcwAgAC0AIABHAGUAbgBlAHIAaQBjAFwAIgAsADAALgAwADYALABcACIAUwB1AGwAZgB1AHIAIAAtACAARwBlAG4AZQByAGkAYwBcACIALAAwAC4AMAA2ACwAXAAiAFwAIgAsAFwAIgBcACIALABcACIAXAAiACwAXAAiAFwAIgAsAFwAIgBcACIALABcACIAXAAiACwAXAAiAFwAIgAsAFwAIgBcACIALABcACIAXAAiACwAXAAiAFwAIgAsAFwAIgBcACIALABcACIAXAAiACwAXAAiAFwAIgAsAFwAIgBcACIAOwBcAG4AXAAiAFcAZQBuAGcAZgB1ACAAQQB1AHMAdAByAGEAbABpAGEAXAAiACwAXAAiAFcAZQBuAGcAZgB1ACAAQgBvAG8AcwB0AGUAcgAgAEcAcgBhAHMAcwAgAEQAQQBQAFwAIgAsAFwAIgBrAGcAXAAiACwAMQAsAFwAIgBcACIALABcACIAXAAiACwAXAAiAFwAIgAsADIAMQAsADQALAA4ACwANwAsAFwAIgBOAGkAdAByAG8AZwBlAG4AIAAtACAARwBlAG4AZQByAGkAYwBcACIALAAwAC4AMgAxACwAXAAiAFAAaABvAHMAcABoAG8AcgB1AHMAIAAtACAARwBlAG4AZQByAGkAYwBcACIALAAwAC4AMAA0ACwAXAAiAFAAbwB0AGEAcwBzAGkAdQBtACAALQAgAEcAZQBuAGUAcgBpAGMAXAAiACwAMAAuADAAOAAsAFwAIgBTAHUAbABmAHUAcgAgAC0AIABHAGUAbgBlAHIAaQBjAFwAIgAsADAALgAwADcALABcACIAXAAiACwAXAAiAFwAIgAsAFwAIgBcACIALABcACIAXAAiACwAXAAiAFwAIgAsAFwAIgBcACIALABcACIAXAAiACwAXAAiAFwAIgAsAFwAIgBcACIALABcACIAXAAiACwAXAAiAFwAIgAsAFwAIgBcACIAOwBcAG4AXAAiAFcAZQBuAGcAZgB1ACAAQQB1AHMAdAByAGEAbABpAGEAXAAiACwAXAAiAFcAZQBuAGcAZgB1ACAAQQBmAHQAZQByAGcAcgBhAHoAZQBcACIALABcACIAawBnAFwAIgAsADEALABcACIAXAAiACwAXAAiAFwAIgAsAFwAIgBcACIALAAyADMALAAwACwAMgA1ACwAMAAsAFwAIgBOAGkAdAByAG8AZwBlAG4AIAAtACAARwBlAG4AZQByAGkAYwBcACIALAAwAC4AMgAzACwAXAAiAFAAbwB0AGEAcwBzAGkAdQBtACAALQAgAEcAZQBuAGUAcgBpAGMAXAAiACwAMAAuADIANQAsAFwAIgBcACIALABcACIAXAAiACwAXAAiAFwAIgAsAFwAIgBcACIALABcACIAXAAiACwAXAAiAFwAIgAsAFwAIgBcACIALABcACIAXAAiACwAXAAiAFwAIgAsAFwAIgBcACIALABcACIAXAAiACwAXAAiAFwAIgAsAFwAIgBcACIALABcACIAXAAiACwAXAAiAFwAIgAsAFwAIgBcACIAOwBcAG4AXAAiAFcAZQBuAGcAZgB1ACAAQQB1AHMAdAByAGEAbABpAGEAXAAiACwAXAAiAFcAZQBuAGcAZgB1ACAAUwBpAGQAZQBkAHIAZQBzAHMAXAAiACwAXAAiAGsAZwBcACIALAAxACwAXAAiAFwAIgAsAFwAIgBcACIALABcACIAXAAiACwAMgA1ACwANAAsADEAMwAsADQALABcACIATgBpAHQAcgBvAGcAZQBuACAALQAgAEcAZQBuAGUAcgBpAGMAXAAiACwAMAAuADIANQAsAFwAIgBQAGgAbwBzAHAAaABvAHIAdQBzACAALQAgAEcAZQBuAGUAcgBpAGMAXAAiACwAMAAuADAANAAsAFwAIgBQAG8AdABhAHMAcwBpAHUAbQAgAC0AIABHAGUAbgBlAHIAaQBjAFwAIgAsADAALgAxADMALABcACIAUwB1AGwAZgB1AHIAIAAtACAARwBlAG4AZQByAGkAYwBcACIALAAwAC4AMAA0ACwAXAAiAFwAIgAsAFwAIgBcACIALABcACIAXAAiACwAXAAiAFwAIgAsAFwAIgBcACIALABcACIAXAAiACwAXAAiAFwAIgAsAFwAIgBcACIALABcACIAXAAiACwAXAAiAFwAIgAsAFwAIgBcACIALABcACIAXAAiADsAXABuAFwAIgBXAGUAbgBnAGYAdQAgAEEAdQBzAHQAcgBhAGwAaQBhAFwAIgAsAFwAIgBXAGUAbgBnAGYAdQAgAFAAYQBzAHQAdQByAGUAIABCAG8AbwBzAHQAZQByAFwAIgAsAFwAIgBrAGcAXAAiACwAMQAsAFwAIgBcACIALABcACIAXAAiACwAXAAiAFwAIgAsADEAMwAsADUALAAyADQALAA1ACwAXAAiAE4AaQB0AHIAbwBnAGUAbgAgAC0AIABHAGUAbgBlAHIAaQBjAFwAIgAsADAALgAxADMALABcACIAUABoAG8AcwBwAGgAbwByAHUAcwAgAC0AIABHAGUAbgBlAHIAaQBjAFwAIgAsADAALgAwADUALABcACIAUABvAHQAYQBzAHMAaQB1AG0AIAAtACAARwBlAG4AZQByAGkAYwBcACIALAAwAC4AMgA0ACwAXAAiAFMAdQBsAGYAdQByACAALQAgAEcAZQBuAGUAcgBpAGMAXAAiACwAMAAuADAANQAsAFwAIgBcACIALABcACIAXAAiACwAXAAiAFwAIgAsAFwAIgBcACIALABcACIAXAAiACwAXAAiAFwAIgAsAFwAIgBcACIALABcACIAXAAiACwAXAAiAFwAIgAsAFwAIgBcACIALABcACIAXAAiACwAXAAiAFwAIgA7AFwAbgBcACIAVwBlAG4AZwBmAHUAIABBAHUAcwB0AHIAYQBsAGkAYQBcACIALABcACIAVwBlAG4AZwBmAHUAIABEAEEAUAAgAEgAYQB5ACAAQgBvAG8AcwB0AGUAcgBcACIALABcACIAawBnAFwAIgAsADEALABcACIAXAAiACwAXAAiAFwAIgAsAFwAIgBcACIALAAxADEALAA1ACwAMgA0ACwANAAsAFwAIgBOAGkAdAByAG8AZwBlAG4AIAAtACAARwBlAG4AZQByAGkAYwBcACIALAAwAC4AMQAxACwAXAAiAFAAaABvAHMAcABoAG8AcgB1AHMAIAAtACAARwBlAG4AZQByAGkAYwBcACIALAAwAC4AMAA1ACwAXAAiAFAAbwB0AGEAcwBzAGkAdQBtACAALQAgAEcAZQBuAGUAcgBpAGMAXAAiACwAMAAuADIANAAsAFwAIgBTAHUAbABmAHUAcgAgAC0AIABHAGUAbgBlAHIAaQBjAFwAIgAsADAALgAwADQALABcACIAXAAiACwAXAAiAFwAIgAsAFwAIgBcACIALABcACIAXAAiACwAXAAiAFwAIgAsAFwAIgBcACIALABcACIAXAAiACwAXAAiAFwAIgAsAFwAIgBcACIALABcACIAXAAiACwAXAAiAFwAIgAsAFwAIgBcACIAOwBcAG4AXAAiAFcAZQBuAGcAZgB1ACAAQQB1AHMAdAByAGEAbABpAGEAXAAiACwAXAAiAFcAZQBuAGcAZgB1ACAATQBBAFAAIABIAGEAeQAgAEIAbwBvAHMAdABlAHIAXAAiACwAXAAiAGsAZwBcACIALAAxACwAXAAiAFwAIgAsAFwAIgBcACIALABcACIAXAAiACwAMQAxACwAOAAsADIAMAAsADYALABcACIATgBpAHQAcgBvAGcAZQBuACAALQAgAEcAZQBuAGUAcgBpAGMAXAAiACwAMAAuADEAMQAsAFwAIgBQAGgAbwBzAHAAaABvAHIAdQBzACAALQAgAEcAZQBuAGUAcgBpAGMAXAAiACwAMAAuADAAOAAsAFwAIgBQAG8AdABhAHMAcwBpAHUAbQAgAC0AIABHAGUAbgBlAHIAaQBjAFwAIgAsADAALgAyACwAXAAiAFMAdQBsAGYAdQByACAALQAgAEcAZQBuAGUAcgBpAGMAXAAiACwAMAAuADAANgAsAFwAIgBcACIALABcACIAXAAiACwAXAAiAFwAIgAsAFwAIgBcACIALABcACIAXAAiACwAXAAiAFwAIgAsAFwAIgBcACIALABcACIAXAAiACwAXAAiAFwAIgAsAFwAIgBcACIALABcACIAXAAiACwAXAAiAFwAIgA7AFwAbgBcACIAVwBlAG4AZwBmAHUAIABBAHUAcwB0AHIAYQBsAGkAYQBcACIALABcACIAVwBlAG4AZwBmAHUAIABGAG8AZABkAGUAcgAgAEIAbwBvAHMAdABlAHIAXAAiACwAXAAiAGsAZwBcACIALAAxACwAXAAiAFwAIgAsAFwAIgBcACIALABcACIAXAAiACwAOQAsADQALAA1ACwAMQA1ACwAXAAiAE4AaQB0AHIAbwBnAGUAbgAgAC0AIABHAGUAbgBlAHIAaQBjAFwAIgAsADAALgAwADkALABcACIAUABoAG8AcwBwAGgAbwByAHUAcwAgAC0AIABHAGUAbgBlAHIAaQBjAFwAIgAsADAALgAwADQALABcACIAUABvAHQAYQBzAHMAaQB1AG0AIAAtACAARwBlAG4AZQByAGkAYwBcACIALAAwAC4AMAA1ACwAXAAiAFMAdQBsAGYAdQByACAALQAgAEcAZQBuAGUAcgBpAGMAXAAiACwAMAAuADEANQAsAFwAIgBcACIALABcACIAXAAiACwAXAAiAFwAIgAsAFwAIgBcACIALABcACIAXAAiACwAXAAiAFwAIgAsAFwAIgBcACIALABcACIAXAAiACwAXAAiAFwAIgAsAFwAIgBcACIALABcACIAXAAiACwAXAAiAFwAIgA7AFwAbgBcACIAQwBTAEIAUABcACIALABcACIASwAtAFQAaQBsAGwAIABFAHgAdAByAGEAXAAiACwAXAAiAGsAZwBcACIALAAxACwAXAAiAFwAIgAsAFwAIgBcACIALABcACIAXAAiACwAMQAwAC4ANwAzACwAMQAwAC4AOQA1ACwAMQAxAC4AMwA1ACwANgAuADUANQAsAFwAIgBNAG8AbgBvAGEAbQBtAG8AbgBpAHUAbQAgAHAAaABvAHMAcABoAGEAdABlACAAKABNAEEAUAApAFwAIgAsADAALgA1ACwAXAAiAFMAdQBsAHAAaABhAHQAZQAgAG8AZgAgAGEAbQBtAG8AbgBpAGEAIAAoAFMATwBBACkAXAAiACwAMAAuADIANwAzACwAXAAiAE0AdQByAGkAYQB0AGUAIABvAGYAIABwAG8AdABhAHMAaAAgACgATQBPAFAAKQBcACIALAAwAC4AMgAyADcALABcACIAQwBvAHAAcABlAHIAXAAiACwAXAAiAE4AbwAgAGQAYQB0AGEAXAAiACwAXAAiAFoAaQBuAGMAXAAiACwAXAAiAE4AbwAgAGQAYQB0AGEAXAAiACwAXAAiAFwAIgAsAFwAIgBcACIALABcACIAXAAiACwAXAAiAFwAIgAsAFwAIgBcACIALABcACIAXAAiACwAXAAiAFwAIgAsAFwAIgBcACIALABcACIAXAAiACwAXAAiAFwAIgA7AFwAbgBcACIAQwBTAEIAUABcACIALABcACIAQQBnAHIAYQBzACAARQB4AHQAcgBhAFwAIgAsAFwAIgBrAGcAXAAiACwAMQAsAFwAIgBcACIALABcACIAXAAiACwAXAAiAFwAIgAsADEANgAuADkANQAsADgALgAwADYALABcACIAXAAiACwAMQA1AC4AMQA3ACwAXAAiAFMAdQBsAHAAaABhAHQAZQAgAG8AZgAgAGEAbQBtAG8AbgBpAGEAIAAoAFMATwBBACkAXAAiACwAMAAuADYAMwAyACwAXAAiAE0AbwBuAG8AYQBtAG0AbwBuAGkAdQBtACAAcABoAG8AcwBwAGgAYQB0AGUAIAAoAE0AQQBQACkAXAAiACwAMAAuADMANgA4ACwAXAAiAFoAaQBuAGMAXAAiACwAXAAiAE4AbwAgAGQAYQB0AGEAXAAiACwAXAAiAEMAbwBwAHAAZQByAFwAIgAsAFwAIgBOAG8AIABkAGEAdABhAFwAIgAsAFwAIgBNAG8AbAB5AGIAZABlAG4AdQBtAFwAIgAsAFwAIgBOAG8AIABkAGEAdABhAFwAIgAsAFwAIgBDAG8AYgBhAGwAdABcACIALABcACIATgBvACAAZABhAHQAYQBcACIALABcACIAXAAiACwAXAAiAFwAIgAsAFwAIgBcACIALABcACIAXAAiACwAXAAiAFwAIgAsAFwAIgBcACIALABcACIAXAAiACwAXAAiAFwAIgA7AFwAbgBcACIAQwBTAEIAUABcACIALABcACIAUwB1AHAAZQByACAAQwBvAHAAcABlAHIAIABaAGkAbgBjACAATQBvAGwAeQBcACIALABcACIAawBnAFwAIgAsADEALABcACIAXAAiACwAXAAiAFwAIgAsAFwAIgBcACIALABcACIAXAAiACwAOAAuADgALABcACIAXAAiACwAMQAxACwAXAAiAFMAaQBuAGcAbABlACAAcwB1AHAAZQByAHAAaABvAHMAcABoAGEAdABlACAAKABTAFMAUAApAFwAIgAsADEALABcACIAQwBvAHAAcABlAHIAXAAiACwAMAAuADAAMAA2ACwAXAAiAFoAaQBuAGMAXAAiACwAMAAuADAAMAAzACwAXAAiAE0AbwBsAHkAYgBkAGUAbgB1AG0AXAAiACwAMAAuADAAMAAwADYALABcACIAXAAiACwAXAAiAFwAIgAsAFwAIgBcACIALABcACIAXAAiACwAXAAiAFwAIgAsAFwAIgBcACIALABcACIAXAAiACwAXAAiAFwAIgAsAFwAIgBcACIALABcACIAXAAiACwAXAAiAFwAIgAsAFwAIgBcACIAOwBcAG4AXAAiAEMAUwBCAFAAXAAiACwAXAAiAEYAbABlAHgAaQAtAE4AXAAiACwAXAAiAEwAXAAiACwAMQAuADMAMgAsAFwAIgBcACIALABcACIAXAAiACwAXAAiAFwAIgAsADMAMgAsAFwAIgBcACIALABcACIAXAAiACwAXAAiAFwAIgAsAFwAIgBVAHIAZQBhAC0AYQBtAG0AbwBuAGkAdQBtACAAbgBpAHQAcgBhAHQAZQAgACgAVQBBAE4AKQBcACIALAAxACwAXAAiAFwAIgAsAFwAIgBcACIALABcACIAXAAiACwAXAAiAFwAIgAsAFwAIgBcACIALABcACIAXAAiACwAXAAiAFwAIgAsAFwAIgBcACIALABcACIAXAAiACwAXAAiAFwAIgAsAFwAIgBcACIALABcACIAXAAiACwAXAAiAFwAIgAsAFwAIgBcACIALABcACIAXAAiACwAXAAiAFwAIgAsAFwAIgBcACIALABcACIAXAAiAFwAbgAgACAAfQAsACAAcgAsACAAYwApAFwAbgAgACkAKQApAFwAbgBcAG4AXABuAFwAbgAiAH0ALAB7ACIAcABhAHQAaAAiADoAIgAvAHAAcgBvAGoAZQBjAHQAcwAvAFcAYQBzAHQAZQBTAG8AbABpAGQAXwBFAHEAdQBhAHQAaQBvAG4AcwAiACwAIgB0AGUAeAB0ACIAOgAiAC8AKgBcAG4APQA9AD0APQA9AD0APQA9AD0APQA9AD0APQA9AD0APQA9AD0APQA9AD0APQA9AD0APQA9AD0APQA9AD0APQA9AD0APQA9AD0APQA9AD0APQA9AD0APQA9AD0APQA9AD0APQA9AD0APQA9AD0APQA9AD0APQA9AD0APQA9AD0APQA9AD0APQA9AD0APQA9AD0APQA9AD0APQBcAG4AMQAwAC4AMQA6ACAAVwBhAHMAdABlAFwAbgA9AD0APQA9AD0APQA9AD0APQA9AD0APQA9AD0APQA9AD0APQA9AD0APQA9AD0APQA9AD0APQA9AD0APQA9AD0APQA9AD0APQA9AD0APQA9AD0APQA9AD0APQA9AD0APQA9AD0APQA9AD0APQA9AD0APQA9AD0APQA9AD0APQA9AD0APQA9AD0APQA9AD0APQA9AD0APQA9AFwAbgAxADAALgAxAC4AMQAuADEAIABNAGUAdABoAG8AZAAgADEAIAAtACAAUwBvAGwAaQBkACAAVwBhAHMAdABlACAAVAByAGUAYQB0AG0AZQBuAHQ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AAXwAxAF8AMQBfADEAXwBfADEAXwBFAG0AaQBzAHMAaQBvAG4AcwBGAHIAbwBtAFcAYQBzAHQAZQBNAGEAbgBhAGcAZQBtAGUAbgB0AFwAbgBFAG0AaQBzAHMAaQBvAG4AcwAgAGYAcgBvAG0AIAB3AGEAcwB0AGUAIABtAGEAbgBhAGcAZQBtAGUAbgB0ACAAYgB5ACAAZwByAGUAZQBuAGgAbwB1AHMAZQAgAGcAYQBzAFwAbgBFAF8AZwBcAG4AdAAgAEMATwAyAGUAXABuAEUAXwBnAD0AXABcAHMAdQBtAF8AdABcAFwAcwB1AG0AXwB3ACgAUQBfAHcAdABcAFwAdABpAG0AZQBzACAARQBGAF8AdwB0AGcAKQBcAG4AUQBfAHcAdAAgAD0AIABxAHUAYQBuAHQAaQB0AHkAIABvAGYAIABzAG8AbABpAGQAIAB3AGEAcwB0AGUAIABvAGYAIAB0AHkAcABlACAAdwAgAGIAZQBpAG4AZwAgAHMAZQBuAHQAIAB0AG8AIAB0AHIAZQBhAHQAbQBlAG4AdAAgAGYAYQBjAGkAbABpAHQAeQAgAHQALAAgAG8AbgAgAGEAIAB3AGUAdAAgAHcAZQBpAGcAaAB0ACAAYgBhAHMAaQBzACAAKAB0ACkAXABuAEUARgBfAHcAdABnACAAPQAgAGUAbQBpAHMAcwBpAG8AbgAgAGYAYQBjAHQAbwByACAAZgBvAHIAIABnAHIAZQBlAG4AaABvAHUAcwBlACAAZwBhAHMAIABnACAAZgBvAHIAIAB0AGgAZQAgAG0AYQBuAGEAZwBlAG0AZQBuAHQAIABvAGYAIAB3AGEAcwB0AGUAIABhAHQAIAB0AHIAZQBhAHQAbQBlAG4AdAAgAGYAYQBjAGkAbABpAHQAeQAgAHQAIAAoAHQAIABDAE8AMgBlAC8AdAApAFwAbgAtAC0ALQAtAC0ALQAtAC0ALQAtAC0ALQAtAC0ALQAtAC0ALQAtAC0ALQAtAC0ALQAtAC0ALQAtAC0ALQAtAC0ALQAtAC0ALQAtAC0AXABuACoALwBcAG4AXABuAFYARQBFAFIARwBfADEAMABfADEAXwAxAF8AMQBfAF8AMQBfAEUAbQBpAHMAcwBpAG8AbgBzAEYAcgBvAG0AVwBhAHMAdABlAE0AYQBuAGEAZwBlAG0AZQBuAHQAXABuACAAIAA9AEwAQQBNAEIARABBACgAXABuACAAIAAgACAAUQBfAHcAdAAsACAARQBGAF8AdwB0AGcALABcAG4AIAAgACAAIABRAF8AdwB0ACAAKgAgAEUARgBfAHcAdABnAFwAbgAgACAAKQA7AFwAbgBcAG4AVgBFAEUAUgBHAF8AMQAwAF8AMQBfADEAXwAxAF8AXwAxAF8ARQBtAGkAcwBzAGkAbwBuAHMARgByAG8AbQBXAGEAcwB0AGUATQBhAG4AYQBnAGUAbQBlAG4AdABfAFQAaQB0AGwAZQBcAG4AIAAgAD0ATABBAE0AQgBEAEEAKABcACIARQBtAGkAcwBzAGkAbwBuAHMAIABmAHIAbwBtACAAdwBhAHMAdABlACAAbQBhAG4AYQBnAGUAbQBlAG4AdAAgAGIAeQAgAGcAcgBlAGUAbgBoAG8AdQBzAGUAIABnAGEAcwBcACIAKQA7AFwAbgBcAG4AVgBFAEUAUgBHAF8AMQAwAF8AMQBfADEAXwAxAF8AXwAxAF8ARQBtAGkAcwBzAGkAbwBuAHMARgByAG8AbQBXAGEAcwB0AGUATQBhAG4AYQBnAGUAbQBlAG4AdABfAFYAYQByAGkAYQBiAGwAZQBcAG4AIAAgAD0ATABBAE0AQgBEAEEAKABcACIARQBfAGcAXAAiACkAOwBcAG4AXABuAFYARQBFAFIARwBfADEAMABfADEAXwAxAF8AMQBfAF8AMQBfAEUAbQBpAHMAcwBpAG8AbgBzAEYAcgBvAG0AVwBhAHMAdABlAE0AYQBuAGEAZwBlAG0AZQBuAHQAXwBVAG4AaQB0AFwAbgAgACAAPQBMAEEATQBCAEQAQQAoAFwAIgB0ACAAQwBPADIAZQBcACIAKQA7AFwAbgBcAG4AVgBFAEUAUgBHAF8AMQAwAF8AMQBfADEAXwAxAF8AXwAxAF8ARQBtAGkAcwBzAGkAbwBuAHMARgByAG8AbQBXAGEAcwB0AGUATQBhAG4AYQBnAGUAbQBlAG4AdABfAFMAbwB1AHIAYwBlAFwAbgAgACAAPQBMAEEATQBCAEQAQQAoAFwAIgBWAEUARQBSAEcAIAAyADAAMgA2ADoAIAAxADAALgAxAC4AMQAuADEALAAgAEUAcQB1AGEAdABpAG8AbgAgACgAMQApAFwAIgApADsAXABuAFwAbgBWAEUARQBSAEcAXwAxADAAXwAxAF8AMQBfADEAXwBfADEAXwBFAG0AaQBzAHMAaQBvAG4AcwBGAHIAbwBtAFcAYQBzAHQAZQBNAGEAbgBhAGcAZQBtAGUAbgB0AF8ATgBJAFIAUgBlAGYAZQByAGUAbgBjAGUAXABuACAAIAA9AEwAQQBNAEIARABBACgAXAAiAFwAIgApADsAXABuAFwAbgBWAEUARQBSAEcAXwAxADAAXwAxAF8AMQBfADEAXwBfADEAXwBFAG0AaQBzAHMAaQBvAG4AcwBGAHIAbwBtAFcAYQBzAHQAZQBNAGEAbgBhAGcAZQBtAGUAbgB0AF8ATABhAHQAZQB4AEUAcQB1AGEAdABpAG8AbgBcAG4AIAAgAD0ATABBAE0AQgBEAEEAKABcACIARQBfAGcAPQBcAFwAcwB1AG0AXABcAG4AbwBsAGkAbQBpAHQAcwBfAHQAXABcAHMAdQBtAFwAXABuAG8AbABpAG0AaQB0AHMAXwB3ACgAUQBfAHsAdwB0AH0AXABcAHQAaQBtAGUAcwAgAEUARgBfAHsAdwB0AGcAfQApAFwAIgApADsAXABuAFwAbgBWAEUARQBSAEcAXwAxADAAXwAxAF8AMQBfADEAXwBfADEAXwBFAG0AaQBzAHMAaQBvAG4AcwBGAHIAbwBtAFcAYQBzAHQAZQBNAGEAbgBhAGcAZQBtAGUAbgB0AF8AQQByAGcAdQBtAGUAbgB0AHMAXABuACAAIAA9AEwAQQBNAEIARABBACgAXABuACAAIAAgACAATQBBAEsARQBBAFIAUgBBAFkAKAA3ACwAIAA0ACwAXABuACAAIAAgACAAIAAgAEwAQQBNAEIARABBACgAcgAsAGMALABcAG4AIAAgACAAIAAgACAAIAAgAEkATgBEAEUAWAAoAHsAXABuACAAIAAgACAAIAAgACAAIAAgACAAXAAiAFEAXwB3AHQAXAAiACwAIABcACIAcQB1AGEAbgB0AGkAdAB5ACAAbwBmACAAcwBvAGwAaQBkACAAdwBhAHMAdABlACAAbwBmACAAdAB5AHAAZQAgAHcAIABiAGUAaQBuAGcAIABzAGUAbgB0ACAAdABvACAAdAByAGUAYQB0AG0AZQBuAHQAIABmAGEAYwBpAGwAaQB0AHkAIAB0ACwAIABvAG4AIABhACAAdwBlAHQAIAB3AGUAaQBnAGgAdAAgAGIAYQBzAGkAcwBcACIALAAgAFwAIgB0AFwAIgAsACAAXAAiAFMAdQBtACAAbwBmACAAUQBfAHYAbwBsAHcAdAAgAGEAbgBkACAAUQBfAG0AYQBzAHMAdwB0AFwAIgA7AFwAbgAgACAAIAAgACAAIAAgACAAIAAgAFwAIgBFAEYAXwB3AHQAZwBcACIALAAgAFwAIgBlAG0AaQBzAHMAaQBvAG4AIABmAGEAYwB0AG8AcgAgAGYAbwByACAAZwByAGUAZQBuAGgAbwB1AHMAZQAgAGcAYQBzACAAZwAgAGYAbwByACAAdABoAGUAIABtAGEAbgBhAGcAZQBtAGUAbgB0ACAAbwBmACAAdwBhAHMAdABlACAAYQB0ACAAdAByAGUAYQB0AG0AZQBuAHQAIABmAGEAYwBpAGwAaQB0AHkAIAB0AFwAIgAsACAAXAAiAHQAIABDAE8AMgBlAC8AdA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A7AFwAbgAgACAAIAAgACAAIAAgACAAIAAgAFwAIgBnAFwAIgAsACAAXAAiAGcAcgBlAGUAbgBoAG8AdQBzAGUAIABnAGEAcwBcACIALAAgAFwAIgBcACIALAAgAFwAIgBJAG4AcAB1AHQAXAAiADsAXABuACAAIAAgACAAIAAgACAAIAAgACAAXAAiAFEAXwB2AG8AbAB3AHQAXAAiACwAIABcACIAcQB1AGEAbgB0AGkAdAB5ACAAbwBmACAAcwBvAGwAZAAgAHcAYQBzAHQAZQAgAGkAbgBwAHUAdAAgAGEAcwAgAHYAbwBsAHUAbQBlACAAYQBuAGQAIABjAG8AbgB2AGUAcgB0AGUAZAAgAHQAbwAgAHQAbwBuAG4AZQBzAFwAIgAsACAAXAAiAHQAbwBuAG4AZQBzAFwAIgAsACAAXAAiAEMAYQBsAGMAdQBsAGEAdABlAGQAIABmAHIAbwBtACAAMQAwAC4AMQAuADEALgAxACAAKAAyACkAXAAiADsAXABuACAAIAAgACAAIAAgACAAIAAgACAAXAAiAFEAXwBtAGEAcwBzAHcAdABcACIALAAgAFwAIgBxAHUAYQBuAHQAaQB0AHkAIABvAGYAIABzAG8AbABpAGQAIAB3AGEAcwB0AGUAIABpAG4AcAB1AHQAIABhAHMAIABtAGEAcwBzAFwAIgAsACAAXAAiAHQAbwBuAG4AZQBzAFwAIgAsACAAXAAiAEkAbgBwAHUAdABcACIAXABuACAAIAAgACAAIAAgACAAIAB9ACwAIAByACwAIABjACkAXABuACAAIAAgACAAIAAgACkAXABuACAAIAAgACAAKQBcAG4AIAAgACkAOwBcAG4AXABuAFYARQBFAFIARwBfADEAMABfADEAXwAxAF8AMQBfAF8AMQBfAEUAbQBpAHMAcwBpAG8AbgBzAEYAcgBvAG0AVwBhAHMAdABlAE0AYQBuAGEAZwBlAG0AZQBuAHQAXwBWAGEAcgBpAGEAdABpAG8AbgBcAG4AIAAgAD0ATABBAE0AQgBEAEEAKABcACIAVgBBAFIASQBBAFQASQBPAE4AIABPAE4AIABTAE8AVQBSAEMARQA6ACAAQQBkAGQAZQBkACAAUQBfAHYAbwBsAHcAdAAgAGEAbgBkACAAUQBfAG0AYQBzAHMAdwB0ACAAdgBhAHIAaQBhAGIAbABlAHMAIAB0AG8AIABjAGwAZQBhAHIAbAB5ACAAdAByAGEAYwBrACAAaQBuAHAAdQB0ACAAbwByACAAYwBhAGwAYwB1AGwAYQB0AGUAZAAgAFEAIAB2AGEAbAB1AGUAcwBcACIAKQA7AFwAbgBcAG4ALwAqAFwAbgAtAC0ALQAtAC0ALQAtAC0ALQAtAC0ALQAtAC0ALQAtAC0ALQAtAC0ALQAtAC0ALQAtAC0ALQAtAC0ALQAtAC0ALQAtAC0ALQAtAC0AXABuAFYARQBFAFIARwBfADEAMABfADEAXwAxAF8AMQBfAF8AMgBfAE0AYQBzAHMATwBmAFcAYQBzAHQAZQBGAHIAbwBtAFYAbwBsAHUAbQBlAFwAbgBNAGEAcwBzACAAbwBmACAAdwBhAHMAdABlACAAZgByAG8AbQAgAHcAYQBzAHQAZQAgAHYAbwBsAHUAbQBlAFwAbgBRAF8AdwB0AFwAbgB0AFwAbgBRAF8AdwB0AD0AVgBfAHcAdABcAFwAdABpAG0AZQBzACAAVgBUAE0AXwB3AFwAbgBWAF8AdwB0ACAAPQAgAHYAbwBsAHUAbQBlACAAbwBmACAAcwBvAGwAaQBkACAAdwBhAHMAdABlACAAdAB5AHAAZQAgAHcAIABiAGUAaQBuAGcAIABzAGUAbgB0ACAAdABvACAAdAByAGUAYQB0AG0AZQBuAHQAIABmAGEAYwBpAGwAaQB0AHkAIAB0ACAAKABtADMAKQBcAG4AVgBUAE0AXwB3ACAAPQAgAGMAbwBuAHYAZQByAHMAaQBvAG4AIABmAGEAYwB0AG8AcgAgAG8AZgAgAHYAbwBsAHUAbQBlACAAdABvACAAbQBhAHMAcwAgAGYAbwByACAAdwBhAHMAdABlACAAdAB5AHAAZQAgAHcAIAAoAHQALwBtADMAKQBcAG4ALQAtAC0ALQAtAC0ALQAtAC0ALQAtAC0ALQAtAC0ALQAtAC0ALQAtAC0ALQAtAC0ALQAtAC0ALQAtAC0ALQAtAC0ALQAtAC0ALQAtAFwAbgAqAC8AXABuAFwAbgBWAEUARQBSAEcAXwAxADAAXwAxAF8AMQBfADEAXwBfADIAXwBNAGEAcwBzAE8AZgBXAGEAcwB0AGUARgByAG8AbQBWAG8AbAB1AG0AZQBcAG4AIAAgAD0ATABBAE0AQgBEAEEAKABcAG4AIAAgACAAIABWAF8AdwB0ACwAIABWAFQATQBfAHcALABcAG4AIAAgACAAIABWAF8AdwB0ACAAKgAgAFYAVABNAF8AdwBcAG4AIAAgACkAOwBcAG4AXABuAFYARQBFAFIARwBfADEAMABfADEAXwAxAF8AMQBfAF8AMgBfAE0AYQBzAHMATwBmAFcAYQBzAHQAZQBGAHIAbwBtAFYAbwBsAHUAbQBlAF8AVABpAHQAbABlAFwAbgAgACAAPQBMAEEATQBCAEQAQQAoAFwAIgBNAGEAcwBzACAAbwBmACAAdwBhAHMAdABlACAAZgByAG8AbQAgAHcAYQBzAHQAZQAgAHYAbwBsAHUAbQBlAFwAIgApADsAXABuAFwAbgBWAEUARQBSAEcAXwAxADAAXwAxAF8AMQBfADEAXwBfADIAXwBNAGEAcwBzAE8AZgBXAGEAcwB0AGUARgByAG8AbQBWAG8AbAB1AG0AZQBfAFYAYQByAGkAYQBiAGwAZQBcAG4AIAAgAD0ATABBAE0AQgBEAEEAKABcACIAUQBfAHcAdABcACIAKQA7AFwAbgBcAG4AVgBFAEUAUgBHAF8AMQAwAF8AMQBfADEAXwAxAF8AXwAyAF8ATQBhAHMAcwBPAGYAVwBhAHMAdABlAEYAcgBvAG0AVgBvAGwAdQBtAGUAXwBVAG4AaQB0AFwAbgAgACAAPQBMAEEATQBCAEQAQQAoAFwAIgB0AFwAIgApADsAXABuAFwAbgBWAEUARQBSAEcAXwAxADAAXwAxAF8AMQBfADEAXwBfADIAXwBNAGEAcwBzAE8AZgBXAGEAcwB0AGUARgByAG8AbQBWAG8AbAB1AG0AZQBfAFMAbwB1AHIAYwBlAFwAbgAgACAAPQBMAEEATQBCAEQAQQAoAFwAIgBWAEUARQBSAEcAIAAyADAAMgA2ADoAIAAxADAALgAxAC4AMQAuADEALAAgAEUAcQB1AGEAdABpAG8AbgAgACgAMgApAFwAIgApADsAXABuAFwAbgBWAEUARQBSAEcAXwAxADAAXwAxAF8AMQBfADEAXwBfADIAXwBNAGEAcwBzAE8AZgBXAGEAcwB0AGUARgByAG8AbQBWAG8AbAB1AG0AZQBfAE4ASQBSAFIAZQBmAGUAcgBlAG4AYwBlAFwAbgAgACAAPQBMAEEATQBCAEQAQQAoAFwAIgBcACIAKQA7AFwAbgBcAG4AVgBFAEUAUgBHAF8AMQAwAF8AMQBfADEAXwAxAF8AXwAyAF8ATQBhAHMAcwBPAGYAVwBhAHMAdABlAEYAcgBvAG0AVgBvAGwAdQBtAGUAXwBMAGEAdABlAHgARQBxAHUAYQB0AGkAbwBuAFwAbgAgACAAPQBMAEEATQBCAEQAQQAoAFwAIgBRAF8AewB3AHQAfQA9AFYAXwB7AHcAdAB9AFwAXAB0AGkAbQBlAHMAIABWAFQATQBfAHcAXAAiACkAOwBcAG4AXABuAFYARQBFAFIARwBfADEAMABfADEAXwAxAF8AMQBfAF8AMgBfAE0AYQBzAHMATwBmAFcAYQBzAHQAZQBGAHIAbwBtAFYAbwBsAHUAbQBlAF8AQQByAGcAdQBtAGUAbgB0AHMAXABuACAAIAA9AEwAQQBNAEIARABBACgAXABuACAAIAAgACAATQBBAEsARQBBAFIAUgBBAFkAKAA0ACwAIAA0ACwAXABuACAAIAAgACAAIAAgAEwAQQBNAEIARABBACgAcgAsAGMALABcAG4AIAAgACAAIAAgACAAIAAgAEkATgBEAEUAWAAoAHsAXABuACAAIAAgACAAIAAgACAAIAAgACAAXAAiAFYAXwB3AHQAXAAiACwAIABcACIAdgBvAGwAdQBtAGUAIABvAGYAIABzAG8AbABpAGQAIAB3AGEAcwB0AGUAIAB0AHkAcABlACAAdwAgAGIAZQBpAG4AZwAgAHMAZQBuAHQAIAB0AG8AIAB0AHIAZQBhAHQAbQBlAG4AdAAgAGYAYQBjAGkAbABpAHQAeQAgAHQAXAAiACwAIABcACIAbQAzAFwAIgAsACAAXAAiAEkAbgBwAHUAdABcACIAOwBcAG4AIAAgACAAIAAgACAAIAAgACAAIABcACIAVgBUAE0AXwB3AFwAIgAsACAAXAAiAGMAbwBuAHYAZQByAHMAaQBvAG4AIABmAGEAYwB0AG8AcgAgAG8AZgAgAHYAbwBsAHUAbQBlACAAdABvACAAbQBhAHMAcwAgAGYAbwByACAAdwBhAHMAdABlACAAdAB5AHAAZQAgAHcAXAAiACwAIABcACIAdAAvAG0AMwBcACIALAAgAFwAIgBDAG8AbgBzAHQAYQBuAHQAXAAiADsAXABuACAAIAAgACAAIAAgACAAIAAgACAAXAAiAHcAXAAiACwAIABcACIAdwBhAHMAdABlACAAdAB5AHAAZQBcACIALAAgAFwAIgBcACIALAAgAFwAIgBJAG4AcAB1AHQAXAAiADsAXABuACAAIAAgACAAIAAgACAAIAAgACAAXAAiAHQAXAAiACwAIABcACIAdAByAGUAYQB0AG0AZQBuAHQAIABmAGEAYwBpAGwAaQB0AHkAXAAiACwAIABcACIAXAAiACwAIABcACIASQBuAHAAdQB0AFwAIgBcAG4AIAAgACAAIAAgACAAIAAgAH0ALAAgAHIALAAgAGMAKQBcAG4AIAAgACAAIAAgACAAKQBcAG4AIAAgACAAIAApAFwAbgAgACAAKQA7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LAB7ACIAcABhAHQAaAAiADoAIgAvAHAAcgBvAGoAZQBjAHQAcwAvAFcAYQBzAHQAZQBTAG8AbABpAGQAXwBTAG8AdQByAGMAZQBEAGEAdABhACIALAAiAHQAZQB4AHQAIgA6ACIALwAqAFwAbgA9AD0APQA9AD0APQA9AD0APQA9AD0APQA9AD0APQA9AD0APQA9AD0APQA9AD0APQA9AD0APQA9AD0APQA9AD0APQA9AD0APQA9AD0APQA9AD0APQA9AD0APQA9AD0APQA9AD0APQA9AD0APQA9AD0APQA9AD0APQA9AD0APQA9AD0APQA9AD0APQA9AD0APQA9AD0APQA9AFwAbgBFAG0AaQBzAHMAaQBvAG4AIABmAGEAYwB0AG8AcgBzACAAZgBvAHIAIAB3AGEAcwB0AGUAcwAgAGQAaQBzAHAAbwBzAGUAZAAgAG8AZgAgAGEAdAAgAGQAaQBmAGYAZQByAGUAbgB0ACAAdAByAGUAYQB0AG0AZQBuAHQAIABmAGEAYwBpAGwAaQB0AGkAZQBzAFwAbgA9AD0APQA9AD0APQA9AD0APQA9AD0APQA9AD0APQA9AD0APQA9AD0APQA9AD0APQA9AD0APQA9AD0APQA9AD0APQA9AD0APQA9AD0APQA9AD0APQA9AD0APQA9AD0APQA9AD0APQA9AD0APQA9AD0APQA9AD0APQA9AD0APQA9AD0APQA9AD0APQA9AD0APQA9AD0APQA9AFwAbgAqAC8AXABuAFwAbgBXAGEAcwB0AGUAXwBFAG0AaQBzAHMAaQBvAG4ARgBhAGMAdABvAHIAcwBGAG8AcgBXAGEAcwB0AGUAVAByAGUAYQB0AG0AZQBuAHQAXwBUAGkAdABsAGUAXABuAD0ATABBAE0AQgBEAEEAKAAoAFwAIgBFAG0AaQBzAHMAaQBvAG4AIABmAGEAYwB0AG8AcgBzACAAZgBvAHIAIAB3AGEAcwB0AGUAcwAgAGQAaQBzAHAAbwBzAGUAZAAgAG8AZgAgAGEAdAAgAGQAaQBmAGYAZQByAGUAbgB0ACAAdAByAGUAYQB0AG0AZQBuAHQAIABmAGEAYwBpAGwAaQB0AGkAZQBzAFwAIgApACkAOwBcAG4AXABuAFcAYQBzAHQAZQBfAEUAbQBpAHMAcwBpAG8AbgBGAGEAYwB0AG8AcgBzAEYAbwByAFcAYQBzAHQAZQBUAHIAZQBhAHQAbQBlAG4AdABfAFYAYQByAGkAYQBiAGwAZQBcAG4APQBMAEEATQBCAEQAQQAoACgAXAAiAEUARgB3AHQAXAAiACkAKQA7AFwAbgBcAG4AVwBhAHMAdABlAF8ARQBtAGkAcwBzAGkAbwBuAEYAYQBjAHQAbwByAHMARgBvAHIAVwBhAHMAdABlAFQAcgBlAGEAdABtAGUAbgB0AF8AVQBuAGkAdABcAG4APQBMAEEATQBCAEQAQQAoACgAXAAiAHQAIABDAE8AMgBlACAALwAgAHQAXAAiACkAKQA7AFwAbgBcAG4AVwBhAHMAdABlAF8ARQBtAGkAcwBzAGkAbwBuAEYAYQBjAHQAbwByAHMARgBvAHIAVwBhAHMAdABlAFQAcgBlAGEAdABtAGUAbgB0AF8AUwBvAHUAcgBjAGUAXABuAD0ATABBAE0AQgBEAEEAKAAoAFwAIgBWAEUARQBSAEcAIAAyADAAMgA2ADoAIABUAGEAYgBsAGUAIABBAC4ANAAuADEALgAxAFwAIgApACkAOwBcAG4AXABuAFcAYQBzAHQAZQBfAEUAbQBpAHMAcwBpAG8AbgBGAGEAYwB0AG8AcgBzAEYAbwByAFcAYQBzAHQAZQBUAHIAZQBhAHQAbQBlAG4AdABfAEQAYQB0AGEAXABuAD0ATABBAE0AQgBEAEEAKABcAG4AIAAgAE0AQQBLAEUAQQBSAFIAQQBZACgAMwA1ACwAIAA0ACwAXABuACAAIAAgACAATABBAE0AQgBEAEEAKAByACwAYwAsAFwAbgAgACAAIAAgACAAIABJAE4ARABFAFgAKAB7AFwAbgAgACAAIAAgACAAIAAgACAAXAAiAFQAcgBlAGEAdABtAGUAbgB0ACAAdAB5AHAAZQAgAHQAXAAiACwAIABcACIAVwBhAHMAdABlACAAdAB5AHAAZQAgAHcAXAAiACwAIABcACIARQBGAHcAdABcACIALAAgAFwAIgBFAEYAIABzAG8AdQByAGMAZQBcACIAOwBcAG4AIAAgACAAIAAgACAAIAAgAFwAIgBMAGEAbgBkAGYAaQBsAGwAXAAiACwAIABcACIARgBvAG8AZAAgAHcAYQBzAHQAZQAgACgAaQBuAGMAbAB1AGQAaQBuAGcAIABhAG4AaQBtAGEAbAAgAGMAYQByAGMAYQBzAHMAZQBzACwAIABzAHAAbwBpAGwAZQBkACAAYQBuAGkAbQBhAGwAIABmAGUAZQBkACAAbwByACAAYwByAG8AcAApAFwAIgAsACAAMgAuADEALAAgAFwAIgBOAEcAQQBGACAAMgAwADIANQAgAHQAYQBiAGwAZQAgADEANQBcACIAOwBcAG4AIAAgACAAIAAgACAAIAAgAFwAIgBMAGEAbgBkAGYAaQBsAGwAXAAiACwAIABcACIAUABhAHAAZQByACAAYQBuAGQAIABjAGEAcgBkAGIAbwBhAHIAZABcACIALAAgADMALgAzACwAIABcACIATgBHAEEARgAgADIAMAAyADUAIAB0AGEAYgBsAGUAIAAxADUAXAAiADsAXABuACAAIAAgACAAIAAgACAAIABcACIATABhAG4AZABmAGkAbABsAFwAIgAsACAAXAAiAEcAcgBlAGUAbgAgAHcAYQBzAHQAZQAgACgAaQBuAGMAbAB1AGQAaQBuAGcAIABjAHIAbwBwACAAcgBlAHMAaQBkAHUAZQBzACAAbwByACAAcAByAHUAbgBpAG4AZwBzACkAXAAiACwAIAAxAC4ANgAsACAAXAAiAE4ARwBBAEYAIAAyADAAMgA1ACAAdABhAGIAbABlACAAMQA1AFwAIgA7AFwAbgAgACAAIAAgACAAIAAgACAAXAAiAEwAYQBuAGQAZgBpAGwAbABcACIALAAgAFwAIgBXAG8AbwBkAFwAIgAsACAAMAAuADcALAAgAFwAIgBOAEcAQQBGACAAMgAwADIANQAgAHQAYQBiAGwAZQAgADEANQBcACIAOwBcAG4AIAAgACAAIAAgACAAIAAgAFwAIgBMAGEAbgBkAGYAaQBsAGwAXAAiACwAIABcACIAVABlAHgAdABpAGwAZQBzAFwAIgAsACAAMgAuADAALAAgAFwAIgBOAEcAQQBGACAAMgAwADIANQAgAHQAYQBiAGwAZQAgADEANQBcACIAOwBcAG4AIAAgACAAIAAgACAAIAAgAFwAIgBMAGEAbgBkAGYAaQBsAGwAXAAiACwAIABcACIAUwBsAHUAZABnAGUAXAAiACwAIAAwAC4ANAAsACAAXAAiAE4ARwBBAEYAIAAyADAAMgA1ACAAdABhAGIAbABlACAAMQA1AFwAIgA7AFwAbgAgACAAIAAgACAAIAAgACAAXAAiAEwAYQBuAGQAZgBpAGwAbABcACIALAAgAFwAIgBSAHUAYgBiAGUAcgAgAGEAbgBkACAAbABlAGEAdABoAGUAcgBcACIALAAgADMALgAzACwAIABcACIATgBHAEEARgAgADIAMAAyADUAIAB0AGEAYgBsAGUAIAAxADUAXAAiADsAXABuACAAIAAgACAAIAAgACAAIABcACIATABhAG4AZABmAGkAbABsAFwAIgAsACAAXAAiAEkAbgBlAHIAdAAgAHcAYQBzAHQAZQAgACgAaQBuAGMAbAB1AGQAaQBuAGcAIABjAG8AbgBjAHIAZQB0AGUALAAgAG0AZQB0AGEAbAAsACAAcABsAGEAcwB0AGkAYwAgAG8AcgAgAGcAbABhAHMAcwApAFwAIgAsACAAMAAsACAAXAAiAE4ARwBBAEYAIAAyADAAMgA1ACAAdABhAGIAbABlACAAMQA1AFwAIgA7AFwAbgAgACAAIAAgACAAIAAgACAAXAAiAEwAYQBuAGQAZgBpAGwAbABcACIALAAgAFwAIgBNAHUAbgBpAGMAaQBwAGEAbAAgAHMAbwBsAGkAZAAgAHcAYQBzAHQAZQBcACIALAAgADEALgA2ACwAIABcACIATgBHAEEARgAgADIAMAAyADUAIAB0AGEAYgBsAGUAIAAxADUAXAAiADsAXABuACAAIAAgACAAIAAgACAAIABcACIATABhAG4AZABmAGkAbABsAFwAIgAsACAAXAAiAEMAbwBtAG0AZQByAGMAaQBhAGwAIABhAG4AZAAgAGkAbgBkAHUAcwB0AHIAaQBhAGwAIAB3AGEAcwB0AGUAXAAiACwAIAAxAC4AMwAsACAAXAAiAE4ARwBBAEYAIAAyADAAMgA1ACAAdABhAGIAbABlACAAMQA1AFwAIgA7AFwAbgAgACAAIAAgACAAIAAgACAAXAAiAEwAYQBuAGQAZgBpAGwAbABcACIALAAgAFwAIgBDAG8AbgBzAHQAcgB1AGMAdABpAG8AbgAgAGEAbgBkACAAZABlAG0AbwBsAGkAdABpAG8AbgAgAHcAYQBzAHQAZQBcACIALAAgADAALgAyACwAIABcACIATgBHAEEARgAgADIAMAAyADUAIAB0AGEAYgBsAGUAIAAxADUAXAAiADsAXABuACAAIAAgACAAIAAgACAAIABcAG4AIAAgACAAIAAgACAAIAAgAFwAIgBJAG4AYwBpAG4AZQByAGEAdABpAG8AbgBcACIALAAgAFwAIgBGAG8AbwBkACAAdwBhAHMAdABlACwAIABnAHIAZQBlAG4AIAB3AGEAcwB0AGUALAAgAHcAbwBvAGQALAAgAHMAbAB1AGQAZwBlAFwAIgAsACAAMAAsACAAXAAiAFwAIgA7AFwAbgAgACAAIAAgACAAIAAgACAAXAAiAEkAbgBjAGkAbgBlAHIAYQB0AGkAbwBuAFwAIgAsACAAXAAiAEYAbwBvAGQAIAB3AGEAcwB0AGUAIAAoAGkAbgBjAGwAdQBkAGkAbgBnACAAYQBuAGkAbQBhAGwAIABjAGEAcgBjAGEAcwBzAGUAcwAsACAAcwBwAG8AaQBsAGUAZAAgAGEAbgBpAG0AYQBsACAAZgBlAGUAZAAgAG8AcgAgAGMAcgBvAHAAKQBcACIALAAgADAALAAgAFwAIgBcACIAOwBcAG4AIAAgACAAIAAgACAAIAAgAFwAIgBJAG4AYwBpAG4AZQByAGEAdABpAG8AbgBcACIALAAgAFwAIgBHAHIAZQBlAG4AIAB3AGEAcwB0AGUAIAAoAGkAbgBjAGwAdQBkAGkAbgBnACAAYwByAG8AcAAgAHIAZQBzAGkAZAB1AGUAcwAgAG8AcgAgAHAAcgB1AG4AaQBuAGcAcwApAFwAIgAsACAAMAAsACAAXAAiAFwAIgA7AFwAbgAgACAAIAAgACAAIAAgACAAXAAiAEkAbgBjAGkAbgBlAHIAYQB0AGkAbwBuAFwAIgAsACAAXAAiAFcAbwBvAGQAXAAiACwAIAAwACwAIABcACIAXAAiADsAXABuACAAIAAgACAAIAAgACAAIABcACIASQBuAGMAaQBuAGUAcgBhAHQAaQBvAG4AXAAiACwAIABcACIAUwBsAHUAZABnAGUAXAAiACwAIAAwACwAIABcACIAXAAiADsAXABuACAAIAAgACAAIAAgACAAIABcACIASQBuAGMAaQBuAGUAcgBhAHQAaQBvAG4AXAAiACwAIABcACIAUABhAHAAZQByACAAYQBuAGQAIABjAGEAcgBkAGIAbwBhAHIAZABcACIALAAgADAALgAwADEANgA5ACwAIABcACIAXAAiADsAXABuACAAIAAgACAAIAAgACAAIABcACIASQBuAGMAaQBuAGUAcgBhAHQAaQBvAG4AXAAiACwAIABcACIAVABlAHgAdABpAGwAZQBzAFwAIgAsACAAMAAuADMANgA2ADcALAAgAFwAIgBcACIAOwBcAG4AIAAgACAAIAAgACAAIAAgAFwAIgBJAG4AYwBpAG4AZQByAGEAdABpAG8AbgBcACIALAAgAFwAIgBSAHUAYgBiAGUAcgAgAGEAbgBkACAAbABlAGEAdABoAGUAcgBcACIALAAgADAALgA0ADkAMQA5ACwAIABcACIAXAAiADsAXABuACAAIAAgACAAIAAgACAAIABcACIASQBuAGMAaQBuAGUAcgBhAHQAaQBvAG4AXAAiACwAIABcACIASQBuAGUAcgB0ACAAdwBhAHMAdABlACAAKABpAG4AYwBsAHUAZABpAG4AZwAgAGMAbwBuAGMAcgBlAHQAZQAsACAAbQBlAHQAYQBsACwAIABwAGwAYQBzAHQAaQBjACAAbwByACAAZwBsAGEAcwBzACkAXAAiACwAIAAwAC4AMQAxADAAMAAsACAAXAAiAFwAIgA7AFwAbgAgACAAIAAgACAAIAAgACAAXAAiAEkAbgBjAGkAbgBlAHIAYQB0AGkAbwBuAFwAIgAsACAAXAAiAE0AdQBuAGkAYwBpAHAAYQBsACAAcwBvAGwAaQBkACAAdwBhAHMAdABlAFwAIgAsACAAMAAuADAANQAzADcALAAgAFwAIgBOAEcAQQBGACAAMgAwADIANQAgAFQAYQBiAGwAZQAgADEAOABcACIAOwBcAG4AIAAgACAAIAAgACAAIAAgAFwAIgBJAG4AYwBpAG4AZQByAGEAdABpAG8AbgBcACIALAAgAFwAIgBDAG8AbQBtAGUAcgBjAGkAYQBsACAAYQBuAGQAIABpAG4AZAB1AHMAdAByAGkAYQBsACAAdwBhAHMAdABlAFwAIgAsACAAMQAuADYANAA5ACwAIABcACIATgBHAEEARgAgADIAMAAyADUAIABUAGEAYgBsAGUAIAAxADgAXAAiADsAXABuAFwAbgAgACAAIAAgACAAIAAgACAAXAAiAEMAbwBtAHAAbwBzAHQAaQBuAGcAXAAiACwAIABcACIAQQBsAGwAIABvAHIAZwBhAG4AaQBjACAAdwBhAHMAdABlAFwAIgAsACAAMAAuADAANAA2ACwAIABcACIATgBHAEEARgAgADIAMAAyADUAIABUAGEAYgBsAGUAIAAxADkAXAAiADsAXABuACAAIAAgACAAIAAgACAAIABcACIAQwBvAG0AcABvAHMAdABpAG4AZwBcACIALAAgAFwAIgBGAG8AbwBkACAAdwBhAHMAdABlACAAKABpAG4AYwBsAHUAZABpAG4AZwAgAGEAbgBpAG0AYQBsACAAYwBhAHIAYwBhAHMAcwBlAHMALAAgAHMAcABvAGkAbABlAGQAIABhAG4AaQBtAGEAbAAgAGYAZQBlAGQAIABvAHIAIABjAHIAbwBwACkAXAAiACwAIAAwAC4AMAA0ADYALAAgAFwAIgBcACIAOwBcAG4AIAAgACAAIAAgACAAIAAgAFwAIgBDAG8AbQBwAG8AcwB0AGkAbgBnAFwAIgAsACAAXAAiAEcAcgBlAGUAbgAgAHcAYQBzAHQAZQAgACgAaQBuAGMAbAB1AGQAaQBuAGcAIABjAHIAbwBwACAAcgBlAHMAaQBkAHUAZQBzACAAbwByACAAcAByAHUAbgBpAG4AZwBzACkAXAAiACwAIAAwAC4AMAA0ADYALAAgAFwAIgBcACIAOwBcAG4AIAAgACAAIAAgACAAIAAgAFwAIgBDAG8AbQBwAG8AcwB0AGkAbgBnAFwAIgAsACAAXAAiAFcAbwBvAGQAXAAiACwAIAAwAC4AMAA0ADYALAAgAFwAIgBcACIAOwBcAG4AIAAgACAAIAAgACAAIAAgAFwAIgBDAG8AbQBwAG8AcwB0AGkAbgBnAFwAIgAsACAAXAAiAFMAbAB1AGQAZwBlAFwAIgAsACAAMAAuADAANAA2ACwAIABcACIAXAAiADsAXABuACAAIAAgACAAIAAgACAAIABcACIAQwBvAG0AcABvAHMAdABpAG4AZwBcACIALAAgAFwAIgBQAGEAcABlAHIAIABhAG4AZAAgAGMAYQByAGQAYgBvAGEAcgBkAFwAIgAsACAAMAAuADAANAA2ACwAIABcACIAXAAiADsAXABuAFwAbgAgACAAIAAgACAAIAAgACAAXAAiAEEAbgBhAGUAcgBvAGIAaQBjACAAZABpAGcAZQBzAHQAaQBvAG4AXAAiACwAIABcACIAQQBsAGwAIABvAHIAZwBhAG4AaQBjACAAdwBhAHMAdABlAFwAIgAsACAAMAAuADAAMgA4ACwAIABcACIATgBHAEEARgAgADIAMAAyADUAIABUAGEAYgBsAGUAIAAxADkAXAAiADsAXABuACAAIAAgACAAIAAgACAAIABcACIAQQBuAGEAZQByAG8AYgBpAGMAIABkAGkAZwBlAHMAdABpAG8AbgBcACIALAAgAFwAIgBGAG8AbwBkACAAdwBhAHMAdABlACAAKABpAG4AYwBsAHUAZABpAG4AZwAgAGEAbgBpAG0AYQBsACAAYwBhAHIAYwBhAHMAcwBlAHMALAAgAHMAcABvAGkAbABlAGQAIABhAG4AaQBtAGEAbAAgAGYAZQBlAGQAIABvAHIAIABjAHIAbwBwACkAXAAiACwAIAAwAC4AMAAyADgALAAgAFwAIgBcACIAOwBcAG4AIAAgACAAIAAgACAAIAAgAFwAIgBBAG4AYQBlAHIAbwBiAGkAYwAgAGQAaQBnAGUAcwB0AGkAbwBuAFwAIgAsACAAXAAiAEcAcgBlAGUAbgAgAHcAYQBzAHQAZQAgACgAaQBuAGMAbAB1AGQAaQBuAGcAIABjAHIAbwBwACAAcgBlAHMAaQBkAHUAZQBzACAAbwByACAAcAByAHUAbgBpAG4AZwBzACkAXAAiACwAIAAwAC4AMAAyADgALAAgAFwAIgBcACIAOwBcAG4AIAAgACAAIAAgACAAIAAgAFwAIgBBAG4AYQBlAHIAbwBiAGkAYwAgAGQAaQBnAGUAcwB0AGkAbwBuAFwAIgAsACAAXAAiAFcAbwBvAGQAXAAiACwAIAAwAC4AMAAyADgALAAgAFwAIgBcACIAOwBcAG4AIAAgACAAIAAgACAAIAAgAFwAIgBBAG4AYQBlAHIAbwBiAGkAYwAgAGQAaQBnAGUAcwB0AGkAbwBuAFwAIgAsACAAXAAiAFMAbAB1AGQAZwBlAFwAIgAsACAAMAAuADAAMgA4ACwAIABcACIAXAAiADsAXABuACAAIAAgACAAIAAgACAAIABcACIAQQBuAGEAZQByAG8AYgBpAGMAIABkAGkAZwBlAHMAdABpAG8AbgBcACIALAAgAFwAIgBQAGEAcABlAHIAIABhAG4AZAAgAGMAYQByAGQAYgBvAGEAcgBkAFwAIgAsACAAMAAuADAAMgA4ACwAIABcACIAXAAiAFwAbgAgACAAIAAgACAAIAB9ACwAIAByACwAIABjACkAXABuACkAKQApADsAXABuAFwAbgBXAGEAcwB0AGUAXwBFAG0AaQBzAHMAaQBvAG4ARgBhAGMAdABvAHIAcwBGAG8AcgBXAGEAcwB0AGUAVAByAGUAYQB0AG0AZQBuAHQAXwBWAGEAcgBpAGEAdABpAG8AbgBcAG4APQBMAEEATQBCAEQAQQAoAFwAbgAgACAATQBBAEsARQBBAFIAUgBBAFkAKAA3ACwAIAAxACwAXABuACAAIAAgACAATABBAE0AQgBEAEEAKAByACwAYwAsAFwAbgAgACAAIAAgACAAIABJAE4ARABFAFgAKAB7AFwAbgAgACAAIAAgACAAIAAgACAAXAAiAFYAQQBSAEkAQQBUAEkATwBOACAATwBOACAAUwBPAFUAUgBDAEUAOgBcACIAOwBcAG4AIAAgACAAIAAgACAAIAAgAFwAIgBGAGkAeABlAGQAIAB0AHkAcABvACAAXAB1ADAAMAAyADcAcABhAHAAZQByACAAYQBuAGQAIABjAGEAcgBiAG8AYQByAGQAXAB1ADAAMAAyADcAIAB0AG8AIABcAHUAMAAwADIANwBwAGEAcABlAHIAIABhAG4AZAAgAGMAYQByAGQAYgBvAGEAcgBkAFwAdQAwADAAMgA3AFwAIgA7AFwAbgAgACAAIAAgACAAIAAgACAAXAAiAEYAaQB4AGUAZAAgAHQAeQBwAG8AIABcAHUAMAAwADIANwBwAHIAdQBuAG4AaQBuAGcAcwBcAHUAMAAwADIANwAgAHQAbwAgAFwAdQAwADAAMgA3AHAAcgB1AG4AaQBuAGcAcwBcAHUAMAAwADIANwBcACIAOwBcAG4AIAAgACAAIAAgACAAIAAgAFwAIgBBAGQAZABlAGQAIABFAEYAIABzAG8AdQByAGMAZQAgAGMAbwBsAHUAbQBuACAAdwBpAHQAaAAgAHMAcABlAGMAaQBmAGkAYwAgAHIAZQBmAGUAcgBlAG4AYwBlAHMAXAAiADsAXABuACAAIAAgACAAIAAgACAAIABcACIAQQBkAGQAZQBkACAAcwB1AGIALQBjAGEAdABlAGcAbwByAGkAZQBzACAAZgBvAHIAIABcAHUAMAAwADIANwBJAG4AYwBpAG4AZQByAGEAdABpAG8AbgA6ACAARgBvAG8AZAAgAHcAYQBzAHQAZQAsACAAZwByAGUAZQBuACAAdwBhAHMAdABlACwAIAB3AG8AbwBkACwAIABzAGwAdQBkAGc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DAG8AbQBwAG8AcwB0AGkAbgBnADoAIABBAGwAbAAgAG8AcgBnAGEAbgBpAGMAIAB3AGEAcwB0AGUAXAB1ADAAMAAyADcAIABpAG4AIABvAHIAZABlAHIAIAB0AG8AIAB1AHMAZQAgAHYAbwBsAHUAbQBlACAAdABvACAAbQBhAHMAcwAgAGMAbwBuAHYAZQByAHMAaQBvAG4AIABmAGEAYwB0AG8AcgAgAHYAYQBsAHUAZQBzAFwAIgA7AFwAbgAgACAAIAAgACAAIAAgACAAXAAiAEEAZABkAGUAZAAgAHMAdQBiAC0AYwBhAHQAZQBnAG8AcgBpAGUAcwAgAGYAbwByACAAXAB1ADAAMAAyADcAQQBuAGEAZQByAG8AYgBpAGMAIABkAGkAZwBlAHMAdABpAG8AbgA6ACAAQQBsAGwAIABvAHIAZwBhAG4AaQBjACAAdwBhAHMAdABlAFwAdQAwADAAMgA3ACAAaQBuACAAbwByAGQAZQByACAAdABvACAAdQBzAGUAIAB2AG8AbAB1AG0AZQAgAHQAbwAgAG0AYQBzAHMAIABjAG8AbgB2AGUAcgBzAGkAbwBuACAAZgBhAGMAdABvAHIAIAB2AGEAbAB1AGUAcw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QAYQBiAGwAZQAgAEEALgA0AC4AMQAuADIAOgAgAFYAbwBsAHUAbQBlACAAdABvACAAbQBhAHMAcwAgAGMAbwBuAHYAZQByAHMAaQBvAG4AIABmAGEAYwB0AG8AcgAgAGYAbwByACAAdgBhAHIAaQBvAHUAcwAgAHcAYQBzAHQAZQAgAHQAeQBwAGUAcwAgACgAdAAvAG0AMwApACAAKABWAFQATQB3ACkAXABuAD0APQA9AD0APQA9AD0APQA9AD0APQA9AD0APQA9AD0APQA9AD0APQA9AD0APQA9AD0APQA9AD0APQA9AD0APQA9AD0APQA9AD0APQA9AD0APQA9AD0APQA9AD0APQA9AD0APQA9AD0APQA9AD0APQA9AD0APQA9AD0APQA9AD0APQA9AD0APQA9AD0APQA9AD0APQA9AD0AXABuACoALwBcAG4AXABuAFcAYQBzAHQAZQBfAFcAYQBzAHQAZQBWAG8AbAB1AG0AZQBUAG8ATQBhAHMAcwBDAG8AbgB2AGUAcgBzAGkAbwBuAF8AVABpAHQAbABlAFwAbgA9AEwAQQBNAEIARABBACgAKABcACIAVgBvAGwAdQBtAGUAIAB0AG8AIABtAGEAcwBzACAAYwBvAG4AdgBlAHIAcwBpAG8AbgAgAGYAYQBjAHQAbwByACAAZgBvAHIAIAB2AGEAcgBpAG8AdQBzACAAdwBhAHMAdABlACAAdAB5AHAAZQBzAFwAIgApACkAOwBcAG4AXABuAFcAYQBzAHQAZQBfAFcAYQBzAHQAZQBWAG8AbAB1AG0AZQBUAG8ATQBhAHMAcwBDAG8AbgB2AGUAcgBzAGkAbwBuAF8AVgBhAHIAaQBhAGIAbABlAFwAbgA9AEwAQQBNAEIARABBACgAKABcACIAVgBUAE0AdwBcACIAKQApADsAXABuAFwAbgBXAGEAcwB0AGUAXwBXAGEAcwB0AGUAVgBvAGwAdQBtAGUAVABvAE0AYQBzAHMAQwBvAG4AdgBlAHIAcwBpAG8AbgBfAFUAbgBpAHQAXABuAD0ATABBAE0AQgBEAEEAKAAoAFwAIgB0AC8AbQAzAFwAIgApACkAOwBcAG4AXABuAFcAYQBzAHQAZQBfAFcAYQBzAHQAZQBWAG8AbAB1AG0AZQBUAG8ATQBhAHMAcwBDAG8AbgB2AGUAcgBzAGkAbwBuAF8AUwBvAHUAcgBjAGUAXABuAD0ATABBAE0AQgBEAEEAKAAoAFwAIgBWAEUARQBSAEcAIAAyADAAMgA2ADoAIABUAGEAYgBsAGUAIABBAC4ANAAuADEALgAyAFwAIgApACkAOwBcAG4AXABuAFcAYQBzAHQAZQBfAFcAYQBzAHQAZQBWAG8AbAB1AG0AZQBUAG8ATQBhAHMAcwBDAG8AbgB2AGUAcgBzAGkAbwBuAF8ARABhAHQAYQBcAG4APQBMAEEATQBCAEQAQQAoAFwAbgAgACAATQBBAEsARQBBAFIAUgBBAFkAKAAxADIALAAgADIALABcAG4AIAAgACAAIABMAEEATQBCAEQAQQAoAHIALABjACwAXABuACAAIAAgACAAIAAgAEkATgBEAEUAWAAoAHsAXABuACAAIAAgACAAIAAgACAAIABcACIAVwBhAHMAdABlACAAdAB5AHAAZQAgAHcAXAAiACwAIABcACIAVgBUAE0AdwBcACIAOwBcAG4AIAAgACAAIAAgACAAIAAgAFwAIgBGAG8AbwBkACAAdwBhAHMAdABlACAAKABpAG4AYwBsAHUAZABpAG4AZwAgAGEAbgBpAG0AYQBsACAAYwBhAHIAYwBhAHMAcwBlAHMALAAgAHMAcABvAGkAbABlAGQAIABhAG4AaQBtAGEAbAAgAGYAZQBlAGQAIABvAHIAIABjAHIAbwBwACkAXAAiACwAIAAwAC4ANQAwADsAXABuACAAIAAgACAAIAAgACAAIABcACIAUABhAHAAZQByACAAYQBuAGQAIABjAGEAcgBkAGIAbwBhAHIAZABcACIALAAgADAALgAwADkAOwBcAG4AIAAgACAAIAAgACAAIAAgAFwAIgBHAHIAZQBlAG4AIAB3AGEAcwB0AGUAIAAoAGkAbgBjAGwAdQBkAGkAbgBnACAAYwByAG8AcAAgAHIAZQBzAGkAZAB1AGUAcwAgAG8AcgAgAHAAcgB1AG4AaQBuAGcAcwApAFwAIgAsACAAMAAuADIANAA7AFwAbgAgACAAIAAgACAAIAAgACAAXAAiAFcAbwBvAGQAXAAiACwAIAAwAC4AMQA1ADsAXABuACAAIAAgACAAIAAgACAAIABcACIAVABlAHgAdABpAGwAZQBzAFwAIgAsACAAMAAuADEANAA7AFwAbgAgACAAIAAgACAAIAAgACAAXAAiAFMAbAB1AGQAZwBlAFwAIgAsACAAMAAuADcAMgA7AFwAbgAgACAAIAAgACAAIAAgACAAXAAiAFIAdQBiAGIAZQByACAAYQBuAGQAIABsAGUAYQB0AGgAZQByAFwAIgAsACAAMAAuADEANAA7AFwAbgAgACAAIAAgACAAIAAgACAAXAAiAEkAbgBlAHIAdAAgAHcAYQBzAHQAZQAgACgAaQBuAGMAbAB1AGQAaQBuAGcAIABjAG8AbgBjAHIAZQB0AGUALAAgAG0AZQB0AGEAbAAsACAAcABsAGEAcwB0AGkAYwAgAG8AcgAgAGcAbABhAHMAcwApAFwAIgAsACAAMAAuADQAMgA7AFwAbgAgACAAIAAgACAAIAAgACAAXAAiAE0AdQBuAGkAYwBpAHAAYQBsACAAcwBvAGwAaQBkACAAdwBhAHMAdABlAFwAIgAsACAAMAAuADMANgA7AFwAbgAgACAAIAAgACAAIAAgACAAXAAiAEMAbwBtAG0AZQByAGMAaQBhAGwAIABhAG4AZAAgAGkAbgBkAHUAcwB0AHIAaQBhAGwAIAB3AGEAcwB0AGUAXAAiACwAIAAwAC4AMwAzADsAXABuACAAIAAgACAAIAAgACAAIABcACIAQwBvAG4AcwB0AHIAdQBjAHQAaQBvAG4AIABhAG4AZAAgAGQAZQBtAG8AbABpAHQAaQBvAG4AIAB3AGEAcwB0AGUAXAAiACwAIAAwAC4AMwA5AFwAbgAgACAAIAAgACAAIAB9ACwAIAByACwAIABjACkAXABuACkAKQApADsAXABuAFwAbgBXAGEAcwB0AGUAXwBXAGEAcwB0AGUAVgBvAGwAdQBtAGUAVABvAE0AYQBzAHMAQwBvAG4AdgBlAHIAcwBpAG8AbgBfAFYAYQByAGkAYQB0AGkAbwBuAFwAbgA9AEwAQQBNAEIARABBACgAKABcACIAVgBBAFIASQBBAFQASQBPAE4AIABPAEYAIABTAE8AVQBSAEMARQA6ACAAQwBoAGEAbgBnAGUAZAAgAGMAbwBsAHUAbQBuACAAaABlAGEAZABlAHIAIABDAEYAdwAgAHQAbwAgAFYAVABNAHcAIAB0AG8AIABtAGEAdABjAGgAIAB0AGkAdABsAGUAIAB2AGEAcgBpAGEAYgBsAGUALgBcACIAKQApADsAXABu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CwAewAiAHAAYQB0AGgAIgA6ACIALwBwAHIAbwBqAGUAYwB0AHMALwBTAGMAbwBwAGUAMwBfAEkAbgBwAHUAdABGAHUAbgBjAHQAaQBvAG4AcwAiACwAIgB0AGUAeAB0ACIAOgAiAFwAbgBHAGUAdABMAGkAdgBlAHcAZQBpAGcAaAB0AF8AUABhAHMAdAB1AHIAZQBCAGUAZQBmAFwAbgA9AEwAQQBNAEIARABBACgAXABuACAAIABQAHUAcgBjAGgAYQBzAGUARABhAHQAZQAsACAATABpAHYAZQBzAHQAbwBjAGsAQwBsAGEAcwBzACwAIABTAG8AdQByAGMAZQBSAGUAZwBpAG8AbgAsAFwAbgAgACAAUwBvAHUAcgBjAGUAUgBlAGcAaQBvAG4ATABlAGYAdABBAHIAcgBhAHkALAAgAFMAbwB1AHIAYwBlAFIAZQBnAGkAbwBuAFIAaQBnAGgAdABBAHIAcgBhAHkALAAgAFMAZQBhAHMAbwBuAEEAcgByAGEAeQAsACAATABpAHYAZQBzAHQAbwBjAGsAQwBsAGEAcwBzAEEAcgByAGEAeQAsACAATABpAHYAZQB3AGUAaQBnAGgAdABBAHIAcgBhAHkALABcAG4AIAAgAEwARQBUACgAXABuACAAIAAgACAAUwBlAGEAcwBvAG4ALAAgAEkARgBTACgAXABuACAAIAAgACAAIAAgAE0ATwBOAFQASAAoAFAAdQByAGMAaABhAHMAZQBEAGEAdABlACkAIABcAHUAMAAwADMAYwA9ACAAMgAsACAAIABcACIAUwB1AG0AbQBlAHIAXAAiACwAXABuACAAIAAgACAAIAAgAE0ATwBOAFQASAAoAFAAdQByAGMAaABhAHMAZQBEAGEAdABlACkAIABcAHUAMAAwADMAYwA9ACAANQAsACAAIABcACIAQQB1AHQAdQBtAG4AXAAiACwAXABuACAAIAAgACAAIAAgAE0ATwBOAFQASAAoAFAAdQByAGMAaABhAHMAZQBEAGEAdABlACkAIABcAHUAMAAwADMAYwA9ACAAOAAsACAAIABcACIAVwBpAG4AdABlAHIAXAAiACwAXABuACAAIAAgACAAIAAgAE0ATwBOAFQASAAoAFAAdQByAGMAaABhAHMAZQBEAGEAdABlACkAIABcAHUAMAAwADMAYwA9ACAAMQAxACwAIABcACIAUwBwAHIAaQBuAGcAXAAiACwAXABuACAAIAAgACAAIAAgAE0ATwBOAFQASAAoAFAAdQByAGMAaABhAHMAZQBEAGEAdABlACkAIAA9ACAAMQAyACwAIAAgAFwAIgBTAHUAbQBtAGUAcgBcACIAXABuACAAIAAgACAAKQAsAFwAbgAgACAAIAAgAFMAbwB1AHIAYwBlAFIAZQBnAGkAbwBuAFIAaQBnAGgAdAAsACAASQBGACgASQBTAE4AVQBNAEIARQBSACgARgBJAE4ARAAoAFwAIgAgAC0AIABcACIALAAgAFMAbwB1AHIAYwBlAFIAZQBnAGkAbwBuACkAKQAsACAATQBJAEQAKABTAG8AdQByAGMAZQBSAGUAZwBpAG8AbgAsACAARgBJAE4ARAAoAFwAIgAgAC0AIABcACIALAAgAFMAbwB1AHIAYwBlAFIAZQBnAGkAbwBuACkAIAArACAAMwAsACAATABFAE4AKABTAG8AdQByAGMAZQBSAGUAZwBpAG8AbgApACkALAAgAFwAIgBuAC8AYQBcACIAKQAsAFwAbgAgACAAIAAgAFMAbwB1AHIAYwBlAFIAZQBnAGkAbwBuAEwAZQBmAHQALAAgACAASQBGACgASQBTAE4AVQBNAEIARQBSACgARgBJAE4ARAAoAFwAIgAgAC0AIABcACIALAAgAFMAbwB1AHIAYwBlAFIAZQBnAGkAbwBuACkAKQAsACAATABFAEYAVAAoAFMAbwB1AHIAYwBlAFIAZQBnAGkAbwBuACwAIABGAEkATgBEACgAXAAiACAALQAgAFwAIgAsACAAUwBvAHUAcgBjAGUAUgBlAGcAaQBvAG4AKQAgAC0AIAAxACkALAAgAFMAbwB1AHIAYwBlAFIAZQBnAGkAbwBuACkALABcAG4AIAAgACAAIABJAEYARQBSAFIATwBSACgAXABuACAAIAAgACAAIAAgAFgATABPAE8ASwBVAFAAKAAxACwAXABuACAAIAAgACAAIAAgACAAIAAoAFMAbwB1AHIAYwBlAFIAZQBnAGkAbwBuAEwAZQBmAHQAQQByAHIAYQB5ACAAPQAgAFMAbwB1AHIAYwBlAFIAZQBnAGkAbwBuAEwAZQBmAHQAKQAgACoAIAAoAFMAbwB1AHIAYwBlAFIAZQBnAGkAbwBuAFIAaQBnAGgAdABBAHIAcgBhAHkAIAA9ACAAUwBvAHUAcgBjAGUAUgBlAGcAaQBvAG4AUgBpAGcAaAB0ACkAIAAqACAAKABTAGUAYQBzAG8AbgBBAHIAcgBhAHkAIAA9ACAAUwBlAGEAcwBvAG4AKQAsAFwAbgAgACAAIAAgACAAIAAgACAAWABMAE8ATwBLAFUAUAAoAEwAaQB2AGUAcwB0AG8AYwBrAEMAbABhAHMAcwAsACAATABpAHYAZQBzAHQAbwBjAGsAQwBsAGEAcwBzAEEAcgByAGEAeQAsACAATABpAHYAZQB3AGUAaQBnAGgAdABBAHIAcgBhAHkALAAgADAAKQAsAFwAbgAgACAAIAAgACAAIAAwACkALABcAG4AIAAgACAAIAAwACkAXABuACAAIAApAFwAbgApADsAIgB9ACwAewAiAHAAYQB0AGgAIgA6ACIALwBwAHIAbwBqAGUAYwB0AHMALwBTAGMAbwBwAGUAMwBfAFMAbwB1AHIAYwBlAEQAYQB0AGEAIgAsACIAdABlAHgAdAAiADoAIgBcAG4ALwAqAFwAbgA9AD0APQA9AD0APQA9AD0APQA9AD0APQA9AD0APQA9AD0APQA9AD0APQA9AD0APQA9AD0APQA9AD0APQA9AD0APQA9AD0APQA9AD0APQA9AD0APQA9AD0APQA9AD0APQA9AD0APQA9AD0APQA9AD0APQA9AD0APQA9AD0APQA9AD0APQA9AD0APQA9AD0APQA9AD0APQA9AFwAbgBBAG4AaQBtAGEAbABzAFwAbgA9AD0APQA9AD0APQA9AD0APQA9AD0APQA9AD0APQA9AD0APQA9AD0APQA9AD0APQA9AD0APQA9AD0APQA9AD0APQA9AD0APQA9AD0APQA9AD0APQA9AD0APQA9AD0APQA9AD0APQA9AD0APQA9AD0APQA9AD0APQA9AD0APQA9AD0APQA9AD0APQA9AD0APQA9AD0APQA9AFwAbgAqAC8AXABuAFwAbgBTAGMAbwBwAGUAMwBfAEwAaQB2AGUAcwB0AG8AYwBrAF8AVABpAHQAbABlAFwAbgA9AEwAQQBNAEIARABBACgAKABcACIATABpAHYAZQBzAHQAbwBjAGsAIABzAGMAbwBwAGUAIAAzAFwAIgApACkAOwBcAG4AXABuAFMAYwBvAHAAZQAzAF8ATABpAHYAZQBzAHQAbwBjAGs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MAGkAdgBlAHMAdABvAGMAawBfAFYAYQByAGkAYQB0AGkAbwBuAFwAbgA9AEwAQQBNAEIARABBACgAKABcACIAXAAiACkAKQA7AFwAbgBcAG4AUwBjAG8AcABlADMAXwBMAGkAdgBlAHMAdABvAGMAawBfAEQAYQB0AGEAXABuAD0ATABBAE0AQgBEAEEAKABcAG4AIAAgAE0AQQBLAEUAQQBSAFIAQQBZACgANAAy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QBuAGkAbQBhAGwAcwBcACIALAAgAFwAIgBCAGUAZQBmACAAYwBhAHQAdABsAGUAXAAiACwAIABcACIAQwBhAHQAdABsAGUALAAgAGYAbwByACAAbQBhAG4AdQBmAGEAYwB0AHUAcgBpAG4AZwAgAGIAZQBlAGYAXAAiACwAIABcACIAQQB1AHMAdAByAGEAbABpAGEAXAAiACwAIABcACIAawBnACAAbABpAHYAZQB3AGUAaQBnAGgAdABcACIALAAgADEAMQAsACAAXAAiAGEAdAAgAG0AYQByAGsAZQB0AFwAIgA7AFwAbgAgACAAIAAgACAAIAAgACAAXAAiAEEAbgBpAG0AYQBsAHMAXAAiACwAIABcACIAQgBlAGUAZgAgAGMAYQB0AHQAbABlAFwAIgAsACAAXAAiAEMAYQB0AHQAbABlACwAIABmAG8AcgAgAG0AYQBuAHUAZgBhAGMAdAB1AHIAaQBuAGcAIABiAGUAZQBmAFwAIgAsACAAXAAiAE4AUwBXAFwAIgAsACAAXAAiAGsAZwAgAGwAaQB2AGUAdwBlAGkAZwBoAHQAXAAiACwAIAA4AC4AMgAxACwAIABcACIAYQB0ACAAbQBhAHIAawBlAHQAXAAiADsAXABuACAAIAAgACAAIAAgACAAIABcACIAQQBuAGkAbQBhAGwAcwBcACIALAAgAFwAIgBCAGUAZQBmACAAYwBhAHQAdABsAGUAXAAiACwAIABcACIAQwBhAHQAdABsAGUALAAgAGYAbwByACAAbQBhAG4AdQBmAGEAYwB0AHUAcgBpAG4AZwAgAGIAZQBlAGYAXAAiACwAIABcACIATgBUAFwAIgAsACAAXAAiAGsAZwAgAGwAaQB2AGUAdwBlAGkAZwBoAHQAXAAiACwAIAAxADIALgAyACwAIABcACIAYQB0ACAAbQBhAHIAawBlAHQAXAAiADsAXABuACAAIAAgACAAIAAgACAAIABcACIAQQBuAGkAbQBhAGwAcwBcACIALAAgAFwAIgBCAGUAZQBmACAAYwBhAHQAdABsAGUAXAAiACwAIABcACIAQwBhAHQAdABsAGUALAAgAGYAbwByACAAbQBhAG4AdQBmAGEAYwB0AHUAcgBpAG4AZwAgAGIAZQBlAGYAXAAiACwAIABcACIAUQBMAEQAXAAiACwAIABcACIAawBnACAAbABpAHYAZQB3AGUAaQBnAGgAdABcACIALAAgADEAMAAuADkALAAgAFwAIgBhAHQAIABtAGEAcgBrAGUAdABcACIAOwBcAG4AIAAgACAAIAAgACAAIAAgAFwAIgBBAG4AaQBtAGEAbABzAFwAIgAsACAAXAAiAEIAZQBlAGYAIABjAGEAdAB0AGwAZQBcACIALAAgAFwAIgBDAGEAdAB0AGwAZQAsACAAZgBvAHIAIABtAGEAbgB1AGYAYQBjAHQAdQByAGkAbgBnACAAYgBlAGUAZgBcACIALAAgAFwAIgBTAEEAXAAiACwAIABcACIAawBnACAAbABpAHYAZQB3AGUAaQBnAGgAdABcACIALAAgADcALgA2ADMALAAgAFwAIgBhAHQAIABtAGEAcgBrAGUAdABcACIAOwBcAG4AIAAgACAAIAAgACAAIAAgAFwAIgBBAG4AaQBtAGEAbABzAFwAIgAsACAAXAAiAEIAZQBlAGYAIABjAGEAdAB0AGwAZQBcACIALAAgAFwAIgBDAGEAdAB0AGwAZQAsACAAZgBvAHIAIABtAGEAbgB1AGYAYQBjAHQAdQByAGkAbgBnACAAYgBlAGUAZgBcACIALAAgAFwAIgBUAEEAUwBcACIALAAgAFwAIgBrAGcAIABsAGkAdgBlAHcAZQBpAGcAaAB0AFwAIgAsACAAOAAuADcANQAsACAAXAAiAGEAdAAgAG0AYQByAGsAZQB0AFwAIgA7AFwAbgAgACAAIAAgACAAIAAgACAAXAAiAEEAbgBpAG0AYQBsAHMAXAAiACwAIABcACIAQgBlAGUAZgAgAGMAYQB0AHQAbABlAFwAIgAsACAAXAAiAEMAYQB0AHQAbABlACwAIABmAG8AcgAgAG0AYQBuAHUAZgBhAGMAdAB1AHIAaQBuAGcAIABiAGUAZQBmAFwAIgAsACAAXAAiAFYASQBDAFwAIgAsACAAXAAiAGsAZwAgAGwAaQB2AGUAdwBlAGkAZwBoAHQAXAAiACwAIAA4AC4AMQA3ACwAIABcACIAYQB0ACAAbQBhAHIAawBlAHQAXAAiADsAXABuACAAIAAgACAAIAAgACAAIABcACIAQQBuAGkAbQBhAGwAcwBcACIALAAgAFwAIgBCAGUAZQBmACAAYwBhAHQAdABsAGUAXAAiACwAIABcACIAQwBhAHQAdABsAGUALAAgAGYAbwByACAAbQBhAG4AdQBmAGEAYwB0AHUAcgBpAG4AZwAgAGIAZQBlAGYAXAAiACwAIABcACIAVwBBAFwAIgAsACAAXAAiAGsAZwAgAGwAaQB2AGUAdwBlAGkAZwBoAHQAXAAiACwAIAAxADMALgAxACwAIABcACIAYQB0ACAAbQBhAHIAawBlAHQAXAAiADsAXABuACAAIAAgACAAIAAgACAAIABcACIAQQBuAGkAbQBhAGwAcwBcACIALAAgAFwAIgBCAGUAZQBmACAAYwBhAHQAdABsAGUAXAAiACwAIABcACIAQwBhAHQAdABsAGUALAAgAGYAbwByACAAcAByAGkAbQBlACAAYgBlAGUAZgBcACIALAAgAFwAIgBBAHUAcwB0AHIAYQBsAGkAYQBcACIALAAgAFwAIgBrAGcAIABsAGkAdgBlAHcAZQBpAGcAaAB0AFwAIgAsACAAMQA0AC4ANQAsACAAXAAiAGEAdAAgAG0AYQByAGsAZQB0AFwAIgA7AFwAbgAgACAAIAAgACAAIAAgACAAXAAiAEEAbgBpAG0AYQBsAHMAXAAiACwAIABcACIAQgBlAGUAZgAgAGMAYQB0AHQAbABlAFwAIgAsACAAXAAiAEMAYQB0AHQAbABlACwAIABmAG8AcgAgAHAAcgBpAG0AZQAgAGIAZQBlAGYAXAAiACwAIABcACIATgBTAFcAXAAiACwAIABcACIAawBnACAAbABpAHYAZQB3AGUAaQBnAGgAdABcACIALAAgADEAMQAuADMALAAgAFwAIgBhAHQAIABtAGEAcgBrAGUAdABcACIAOwBcAG4AIAAgACAAIAAgACAAIAAgAFwAIgBBAG4AaQBtAGEAbABzAFwAIgAsACAAXAAiAEIAZQBlAGYAIABjAGEAdAB0AGwAZQBcACIALAAgAFwAIgBDAGEAdAB0AGwAZQAsACAAZgBvAHIAIABwAHIAaQBtAGUAIABiAGUAZQBmAFwAIgAsACAAXAAiAE4AVABcACIALAAgAFwAIgBrAGcAIABsAGkAdgBlAHcAZQBpAGcAaAB0AFwAIgAsACAAMQA4AC4AOQAsACAAXAAiAGEAdAAgAG0AYQByAGsAZQB0AFwAIgA7AFwAbgAgACAAIAAgACAAIAAgACAAXAAiAEEAbgBpAG0AYQBsAHMAXAAiACwAIABcACIAQgBlAGUAZgAgAGMAYQB0AHQAbABlAFwAIgAsACAAXAAiAEMAYQB0AHQAbABlACwAIABmAG8AcgAgAHAAcgBpAG0AZQAgAGIAZQBlAGYAXAAiACwAIABcACIAUQBMAEQAXAAiACwAIABcACIAawBnACAAbABpAHYAZQB3AGUAaQBnAGgAdABcACIALAAgADEAMwAuADkALAAgAFwAIgBhAHQAIABtAGEAcgBrAGUAdABcACIAOwBcAG4AIAAgACAAIAAgACAAIAAgAFwAIgBBAG4AaQBtAGEAbABzAFwAIgAsACAAXAAiAEIAZQBlAGYAIABjAGEAdAB0AGwAZQBcACIALAAgAFwAIgBDAGEAdAB0AGwAZQAsACAAZgBvAHIAIABwAHIAaQBtAGUAIABiAGUAZQBmAFwAIgAsACAAXAAiAFMAQQBcACIALAAgAFwAIgBrAGcAIABsAGkAdgBlAHcAZQBpAGcAaAB0AFwAIgAsACAAMQAyAC4AMwAsACAAXAAiAGEAdAAgAG0AYQByAGsAZQB0AFwAIgA7AFwAbgAgACAAIAAgACAAIAAgACAAXAAiAEEAbgBpAG0AYQBsAHMAXAAiACwAIABcACIAQgBlAGUAZgAgAGMAYQB0AHQAbABlAFwAIgAsACAAXAAiAEMAYQB0AHQAbABlACwAIABmAG8AcgAgAHAAcgBpAG0AZQAgAGIAZQBlAGYAXAAiACwAIABcACIAVABBAFMAXAAiACwAIABcACIAawBnACAAbABpAHYAZQB3AGUAaQBnAGgAdABcACIALAAgADEAMQAuADUALAAgAFwAIgBhAHQAIABtAGEAcgBrAGUAdABcACIAOwBcAG4AIAAgACAAIAAgACAAIAAgAFwAIgBBAG4AaQBtAGEAbABzAFwAIgAsACAAXAAiAEIAZQBlAGYAIABjAGEAdAB0AGwAZQBcACIALAAgAFwAIgBDAGEAdAB0AGwAZQAsACAAZgBvAHIAIABwAHIAaQBtAGUAIABiAGUAZQBmAFwAIgAsACAAXAAiAFYASQBDAFwAIgAsACAAXAAiAGsAZwAgAGwAaQB2AGUAdwBlAGkAZwBoAHQAXAAiACwAIAAxADEALgA1ACwAIABcACIAYQB0ACAAbQBhAHIAawBlAHQAXAAiADsAXABuACAAIAAgACAAIAAgACAAIABcACIAQQBuAGkAbQBhAGwAcwBcACIALAAgAFwAIgBCAGUAZQBmACAAYwBhAHQAdABsAGUAXAAiACwAIABcACIAQwBhAHQAdABsAGUALAAgAGYAbwByACAAcAByAGkAbQBlACAAYgBlAGUAZgBcACIALAAgAFwAIgBXAEEAXAAiACwAIABcACIAawBnACAAbABpAHYAZQB3AGUAaQBnAGgAdABcACIALAAgADIAMAAuADgALAAgAFwAIgBhAHQAIABtAGEAcgBrAGUAdABcACIAOwBcAG4AIAAgACAAIAAgACAAIAAgAFwAIgBBAG4AaQBtAGEAbABzAFwAIgAsACAAXAAiAEIAZQBlAGYAIABjAGEAdAB0AGwAZQBcACIALAAgAFwAIgBDAGEAdAB0AGwAZQAsACAAdwBlAGEAbgBlAHIAcwBcACIALAAgAFwAIgBBAHUAcwB0AHIAYQBsAGkAYQBcACIALAAgAFwAIgBrAGcAIABsAGkAdgBlAHcAZQBpAGcAaAB0AFwAIgAsACAAMQA1AC4ANQAsACAAXAAiAGEAdAAgAG0AYQByAGsAZQB0AFwAIgA7AFwAbgAgACAAIAAgACAAIAAgACAAXAAiAEEAbgBpAG0AYQBsAHMAXAAiACwAIABcACIAQgBlAGUAZgAgAGMAYQB0AHQAbABlAFwAIgAsACAAXAAiAEMAYQB0AHQAbABlACwAIAB3AGUAYQBuAGUAcgBzAFwAIgAsACAAXAAiAE4AUwBXAFwAIgAsACAAXAAiAGsAZwAgAGwAaQB2AGUAdwBlAGkAZwBoAHQAXAAiACwAIAAxADIALgA3ACwAIABcACIAYQB0ACAAbQBhAHIAawBlAHQAXAAiADsAXABuACAAIAAgACAAIAAgACAAIABcACIAQQBuAGkAbQBhAGwAcwBcACIALAAgAFwAIgBCAGUAZQBmACAAYwBhAHQAdABsAGUAXAAiACwAIABcACIAQwBhAHQAdABsAGUALAAgAHcAZQBhAG4AZQByAHMAXAAiACwAIABcACIATgBUAFwAIgAsACAAXAAiAGsAZwAgAGwAaQB2AGUAdwBlAGkAZwBoAHQAXAAiACwAIAAxADkALgAxACwAIABcACIAYQB0ACAAbQBhAHIAawBlAHQAXAAiADsAXABuACAAIAAgACAAIAAgACAAIABcACIAQQBuAGkAbQBhAGwAcwBcACIALAAgAFwAIgBCAGUAZQBmACAAYwBhAHQAdABsAGUAXAAiACwAIABcACIAQwBhAHQAdABsAGUALAAgAHcAZQBhAG4AZQByAHMAXAAiACwAIABcACIAUQBMAEQAXAAiACwAIABcACIAawBnACAAbABpAHYAZQB3AGUAaQBnAGgAdABcACIALAAgADIAMAAuADUALAAgAFwAIgBhAHQAIABtAGEAcgBrAGUAdABcACIAOwBcAG4AIAAgACAAIAAgACAAIAAgAFwAIgBBAG4AaQBtAGEAbABzAFwAIgAsACAAXAAiAEIAZQBlAGYAIABjAGEAdAB0AGwAZQBcACIALAAgAFwAIgBDAGEAdAB0AGwAZQAsACAAdwBlAGEAbgBlAHIAcwBcACIALAAgAFwAIgBTAEEAXAAiACwAIABcACIAawBnACAAbABpAHYAZQB3AGUAaQBnAGgAdABcACIALAAgADEAMAAuADgALAAgAFwAIgBhAHQAIABtAGEAcgBrAGUAdABcACIAOwBcAG4AIAAgACAAIAAgACAAIAAgAFwAIgBBAG4AaQBtAGEAbABzAFwAIgAsACAAXAAiAEIAZQBlAGYAIABjAGEAdAB0AGwAZQBcACIALAAgAFwAIgBDAGEAdAB0AGwAZQAsACAAdwBlAGEAbgBlAHIAcwBcACIALAAgAFwAIgBUAEEAUwBcACIALAAgAFwAIgBrAGcAIABsAGkAdgBlAHcAZQBpAGcAaAB0AFwAIgAsACAAMQAzAC4ANAAsACAAXAAiAGEAdAAgAG0AYQByAGsAZQB0AFwAIgA7AFwAbgAgACAAIAAgACAAIAAgACAAXAAiAEEAbgBpAG0AYQBsAHMAXAAiACwAIABcACIAQgBlAGUAZgAgAGMAYQB0AHQAbABlAFwAIgAsACAAXAAiAEMAYQB0AHQAbABlACwAIAB3AGUAYQBuAGUAcgBzAFwAIgAsACAAXAAiAFYASQBDAFwAIgAsACAAXAAiAGsAZwAgAGwAaQB2AGUAdwBlAGkAZwBoAHQAXAAiACwAIAAxADIALAAgAFwAIgBhAHQAIABtAGEAcgBrAGUAdABcACIAOwBcAG4AIAAgACAAIAAgACAAIAAgAFwAIgBBAG4AaQBtAGEAbABzAFwAIgAsACAAXAAiAEIAZQBlAGYAIABjAGEAdAB0AGwAZQBcACIALAAgAFwAIgBDAGEAdAB0AGwAZQAsACAAdwBlAGEAbgBlAHIAcwBcACIALAAgAFwAIgBXAEEAXAAiACwAIABcACIAawBnACAAbABpAHYAZQB3AGUAaQBnAGgAdABcACIALAAgADEAMgAuADQALAAgAFwAIgBhAHQAIABtAGEAcgBrAGUAdABcACIAOwBcAG4AIAAgACAAIAAgACAAIAAgAFwAIgBBAG4AaQBtAGEAbABzAFwAIgAsACAAXAAiAEMAaABpAGMAawBlAG4AcwBcACIALAAgAFwAIgBDAGgAaQBjAGsAZQBuAHMAXAAiACwAIABcACIAQQB1AHMAdAByAGEAbABpAGEAXAAiACwAIABcACIAawBnACAAbABpAHYAZQB3AGUAaQBnAGgAdABcACIALAAgADEALgAzADYALAAgAFwAIgBhAHQAIABtAGEAcgBrAGUAdABcACIAOwBcAG4AIAAgACAAIAAgACAAIAAgAFwAIgBBAG4AaQBtAGEAbABzAFwAIgAsACAAXAAiAEQAYQBpAHIAeQAgAGMAYQB0AHQAbABlAFwAIgAsACAAXAAiAEQAYQBpAHIAeQAgAGMAbwB3AHMAXAAiACwAIABcACIAVgBJAEMAXAAiACwAIABcACIAawBnACAAbABpAHYAZQB3AGUAaQBnAGgAdABcACIALAAgADQALgA0ADEALAAgAFwAIgBhAHQAIABtAGEAcgBrAGUAdABcACIAOwBcAG4AIAAgACAAIAAgACAAIAAgAFwAIgBBAG4AaQBtAGEAbABzAFwAIgAsACAAXAAiAFAAaQBnAHMAXAAiACwAIABcACIAUABpAGcAcwBcACIALAAgAFwAIgBBAHUAcwB0AHIAYQBsAGkAYQBcACIALAAgAFwAIgBrAGcAIABsAGkAdgBlAHcAZQBpAGcAaAB0AFwAIgAsACAAMwAuADMAOAAsACAAXAAiAGEAdAAgAG0AYQByAGsAZQB0AFwAIgA7AFwAbgAgACAAIAAgACAAIAAgACAAXAAiAEEAbgBpAG0AYQBsAHMAXAAiACwAIABcACIAUwBoAGUAZQBwAFwAIgAsACAAXAAiAFMAaABlAGUAcAAsACAAZgBvAHIAIABtAHUAdAB0AG8AbgBcACIALAAgAFwAIgBBAHUAcwB0AHIAYQBsAGkAYQBcACIALAAgAFwAIgBrAGcAIABsAGkAdgBlAHcAZQBpAGcAaAB0AFwAIgAsACAANgAuADgAMQAsACAAXAAiAGEAdAAgAG0AYQByAGsAZQB0AFwAIgA7AFwAbgAgACAAIAAgACAAIAAgACAAXAAiAEEAbgBpAG0AYQBsAHMAXAAiACwAIABcACIAUwBoAGUAZQBwAFwAIgAsACAAXAAiAFMAaABlAGUAcAAsACAAZgBvAHIAIABtAHUAdAB0AG8AbgBcACIALAAgAFwAIgBOAFMAVwBcACIALAAgAFwAIgBrAGcAIABsAGkAdgBlAHcAZQBpAGcAaAB0AFwAIgAsACAAMgAuADIANgAsACAAXAAiAGEAdAAgAG0AYQByAGsAZQB0AFwAIgA7AFwAbgAgACAAIAAgACAAIAAgACAAXAAiAEEAbgBpAG0AYQBsAHMAXAAiACwAIABcACIAUwBoAGUAZQBwAFwAIgAsACAAXAAiAFMAaABlAGUAcAAsACAAZgBvAHIAIABtAHUAdAB0AG8AbgBcACIALAAgAFwAIgBRAEwARABcACIALAAgAFwAIgBrAGcAIABsAGkAdgBlAHcAZQBpAGcAaAB0AFwAIgAsACAANgAuADMAMwAsACAAXAAiAGEAdAAgAG0AYQByAGsAZQB0AFwAIgA7AFwAbgAgACAAIAAgACAAIAAgACAAXAAiAEEAbgBpAG0AYQBsAHMAXAAiACwAIABcACIAUwBoAGUAZQBwAFwAIgAsACAAXAAiAFMAaABlAGUAcAAsACAAZgBvAHIAIABtAHUAdAB0AG8AbgBcACIALAAgAFwAIgBTAEEAXAAiACwAIABcACIAawBnACAAbABpAHYAZQB3AGUAaQBnAGgAdABcACIALAAgADYALgAxADgALAAgAFwAIgBhAHQAIABtAGEAcgBrAGUAdABcACIAOwBcAG4AIAAgACAAIAAgACAAIAAgAFwAIgBBAG4AaQBtAGEAbABzAFwAIgAsACAAXAAiAFMAaABlAGUAcABcACIALAAgAFwAIgBTAGgAZQBlAHAALAAgAGYAbwByACAAbQB1AHQAdABvAG4AXAAiACwAIABcACIAVABBAFMAXAAiACwAIABcACIAawBnACAAbABpAHYAZQB3AGUAaQBnAGgAdABcACIALAAgADcALgA1ACwAIABcACIAYQB0ACAAbQBhAHIAawBlAHQAXAAiADsAXABuACAAIAAgACAAIAAgACAAIABcACIAQQBuAGkAbQBhAGwAcwBcACIALAAgAFwAIgBTAGgAZQBlAHAAXAAiACwAIABcACIAUwBoAGUAZQBwACwAIABmAG8AcgAgAG0AdQB0AHQAbwBuAFwAIgAsACAAXAAiAFYASQBDAFwAIgAsACAAXAAiAGsAZwAgAGwAaQB2AGUAdwBlAGkAZwBoAHQAXAAiACwAIAA4AC4AMAA4ACwAIABcACIAYQB0ACAAbQBhAHIAawBlAHQAXAAiADsAXABuACAAIAAgACAAIAAgACAAIABcACIAQQBuAGkAbQBhAGwAcwBcACIALAAgAFwAIgBTAGgAZQBlAHAAXAAiACwAIABcACIAUwBoAGUAZQBwACwAIABmAG8AcgAgAG0AdQB0AHQAbwBuAFwAIgAsACAAXAAiAFcAQQBcACIALAAgAFwAIgBrAGcAIABsAGkAdgBlAHcAZQBpAGcAaAB0AFwAIgAsACAANQAuADQANQAsACAAXAAiAGEAdAAgAG0AYQByAGsAZQB0AFwAIgA7AFwAbgAgACAAIAAgACAAIAAgACAAXAAiAEEAbgBpAG0AYQBsAHMAXAAiACwAIABcACIAUwBoAGUAZQBwAFwAIgAsACAAXAAiAFMAaABlAGUAcAAsACAAZgBvAHIAIABwAHIAaQBtAGUAIABsAGEAbQBiAFwAIgAsACAAXAAiAEEAdQBzAHQAcgBhAGwAaQBhAFwAIgAsACAAXAAiAGsAZwAgAGwAaQB2AGUAdwBlAGkAZwBoAHQAXAAiACwAIAA3AC4AMQA1ACwAIABcACIAYQB0ACAAbQBhAHIAawBlAHQAXAAiADsAXABuACAAIAAgACAAIAAgACAAIABcACIAQQBuAGkAbQBhAGwAcwBcACIALAAgAFwAIgBTAGgAZQBlAHAAXAAiACwAIABcACIAUwBoAGUAZQBwACwAIABmAG8AcgAgAHAAcgBpAG0AZQAgAGwAYQBtAGIAXAAiACwAIABcACIATgBTAFcAXAAiACwAIABcACIAawBnACAAbABpAHYAZQB3AGUAaQBnAGgAdABcACIALAAgADgALgAyADkALAAgAFwAIgBhAHQAIABtAGEAcgBrAGUAdABcACIAOwBcAG4AIAAgACAAIAAgACAAIAAgAFwAIgBBAG4AaQBtAGEAbABzAFwAIgAsACAAXAAiAFMAaABlAGUAcABcACIALAAgAFwAIgBTAGgAZQBlAHAALAAgAGYAbwByACAAcAByAGkAbQBlACAAbABhAG0AYgBcACIALAAgAFwAIgBRAEwARABcACIALAAgAFwAIgBrAGcAIABsAGkAdgBlAHcAZQBpAGcAaAB0AFwAIgAsACAANgAuADMAOQAsACAAXAAiAGEAdAAgAG0AYQByAGsAZQB0AFwAIgA7AFwAbgAgACAAIAAgACAAIAAgACAAXAAiAEEAbgBpAG0AYQBsAHMAXAAiACwAIABcACIAUwBoAGUAZQBwAFwAIgAsACAAXAAiAFMAaABlAGUAcAAsACAAZgBvAHIAIABwAHIAaQBtAGUAIABsAGEAbQBiAFwAIgAsACAAXAAiAFMAQQBcACIALAAgAFwAIgBrAGcAIABsAGkAdgBlAHcAZQBpAGcAaAB0AFwAIgAsACAANgAuADgANwAsACAAXAAiAGEAdAAgAG0AYQByAGsAZQB0AFwAIgA7AFwAbgAgACAAIAAgACAAIAAgACAAXAAiAEEAbgBpAG0AYQBsAHMAXAAiACwAIABcACIAUwBoAGUAZQBwAFwAIgAsACAAXAAiAFMAaABlAGUAcAAsACAAZgBvAHIAIABwAHIAaQBtAGUAIABsAGEAbQBiAFwAIgAsACAAXAAiAFQAQQBTAFwAIgAsACAAXAAiAGsAZwAgAGwAaQB2AGUAdwBlAGkAZwBoAHQAXAAiACwAIAA4AC4ANgA2ACwAIABcACIAYQB0ACAAbQBhAHIAawBlAHQAXAAiADsAXABuACAAIAAgACAAIAAgACAAIABcACIAQQBuAGkAbQBhAGwAcwBcACIALAAgAFwAIgBTAGgAZQBlAHAAXAAiACwAIABcACIAUwBoAGUAZQBwACwAIABmAG8AcgAgAHAAcgBpAG0AZQAgAGwAYQBtAGIAXAAiACwAIABcACIAVgBJAEMAXAAiACwAIABcACIAawBnACAAbABpAHYAZQB3AGUAaQBnAGgAdABcACIALAAgADEAMAAsACAAXAAiAGEAdAAgAG0AYQByAGsAZQB0AFwAIgA7AFwAbgAgACAAIAAgACAAIAAgACAAXAAiAEEAbgBpAG0AYQBsAHMAXAAiACwAIABcACIAUwBoAGUAZQBwAFwAIgAsACAAXAAiAFMAaABlAGUAcAAsACAAZgBvAHIAIABwAHIAaQBtAGUAIABsAGEAbQBiAFwAIgAsACAAXAAiAFcAQQBcACIALAAgAFwAIgBrAGcAIABsAGkAdgBlAHcAZQBpAGcAaAB0AFwAIgAsACAANQAuADYANw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QwBoAGUAbQBpAGMAYQBsAHMAXABuAD0APQA9AD0APQA9AD0APQA9AD0APQA9AD0APQA9AD0APQA9AD0APQA9AD0APQA9AD0APQA9AD0APQA9AD0APQA9AD0APQA9AD0APQA9AD0APQA9AD0APQA9AD0APQA9AD0APQA9AD0APQA9AD0APQA9AD0APQA9AD0APQA9AD0APQA9AD0APQA9AD0APQA9AD0APQA9AD0AXABuACoALwBcAG4AXABuAFMAYwBvAHAAZQAzAF8AQwBoAGUAbQBpAGMAYQBsAHMAXwBUAGkAdABsAGUAXABuAD0ATABBAE0AQgBEAEEAKAAoAFwAIgBDAGgAZQBtAGkAYwBhAGwAcwAgAHMAYwBvAHAAZQAgADMAXAAiACkAKQA7AFwAbgBcAG4AUwBjAG8AcABlADMAXwBDAGgAZQBtAGkAYwBhAGw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MAaABlAG0AaQBjAGEAbABzAF8AVgBhAHIAaQBhAHQAaQBvAG4AXABuAD0ATABBAE0AQgBEAEEAKAAoAFwAIgBcACIAKQApADsAXABuAFwAbgBTAGMAbwBwAGUAMwBfAEMAaABlAG0AaQBjAGEAbABzAF8ARABhAHQAYQBcAG4APQBMAEEATQBCAEQAQQAoAFwAbgAgACAATQBBAEsARQBBAFIAUgBBAFkAKAA4ACwAIAA3ACwAXABuACAAIAAgACAATABBAE0AQgBEAEEAKAByACwAYwAsAFwAbgAgACAAIAAgACAAIABJAE4ARABFAFgAKAB7AFwAbgAgACAAIAAgACAAIAAgACAAXAAiAEMAYQB0AGUAZwBvAHIAeQBcACIALAAgAFwAIgBTAHUAYgAtAGMAYQB0AGUAZwBvAHIAeQBcACIALAAgAFwAIgBQAHIAbwBkAHUAYwB0ACAAbgBhAG0AZQBcACIALAAgAFwAIgBSAGUAZwBpAG8AbgAgAG8AZgAgAG8AcgBpAGcAaQBuAFwAIgAsACAAXAAiAFAAcgBvAGQAdQBjAHQAIABVAG4AaQB0AFwAIgAsACAAXAAiAEcASABHACAAZQBtAGkAcwBzAGkAbwBuACAAaQBuAHQAZQBuAHMAaQB0AHkAXAAiACwAIABcACIAUwB5AHMAdABlAG0AIABiAG8AdQBuAGQAYQByAHkAXAAiADsAXABuACAAIAAgACAAIAAgACAAIABcACIAQwBoAGUAbQBpAGMAYQBsAHMAXAAiACwAIABcACIAQwBsAGUAYQBuAGkAbgBnACAAYwBoAGUAbQBpAGMAYQBsAHMAXAAiACwAIABcACIAQQBsAGsAYQBsAGkAbgBlACAAYwBsAGUAYQBuAGUAcgBcACIALAAgAFwAIgBHAGwAbwBiAGEAbABcACIALAAgAFwAIgBrAGcAXAAiACwAIAAwAC4ANwAyADIALAAgAFwAIgBhAHQAIABtAGEAbgB1AGYAYQBjAHQAdQByAGUAcgBcACIAOwBcAG4AIAAgACAAIAAgACAAIAAgAFwAIgBDAGgAZQBtAGkAYwBhAGwAcwBcACIALAAgAFwAIgBDAGwAZQBhAG4AaQBuAGcAIABjAGgAZQBtAGkAYwBhAGwAcwBcACIALAAgAFwAIgBCAGwAZQBhAGMAaABcACIALAAgAFwAIgBHAGwAbwBiAGEAbABcACIALAAgAFwAIgBrAGcAXAAiACwAIAAwAC4AOAAwADQALAAgAFwAIgBhAHQAIABtAGEAbgB1AGYAYQBjAHQAdQByAGUAcgBcACIAOwBcAG4AIAAgACAAIAAgACAAIAAgAFwAIgBDAGgAZQBtAGkAYwBhAGwAcwBcACIALAAgAFwAIgBDAGwAZQBhAG4AaQBuAGcAIABjAGgAZQBtAGkAYwBhAGwAcwBcACIALAAgAFwAIgBQAGgAbwBzAHAAaABvAHIAaQBjACAAYQBjAGkAZABcACIALAAgAFwAIgBHAGwAbwBiAGEAbABcACIALAAgAFwAIgBrAGcAXAAiACwAIAAwAC4AOQAwADcALAAgAFwAIgBhAHQAIABtAGEAbgB1AGYAYQBjAHQAdQByAGUAcgBcACIAOwBcAG4AIAAgACAAIAAgACAAIAAgAFwAIgBDAGgAZQBtAGkAYwBhAGwAcwBcACIALAAgAFwAIgBQAGgAYQByAG0AYQBjAHkAIABjAGgAZQBtAGkAYwBhAGwAcwBcACIALAAgAFwAIgBQAGEAcgBhAHMAaQB0AGUAIABjAG8AbgB0AHIAbwBsACAAZgBvAHIAIABjAGEAdAB0AGwAZQAgACgAZQB4AHQAZQByAG4AYQBsACkALAAgAGQAaQBwAHAAaQBuAGcAXAAiACwAIABcACIARwBsAG8AYgBhAGwAXAAiACwAIABcACIAcAAgACgAaABlAGEAZAApAFwAIgAsACAAMAAuADAANQA0ADcALAAgAFwAIgBhAHQAIABtAGEAbgB1AGYAYQBjAHQAdQByAGUAcgBcACIAOwBcAG4AIAAgACAAIAAgACAAIAAgAFwAIgBDAGgAZQBtAGkAYwBhAGwAcwBcACIALAAgAFwAIgBQAGgAYQByAG0AYQBjAHkAIABjAGgAZQBtAGkAYwBhAGwAcwBcACIALAAgAFwAIgBQAGEAcgBhAHMAaQB0AGUAIABjAG8AbgB0AHIAbwBsACAAZgBvAHIAIABjAGEAdAB0AGwAZQAgACgAaQBuAHQAZQByAG4AYQBsACkAXAAiACwAIABcACIARwBsAG8AYgBhAGwAXAAiACwAIABcACIAcAAgACgAaABlAGEAZAApAFwAIgAsACAAMAAuADAAMQA0ADIALAAgAFwAIgBhAHQAIABtAGEAbgB1AGYAYQBjAHQAdQByAGUAcgBcACIAOwBcAG4AIAAgACAAIAAgACAAIAAgAFwAIgBDAGgAZQBtAGkAYwBhAGwAcwBcACIALAAgAFwAIgBQAGgAYQByAG0AYQBjAHkAIABjAGgAZQBtAGkAYwBhAGwAcwBcACIALAAgAFwAIgBQAGEAcgBhAHMAaQB0AGUAIABjAG8AbgB0AHIAbwBsACAAZgBvAHIAIABzAGgAZQBlAHAAIAAoAGUAeAB0AGUAcgBuAGEAbAApAFwAIgAsACAAXAAiAEcAbABvAGIAYQBsAFwAIgAsACAAXAAiAHAAIAAoAGgAZQBhAGQAKQBcACIALAAgADAALgAwADEANAAzACwAIABcACIAYQB0ACAAbQBhAG4AdQBmAGEAYwB0AHUAcgBlAHIAXAAiADsAXABuACAAIAAgACAAIAAgACAAIABcACIAQwBoAGUAbQBpAGMAYQBsAHMAXAAiACwAIABcACIAUABoAGEAcgBtAGEAYwB5ACAAYwBoAGUAbQBpAGMAYQBsAHMAXAAiACwAIABcACIAUABhAHIAYQBzAGkAdABlACAAYwBvAG4AdAByAG8AbAAgAGYAbwByACAAcwBoAGUAZQBwACAAKABpAG4AdABlAHIAbgBhAGwAKQBcACIALAAgAFwAIgBHAGwAbwBiAGEAbABcACIALAAgAFwAIgBwACAAKABoAGUAYQBkACkAXAAiACwAIAAwAC4AMAAwADQAMgA2ACwAIABcACIAYQB0ACAAbQBhAG4AdQBmAGEAYwB0AHUAcgBlAHI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GUAZQBkAFwAbgA9AD0APQA9AD0APQA9AD0APQA9AD0APQA9AD0APQA9AD0APQA9AD0APQA9AD0APQA9AD0APQA9AD0APQA9AD0APQA9AD0APQA9AD0APQA9AD0APQA9AD0APQA9AD0APQA9AD0APQA9AD0APQA9AD0APQA9AD0APQA9AD0APQA9AD0APQA9AD0APQA9AD0APQA9AD0APQA9AFwAbgAqAC8AXABuAFwAbgBTAGMAbwBwAGUAMwBfAEYAZQBlAGQAXwBUAGkAdABsAGUAXABuAD0ATABBAE0AQgBEAEEAKAAoAFwAIgBGAGUAZQBkACAAcwBjAG8AcABlACAAMwBcACIAKQApADsAXABuAFwAbgBTAGMAbwBwAGUAMwBfAEYAZQBlAGQAXwBTAG8AdQByAGMAZQBcAG4APQBMAEEATQBCAEQAQQAo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KQA7AFwAbgBcAG4AUwBjAG8AcABlADMAXwBGAGUAZQBkAF8AVgBhAHIAaQBhAHQAaQBvAG4AXABuAD0ATABBAE0AQgBEAEEAKAAoAFwAIgBcACIAKQApADsAXABuAFwAbgBTAGMAbwBwAGUAMwBfAEYAZQBlAGQAXwBEAGEAdABhAFwAbgA9AEwAQQBNAEIARABBACgAXABuACAAIABNAEEASwBFAEEAUgBSAEEAWQAoADcAOA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lAGQAXAAiACwAIABcACIAQQBxAHUAYQBjAHUAbAB0AHUAcgBlACAAZgBlAGUAZABcACIALAAgAFwAIgBTAGEAcgBkAGkAbgBlAHMAIAAoAHcAaABvAGwAZQApAFwAIgAsACAAXAAiAFMAQQBcACIALAAgAFwAIgBrAGcAXAAiACwAIAAwAC4AMwA3ADYALAAgAFwAIgBhAHQAIABtAGEAcgBrAGUAdABcACIAOwBcAG4AIAAgACAAIAAgACAAIAAgAFwAIgBGAGUAZQBkAFwAIgAsACAAXAAiAEcAcgBhAGkAbgBcACIALAAgAFwAIgBCAGEAcgBsAGUAeQAgAGcAcgBhAGkAbgBcACIALAAgAFwAIgBBAHUAcwB0AHIAYQBsAGkAYQBcACIALAAgAFwAIgBrAGcAXAAiACwAIAAwAC4AMgAzADkALAAgAFwAIgBhAHQAIABtAGEAcgBrAGUAdABcACIAOwBcAG4AIAAgACAAIAAgACAAIAAgAFwAIgBGAGUAZQBkAFwAIgAsACAAXAAiAEcAcgBhAGkAbgBcACIALAAgAFwAIgBCAGEAcgBsAGUAeQAgAGcAcgBhAGkAbgBcACIALAAgAFwAIgBOAFMAVwBcACIALAAgAFwAIgBrAGcAXAAiACwAIAAwAC4AMgA1ADYALAAgAFwAIgBhAHQAIABtAGEAcgBrAGUAdABcACIAOwBcAG4AIAAgACAAIAAgACAAIAAgAFwAIgBGAGUAZQBkAFwAIgAsACAAXAAiAEcAcgBhAGkAbgBcACIALAAgAFwAIgBCAGEAcgBsAGUAeQAgAGcAcgBhAGkAbgBcACIALAAgAFwAIgBOAFQAXAAiACwAIABcACIAawBnAFwAIgAsACAAMAAuADMAMwAyACwAIABcACIAYQB0ACAAbQBhAHIAawBlAHQAXAAiADsAXABuACAAIAAgACAAIAAgACAAIABcACIARgBlAGUAZABcACIALAAgAFwAIgBHAHIAYQBpAG4AXAAiACwAIABcACIAQgBhAHIAbABlAHkAIABnAHIAYQBpAG4AXAAiACwAIABcACIAUQBMAEQAXAAiACwAIABcACIAawBnAFwAIgAsACAAMAAuADIANgA5ACwAIABcACIAYQB0ACAAbQBhAHIAawBlAHQAXAAiADsAXABuACAAIAAgACAAIAAgACAAIABcACIARgBlAGUAZABcACIALAAgAFwAIgBHAHIAYQBpAG4AXAAiACwAIABcACIAQgBhAHIAbABlAHkAIABnAHIAYQBpAG4AXAAiACwAIABcACIAUwBBAFwAIgAsACAAXAAiAGsAZwBcACIALAAgADAALgAyADIAMwAsACAAXAAiAGEAdAAgAG0AYQByAGsAZQB0AFwAIgA7AFwAbgAgACAAIAAgACAAIAAgACAAXAAiAEYAZQBlAGQAXAAiACwAIABcACIARwByAGEAaQBuAFwAIgAsACAAXAAiAEIAYQByAGwAZQB5ACAAZwByAGEAaQBuAFwAIgAsACAAXAAiAFQAQQBTAFwAIgAsACAAXAAiAGsAZwBcACIALAAgADAALgAzADAANwAsACAAXAAiAGEAdAAgAG0AYQByAGsAZQB0AFwAIgA7AFwAbgAgACAAIAAgACAAIAAgACAAXAAiAEYAZQBlAGQAXAAiACwAIABcACIARwByAGEAaQBuAFwAIgAsACAAXAAiAEIAYQByAGwAZQB5ACAAZwByAGEAaQBuAFwAIgAsACAAXAAiAFYASQBDAFwAIgAsACAAXAAiAGsAZwBcACIALAAgADAALgAyADQAMQAsACAAXAAiAGEAdAAgAG0AYQByAGsAZQB0AFwAIgA7AFwAbgAgACAAIAAgACAAIAAgACAAXAAiAEYAZQBlAGQAXAAiACwAIABcACIARwByAGEAaQBuAFwAIgAsACAAXAAiAEIAYQByAGwAZQB5ACAAZwByAGEAaQBuAFwAIgAsACAAXAAiAFcAQQBcACIALAAgAFwAIgBrAGcAXAAiACwAIAAwAC4AMgAzADYALAAgAFwAIgBhAHQAIABtAGEAcgBrAGUAdABcACIAOwBcAG4AIAAgACAAIAAgACAAIAAgAFwAIgBGAGUAZQBkAFwAIgAsACAAXAAiAEcAcgBhAGkAbgBcACIALAAgAFwAIgBNAGEAaQB6AGUAIABnAHIAYQBpAG4AXAAiACwAIABcACIAQQB1AHMAdAByAGEAbABpAGEAXAAiACwAIABcACIAawBnAFwAIgAsACAAMAAuADEAOAAxACwAIABcACIAYQB0ACAAbQBhAHIAawBlAHQAXAAiADsAXABuACAAIAAgACAAIAAgACAAIABcACIARgBlAGUAZABcACIALAAgAFwAIgBHAHIAYQBpAG4AXAAiACwAIABcACIATQBhAGkAegBlACAAZwByAGEAaQBuAFwAIgAsACAAXAAiAE4AUwBXAFwAIgAsACAAXAAiAGsAZwBcACIALAAgADAALgAxADYAOQAsACAAXAAiAGEAdAAgAG0AYQByAGsAZQB0AFwAIgA7AFwAbgAgACAAIAAgACAAIAAgACAAXAAiAEYAZQBlAGQAXAAiACwAIABcACIARwByAGEAaQBuAFwAIgAsACAAXAAiAE0AYQBpAHoAZQAgAGcAcgBhAGkAbgBcACIALAAgAFwAIgBOAFQAXAAiACwAIABcACIAawBnAFwAIgAsACAAMAAuADIANQA2ACwAIABcACIAYQB0ACAAbQBhAHIAawBlAHQAXAAiADsAXABuACAAIAAgACAAIAAgACAAIABcACIARgBlAGUAZABcACIALAAgAFwAIgBHAHIAYQBpAG4AXAAiACwAIABcACIATQBhAGkAegBlACAAZwByAGEAaQBuAFwAIgAsACAAXAAiAFEATABEAFwAIgAsACAAXAAiAGsAZwBcACIALAAgADAALgAxADgANgAsACAAXAAiAGEAdAAgAG0AYQByAGsAZQB0AFwAIgA7AFwAbgAgACAAIAAgACAAIAAgACAAXAAiAEYAZQBlAGQAXAAiACwAIABcACIARwByAGEAaQBuAFwAIgAsACAAXAAiAE0AYQBpAHoAZQAgAGcAcgBhAGkAbgBcACIALAAgAFwAIgBTAEEAXAAiACwAIABcACIAawBnAFwAIgAsACAAMAAuADEANwA2ACwAIABcACIAYQB0ACAAbQBhAHIAawBlAHQAXAAiADsAXABuACAAIAAgACAAIAAgACAAIABcACIARgBlAGUAZABcACIALAAgAFwAIgBHAHIAYQBpAG4AXAAiACwAIABcACIATQBhAGkAegBlACAAZwByAGEAaQBuAFwAIgAsACAAXAAiAFYASQBDAFwAIgAsACAAXAAiAGsAZwBcACIALAAgADAALgAxADUAOQAsACAAXAAiAGEAdAAgAG0AYQByAGsAZQB0AFwAIgA7AFwAbgAgACAAIAAgACAAIAAgACAAXAAiAEYAZQBlAGQAXAAiACwAIABcACIARwByAGEAaQBuAFwAIgAsACAAXAAiAE0AYQBpAHoAZQAgAGcAcgBhAGkAbgBcACIALAAgAFwAIgBXAEEAXAAiACwAIABcACIAawBnAFwAIgAsACAAMAAuADIAOAA1ACwAIABcACIAYQB0ACAAbQBhAHIAawBlAHQAXAAiADsAXABuACAAIAAgACAAIAAgACAAIABcACIARgBlAGUAZABcACIALAAgAFwAIgBHAHIAYQBpAG4AXAAiACwAIABcACIAUwBvAHIAZwBoAHUAbQAgAGcAcgBhAGkAbgBcACIALAAgAFwAIgBBAHUAcwB0AHIAYQBsAGkAYQBcACIALAAgAFwAIgBrAGcAXAAiACwAIAAwAC4AMgAzADIALAAgAFwAIgBhAHQAIABtAGEAcgBrAGUAdABcACIAOwBcAG4AIAAgACAAIAAgACAAIAAgAFwAIgBGAGUAZQBkAFwAIgAsACAAXAAiAEcAcgBhAGkAbgBcACIALAAgAFwAIgBTAG8AcgBnAGgAdQBtACAAZwByAGEAaQBuAFwAIgAsACAAXAAiAE4AUwBXAFwAIgAsACAAXAAiAGsAZwBcACIALAAgADAALgAyADMAMgAsACAAXAAiAGEAdAAgAG0AYQByAGsAZQB0AFwAIgA7AFwAbgAgACAAIAAgACAAIAAgACAAXAAiAEYAZQBlAGQAXAAiACwAIABcACIARwByAGEAaQBuAFwAIgAsACAAXAAiAFMAbwByAGcAaAB1AG0AIABnAHIAYQBpAG4AXAAiACwAIABcACIAUQBMAEQAXAAiACwAIABcACIAawBnAFwAIgAsACAAMAAuADIAMwAxACwAIABcACIAYQB0ACAAbQBhAHIAawBlAHQAXAAiADsAXABuACAAIAAgACAAIAAgACAAIABcACIARgBlAGUAZABcACIALAAgAFwAIgBHAHIAYQBpAG4AXAAiACwAIABcACIAUwBvAHIAZwBoAHUAbQAgAGcAcgBhAGkAbgBcACIALAAgAFwAIgBTAEEAXAAiACwAIABcACIAawBnAFwAIgAsACAAMAAuADIAMQA4ACwAIABcACIAYQB0ACAAbQBhAHIAawBlAHQAXAAiADsAXABuACAAIAAgACAAIAAgACAAIABcACIARgBlAGUAZABcACIALAAgAFwAIgBHAHIAYQBpAG4AXAAiACwAIABcACIAUwBvAHIAZwBoAHUAbQAgAGcAcgBhAGkAbgBcACIALAAgAFwAIgBWAEkAQwBcACIALAAgAFwAIgBrAGcAXAAiACwAIAAwAC4AMgA0ADYALAAgAFwAIgBhAHQAIABtAGEAcgBrAGUAdABcACIAOwBcAG4AIAAgACAAIAAgACAAIAAgAFwAIgBGAGUAZQBkAFwAIgAsACAAXAAiAEcAcgBhAGkAbgBcACIALAAgAFwAIgBXAGgAZQBhAHQAIABnAHIAYQBpAG4AXAAiACwAIABcACIAQQB1AHMAdAByAGEAbABpAGEAXAAiACwAIABcACIAawBnAFwAIgAsACAAMAAuADIANgA4ACwAIABcACIAYQB0ACAAbQBhAHIAawBlAHQAXAAiADsAXABuACAAIAAgACAAIAAgACAAIABcACIARgBlAGUAZABcACIALAAgAFwAIgBHAHIAYQBpAG4AXAAiACwAIABcACIAVwBoAGUAYQB0ACAAZwByAGEAaQBuAFwAIgAsACAAXAAiAE4AUwBXAFwAIgAsACAAXAAiAGsAZwBcACIALAAgADAALgAyADgAMgAsACAAXAAiAGEAdAAgAG0AYQByAGsAZQB0AFwAIgA7AFwAbgAgACAAIAAgACAAIAAgACAAXAAiAEYAZQBlAGQAXAAiACwAIABcACIARwByAGEAaQBuAFwAIgAsACAAXAAiAFcAaABlAGEAdAAgAGcAcgBhAGkAbgBcACIALAAgAFwAIgBOAFQAXAAiACwAIABcACIAawBnAFwAIgAsACAAMAAuADMAOAA1ACwAIABcACIAYQB0ACAAbQBhAHIAawBlAHQAXAAiADsAXABuACAAIAAgACAAIAAgACAAIABcACIARgBlAGUAZABcACIALAAgAFwAIgBHAHIAYQBpAG4AXAAiACwAIABcACIAVwBoAGUAYQB0ACAAZwByAGEAaQBuAFwAIgAsACAAXAAiAFEATABEAFwAIgAsACAAXAAiAGsAZwBcACIALAAgADAALgAyADkANgAsACAAXAAiAGEAdAAgAG0AYQByAGsAZQB0AFwAIgA7AFwAbgAgACAAIAAgACAAIAAgACAAXAAiAEYAZQBlAGQAXAAiACwAIABcACIARwByAGEAaQBuAFwAIgAsACAAXAAiAFcAaABlAGEAdAAgAGcAcgBhAGkAbgBcACIALAAgAFwAIgBTAEEAXAAiACwAIABcACIAawBnAFwAIgAsACAAMAAuADIANAAxACwAIABcACIAYQB0ACAAbQBhAHIAawBlAHQAXAAiADsAXABuACAAIAAgACAAIAAgACAAIABcACIARgBlAGUAZABcACIALAAgAFwAIgBHAHIAYQBpAG4AXAAiACwAIABcACIAVwBoAGUAYQB0ACAAZwByAGEAaQBuAFwAIgAsACAAXAAiAFQAQQBTAFwAIgAsACAAXAAiAGsAZwBcACIALAAgADAALgAzADMAOAAsACAAXAAiAGEAdAAgAG0AYQByAGsAZQB0AFwAIgA7AFwAbgAgACAAIAAgACAAIAAgACAAXAAiAEYAZQBlAGQAXAAiACwAIABcACIARwByAGEAaQBuAFwAIgAsACAAXAAiAFcAaABlAGEAdAAgAGcAcgBhAGkAbgBcACIALAAgAFwAIgBWAEkAQwBcACIALAAgAFwAIgBrAGcAXAAiACwAIAAwAC4AMgA2ADYALAAgAFwAIgBhAHQAIABtAGEAcgBrAGUAdABcACIAOwBcAG4AIAAgACAAIAAgACAAIAAgAFwAIgBGAGUAZQBkAFwAIgAsACAAXAAiAEcAcgBhAGkAbgBcACIALAAgAFwAIgBXAGgAZQBhAHQAIABnAHIAYQBpAG4AXAAiACwAIABcACIAVwBBAFwAIgAsACAAXAAiAGsAZwBcACIALAAgADAALgAyADYAMQAsACAAXAAiAGEAdAAgAG0AYQByAGsAZQB0AFwAIgA7AFwAbgAgACAAIAAgACAAIAAgACAAXAAiAEYAZQBlAGQAXAAiACwAIABcACIASABhAHkAXAAiACwAIABcACIAQwBlAHIAZQBhAGwAIABoAGEAeQBcACIALAAgAFwAIgBBAHUAcwB0AHIAYQBsAGkAYQBcACIALAAgAFwAIgBrAGcAXAAiACwAIAAwAC4AMQAxADcALAAgAFwAIgBhAHQAIABtAGEAcgBrAGUAdABcACIAOwBcAG4AIAAgACAAIAAgACAAIAAgAFwAIgBGAGUAZQBkAFwAIgAsACAAXAAiAEgAYQB5AFwAIgAsACAAXAAiAEMAZQByAGUAYQBsACAAaABhAHkAXAAiACwAIABcACIATgBTAFcAXAAiACwAIABcACIAawBnAFwAIgAsACAAMAAuADEAMQA2ACwAIABcACIAYQB0ACAAbQBhAHIAawBlAHQAXAAiADsAXABuACAAIAAgACAAIAAgACAAIABcACIARgBlAGUAZABcACIALAAgAFwAIgBIAGEAeQBcACIALAAgAFwAIgBDAGUAcgBlAGEAbAAgAGgAYQB5AFwAIgAsACAAXAAiAFEATABEAFwAIgAsACAAXAAiAGsAZwBcACIALAAgADAALgAxADEAOAAsACAAXAAiAGEAdAAgAG0AYQByAGsAZQB0AFwAIgA7AFwAbgAgACAAIAAgACAAIAAgACAAXAAiAEYAZQBlAGQAXAAiACwAIABcACIASABhAHkAXAAiACwAIABcACIAQwBlAHIAZQBhAGwAIABoAGEAeQBcACIALAAgAFwAIgBTAEEAXAAiACwAIABcACIAawBnAFwAIgAsACAAMAAuADEAMQAxACwAIABcACIAYQB0ACAAbQBhAHIAawBlAHQAXAAiADsAXABuACAAIAAgACAAIAAgACAAIABcACIARgBlAGUAZABcACIALAAgAFwAIgBIAGEAeQBcACIALAAgAFwAIgBDAGUAcgBlAGEAbAAgAGgAYQB5AFwAIgAsACAAXAAiAFQAQQBTAFwAIgAsACAAXAAiAGsAZwBcACIALAAgADAALgAxADMAOQAsACAAXAAiAGEAdAAgAG0AYQByAGsAZQB0AFwAIgA7AFwAbgAgACAAIAAgACAAIAAgACAAXAAiAEYAZQBlAGQAXAAiACwAIABcACIASABhAHkAXAAiACwAIABcACIAQwBlAHIAZQBhAGwAIABoAGEAeQBcACIALAAgAFwAIgBWAEkAQwBcACIALAAgAFwAIgBrAGcAXAAiACwAIAAwAC4AMQAxADYALAAgAFwAIgBhAHQAIABtAGEAcgBrAGUAdABcACIAOwBcAG4AIAAgACAAIAAgACAAIAAgAFwAIgBGAGUAZQBkAFwAIgAsACAAXAAiAEgAYQB5AFwAIgAsACAAXAAiAEMAZQByAGUAYQBsACAAaABhAHkAXAAiACwAIABcACIAVwBBAFwAIgAsACAAXAAiAGsAZwBcACIALAAgADAALgAxADIAMgAsACAAXAAiAGEAdAAgAG0AYQByAGsAZQB0AFwAIgA7AFwAbgAgACAAIAAgACAAIAAgACAAXAAiAEYAZQBlAGQAXAAiACwAIABcACIASABhAHkAXAAiACwAIABcACIAQwBlAHIAZQBhAGwAIABzAGkAbABhAGcAZQBcACIALAAgAFwAIgBBAHUAcwB0AHIAYQBsAGkAYQBcACIALAAgAFwAIgBrAGcAXAAiACwAIAAwAC4AMAA3ADQANAAsACAAXAAiAGEAdAAgAG0AYQByAGsAZQB0AFwAIgA7AFwAbgAgACAAIAAgACAAIAAgACAAXAAiAEYAZQBlAGQAXAAiACwAIABcACIASABhAHkAXAAiACwAIABcACIAQwBlAHIAZQBhAGwAIABzAGkAbABhAGcAZQBcACIALAAgAFwAIgBOAFMAVwBcACIALAAgAFwAIgBrAGcAXAAiACwAIAAwAC4AMAA3ADMAOQAsACAAXAAiAGEAdAAgAG0AYQByAGsAZQB0AFwAIgA7AFwAbgAgACAAIAAgACAAIAAgACAAXAAiAEYAZQBlAGQAXAAiACwAIABcACIASABhAHkAXAAiACwAIABcACIAQwBlAHIAZQBhAGwAIABzAGkAbABhAGcAZQBcACIALAAgAFwAIgBRAEwARABcACIALAAgAFwAIgBrAGcAXAAiACwAIAAwAC4AMAA3ADkALAAgAFwAIgBhAHQAIABtAGEAcgBrAGUAdABcACIAOwBcAG4AIAAgACAAIAAgACAAIAAgAFwAIgBGAGUAZQBkAFwAIgAsACAAXAAiAEgAYQB5AFwAIgAsACAAXAAiAEMAZQByAGUAYQBsACAAcwBpAGwAYQBnAGUAXAAiACwAIABcACIAUwBBAFwAIgAsACAAXAAiAGsAZwBcACIALAAgADAALgAwADcAMAA2ACwAIABcACIAYQB0ACAAbQBhAHIAawBlAHQAXAAiADsAXABuACAAIAAgACAAIAAgACAAIABcACIARgBlAGUAZABcACIALAAgAFwAIgBIAGEAeQBcACIALAAgAFwAIgBDAGUAcgBlAGEAbAAgAHMAaQBsAGEAZwBlAFwAIgAsACAAXAAiAFQAQQBTAFwAIgAsACAAXAAiAGsAZwBcACIALAAgADAALgAwADgAMAA4ACwAIABcACIAYQB0ACAAbQBhAHIAawBlAHQAXAAiADsAXABuACAAIAAgACAAIAAgACAAIABcACIARgBlAGUAZABcACIALAAgAFwAIgBIAGEAeQBcACIALAAgAFwAIgBDAGUAcgBlAGEAbAAgAHMAaQBsAGEAZwBlAFwAIgAsACAAXAAiAFYASQBDAFwAIgAsACAAXAAiAGsAZwBcACIALAAgADAALgAwADcAMwA2ACwAIABcACIAYQB0ACAAbQBhAHIAawBlAHQAXAAiADsAXABuACAAIAAgACAAIAAgACAAIABcACIARgBlAGUAZABcACIALAAgAFwAIgBIAGEAeQBcACIALAAgAFwAIgBMAHUAYwBlAHIAbgBlACAAaABhAHkAXAAiACwAIABcACIAQQB1AHMAdAByAGEAbABpAGEAXAAiACwAIABcACIAawBnAFwAIgAsACAAMAAuADEAMQA3ACwAIABcACIAYQB0ACAAbQBhAHIAawBlAHQAXAAiADsAXABuACAAIAAgACAAIAAgACAAIABcACIARgBlAGUAZABcACIALAAgAFwAIgBIAGEAeQBcACIALAAgAFwAIgBMAHUAYwBlAHIAbgBlACAAaABhAHkAXAAiACwAIABcACIATgBTAFcAXAAiACwAIABcACIAawBnAFwAIgAsACAAMAAuADEAMQAzACwAIABcACIAYQB0ACAAbQBhAHIAawBlAHQAXAAiADsAXABuACAAIAAgACAAIAAgACAAIABcACIARgBlAGUAZABcACIALAAgAFwAIgBIAGEAeQBcACIALAAgAFwAIgBMAHUAYwBlAHIAbgBlACAAaABhAHkAXAAiACwAIABcACIAUQBMAEQAXAAiACwAIABcACIAawBnAFwAIgAsACAAMAAuADEANAAzACwAIABcACIAYQB0ACAAbQBhAHIAawBlAHQAXAAiADsAXABuACAAIAAgACAAIAAgACAAIABcACIARgBlAGUAZABcACIALAAgAFwAIgBIAGEAeQBcACIALAAgAFwAIgBMAHUAYwBlAHIAbgBlACAAaABhAHkAXAAiACwAIABcACIAUwBBAFwAIgAsACAAXAAiAGsAZwBcACIALAAgADAALgAxADAANgAsACAAXAAiAGEAdAAgAG0AYQByAGsAZQB0AFwAIgA7AFwAbgAgACAAIAAgACAAIAAgACAAXAAiAEYAZQBlAGQAXAAiACwAIABcACIASABhAHkAXAAiACwAIABcACIATAB1AGMAZQByAG4AZQAgAGgAYQB5AFwAIgAsACAAXAAiAFQAQQBTAFwAIgAsACAAXAAiAGsAZwBcACIALAAgADAALgAxADEAMwAsACAAXAAiAGEAdAAgAG0AYQByAGsAZQB0AFwAIgA7AFwAbgAgACAAIAAgACAAIAAgACAAXAAiAEYAZQBlAGQAXAAiACwAIABcACIASABhAHkAXAAiACwAIABcACIATAB1AGMAZQByAG4AZQAgAGgAYQB5AFwAIgAsACAAXAAiAFYASQBDAFwAIgAsACAAXAAiAGsAZwBcACIALAAgADAALgAxADAANgAsACAAXAAiAGEAdAAgAG0AYQByAGsAZQB0AFwAIgA7AFwAbgAgACAAIAAgACAAIAAgACAAXAAiAEYAZQBlAGQAXAAiACwAIABcACIASABhAHkAXAAiACwAIABcACIATQBhAGkAegBlACAAcwBpAGwAYQBnAGUAXAAiACwAIABcACIAVgBJAEMAXAAiACwAIABcACIAawBnAFwAIgAsACAAMAAuADEANgAzACwAIABcACIAYQB0ACAAbQBhAHIAawBlAHQAXAAiADsAXABuACAAIAAgACAAIAAgACAAIABcACIARgBlAGUAZABcACIALAAgAFwAIgBIAGEAeQBcACIALAAgAFwAIgBPAGEAdABlAG4AIABoAGEAeQBcACIALAAgAFwAIgBBAHUAcwB0AHIAYQBsAGkAYQBcACIALAAgAFwAIgBrAGcAXAAiACwAIAAwAC4AMQAyACwAIABcACIAYQB0ACAAbQBhAHIAawBlAHQAXAAiADsAXABuACAAIAAgACAAIAAgACAAIABcACIARgBlAGUAZABcACIALAAgAFwAIgBIAGEAeQBcACIALAAgAFwAIgBPAGEAdABlAG4AIABoAGEAeQBcACIALAAgAFwAIgBOAFMAVwBcACIALAAgAFwAIgBrAGcAXAAiACwAIAAwAC4AMQAxADkALAAgAFwAIgBhAHQAIABtAGEAcgBrAGUAdABcACIAOwBcAG4AIAAgACAAIAAgACAAIAAgAFwAIgBGAGUAZQBkAFwAIgAsACAAXAAiAEgAYQB5AFwAIgAsACAAXAAiAE8AYQB0AGUAbgAgAGgAYQB5AFwAIgAsACAAXAAiAFEATABEAFwAIgAsACAAXAAiAGsAZwBcACIALAAgADAALgAxADEANwAsACAAXAAiAGEAdAAgAG0AYQByAGsAZQB0AFwAIgA7AFwAbgAgACAAIAAgACAAIAAgACAAXAAiAEYAZQBlAGQAXAAiACwAIABcACIASABhAHkAXAAiACwAIABcACIATwBhAHQAZQBuACAAaABhAHkAXAAiACwAIABcACIAUwBBAFwAIgAsACAAXAAiAGsAZwBcACIALAAgADAALgAxADEANAAsACAAXAAiAGEAdAAgAG0AYQByAGsAZQB0AFwAIgA7AFwAbgAgACAAIAAgACAAIAAgACAAXAAiAEYAZQBlAGQAXAAiACwAIABcACIASABhAHkAXAAiACwAIABcACIATwBhAHQAZQBuACAAaABhAHkAXAAiACwAIABcACIAVgBJAEMAXAAiACwAIABcACIAawBnAFwAIgAsACAAMAAuADEAMQA4ACwAIABcACIAYQB0ACAAbQBhAHIAawBlAHQAXAAiADsAXABuACAAIAAgACAAIAAgACAAIABcACIARgBlAGUAZABcACIALAAgAFwAIgBIAGEAeQBcACIALAAgAFwAIgBPAGEAdABlAG4AIABoAGEAeQBcACIALAAgAFwAIgBXAEEAXAAiACwAIABcACIAawBnAFwAIgAsACAAMAAuADEAMgA0ACwAIABcACIAYQB0ACAAbQBhAHIAawBlAHQAXAAiADsAXABuACAAIAAgACAAIAAgACAAIABcACIARgBlAGUAZABcACIALAAgAFwAIgBIAGEAeQBcACIALAAgAFwAIgBQAGEAcwB0AHUAcgBlACAAaABhAHkAXAAiACwAIABcACIAQQB1AHMAdAByAGEAbABpAGEAXAAiACwAIABcACIAawBnAFwAIgAsACAAMAAuADMAMwA5ACwAIABcACIAYQB0ACAAbQBhAHIAawBlAHQAXAAiADsAXABuACAAIAAgACAAIAAgACAAIABcACIARgBlAGUAZABcACIALAAgAFwAIgBIAGEAeQBcACIALAAgAFwAIgBQAGEAcwB0AHUAcgBlACAAaABhAHkAXAAiACwAIABcACIATgBTAFcAXAAiACwAIABcACIAawBnAFwAIgAsACAAMAAuADMAMQAxACwAIABcACIAYQB0ACAAbQBhAHIAawBlAHQAXAAiADsAXABuACAAIAAgACAAIAAgACAAIABcACIARgBlAGUAZABcACIALAAgAFwAIgBIAGEAeQBcACIALAAgAFwAIgBQAGEAcwB0AHUAcgBlACAAaABhAHkAXAAiACwAIABcACIAUQBMAEQAXAAiACwAIABcACIAawBnAFwAIgAsACAAMAAuADIANQA0ACwAIABcACIAYQB0ACAAbQBhAHIAawBlAHQAXAAiADsAXABuACAAIAAgACAAIAAgACAAIABcACIARgBlAGUAZABcACIALAAgAFwAIgBIAGEAeQBcACIALAAgAFwAIgBQAGEAcwB0AHUAcgBlACAAaABhAHkAXAAiACwAIABcACIAUwBBAFwAIgAsACAAXAAiAGsAZwBcACIALAAgADAALgAzADEAMwAsACAAXAAiAGEAdAAgAG0AYQByAGsAZQB0AFwAIgA7AFwAbgAgACAAIAAgACAAIAAgACAAXAAiAEYAZQBlAGQAXAAiACwAIABcACIASABhAHkAXAAiACwAIABcACIAUABhAHMAdAB1AHIAZQAgAGgAYQB5AFwAIgAsACAAXAAiAFQAQQBTAFwAIgAsACAAXAAiAGsAZwBcACIALAAgADAALgAzADkAOAAsACAAXAAiAGEAdAAgAG0AYQByAGsAZQB0AFwAIgA7AFwAbgAgACAAIAAgACAAIAAgACAAXAAiAEYAZQBlAGQAXAAiACwAIABcACIASABhAHkAXAAiACwAIABcACIAUABhAHMAdAB1AHIAZQAgAGgAYQB5AFwAIgAsACAAXAAiAFYASQBDAFwAIgAsACAAXAAiAGsAZwBcACIALAAgADAALgAzADQANQAsACAAXAAiAGEAdAAgAG0AYQByAGsAZQB0AFwAIgA7AFwAbgAgACAAIAAgACAAIAAgACAAXAAiAEYAZQBlAGQAXAAiACwAIABcACIASABhAHkAXAAiACwAIABcACIAUABhAHMAdAB1AHIAZQAgAGgAYQB5AFwAIgAsACAAXAAiAFcAQQBcACIALAAgAFwAIgBrAGcAXAAiACwAIAAwAC4AMwA2ADgALAAgAFwAIgBhAHQAIABtAGEAcgBrAGUAdABcACIAOwBcAG4AIAAgACAAIAAgACAAIAAgAFwAIgBGAGUAZQBkAFwAIgAsACAAXAAiAE0AZQBhAGwAXAAiACwAIABcACIAQwBhAG4AbwBsAGEAIABtAGUAYQBsAFwAIgAsACAAXAAiAEEAdQBzAHQAcgBhAGwAaQBhAFwAIgAsACAAXAAiAGsAZwBcACIALAAgADAALgAyADQANAAsACAAXAAiAGEAdAAgAG0AYQByAGsAZQB0AFwAIgA7AFwAbgAgACAAIAAgACAAIAAgACAAXAAiAEYAZQBlAGQAXAAiACwAIABcACIATQBlAGEAbABcACIALAAgAFwAIgBNAGUAYQB0ACAAbQBlAGEAbABcACIALAAgAFwAIgBBAHUAcwB0AHIAYQBsAGkAYQBcACIALAAgAFwAIgBrAGcAXAAiACwAIAAwAC4ANAAwADgALAAgAFwAIgBhAHQAIABtAGEAcgBrAGUAdABcACIAOwBcAG4AIAAgACAAIAAgACAAIAAgAFwAIgBGAGUAZQBkAFwAIgAsACAAXAAiAE0AZQBhAGwAXAAiACwAIABcACIAUwBvAHkAYgBlAGEAbgAgAG0AZQBhAGwAXAAiACwAIABcACIAQgByAGEAegBpAGwAXAAiACwAIABcACIAawBnAFwAIgAsACAAMAAuADQAMgA2ACwAIABcACIAYQB0ACAAbQBhAHIAawBlAHQAXAAiADsAXABuACAAIAAgACAAIAAgACAAIABcACIARgBlAGUAZABcACIALAAgAFwAIgBNAGUAYQBsAFwAIgAsACAAXAAiAFcAaABlAGEAdAAgAGIAcgBhAG4AXAAiACwAIABcACIAQQB1AHMAdAByAGEAbABpAGEAXAAiACwAIABcACIAawBnAFwAIgAsACAAMAAuADEAOQA2ACwAIABcACIAYQB0ACAAbQBhAHIAawBlAHQAXAAiADsAXABuACAAIAAgACAAIAAgACAAIABcACIARgBlAGUAZABcACIALAAgAFwAIgBNAGkAeABlAGQAIAByAGEAdABpAG8AbgBzAFwAIgAsACAAXAAiAEYAZQBlAGQAIABmAG8AcgAgAGMAaABpAGMAawBlAG4AcwBcACIALAAgAFwAIgBBAHUAcwB0AHIAYQBsAGkAYQBcACIALAAgAFwAIgBrAGcAXAAiACwAIAAwAC4ANQA5ADQALAAgAFwAIgBhAHQAIABtAGEAcgBrAGUAdABcACIAOwBcAG4AIAAgACAAIAAgACAAIAAgAFwAIgBGAGUAZQBkAFwAIgAsACAAXAAiAE0AaQB4AGUAZAAgAHIAYQB0AGkAbwBuAHMAXAAiACwAIABcACIARgBlAGUAZAAgAGYAbwByACAAZABhAGkAcgB5ACAAYwBhAGwAdgBlAHMAXAAiACwAIABcACIAQQB1AHMAdAByAGEAbABpAGEAXAAiACwAIABcACIAawBnAFwAIgAsACAAMAAuADQAMQA5ACwAIABcACIAYQB0ACAAbQBhAHIAawBlAHQAXAAiADsAXABuACAAIAAgACAAIAAgACAAIABcACIARgBlAGUAZABcACIALAAgAFwAIgBNAGkAeABlAGQAIAByAGEAdABpAG8AbgBzAFwAIgAsACAAXAAiAEYAZQBlAGQAIABmAG8AcgAgAGQAYQBpAHIAeQAgAGMAbwB3AHMAXAAiACwAIABcACIAQQB1AHMAdAByAGEAbABpAGEAXAAiACwAIABcACIAawBnAFwAIgAsACAAMAAuADMAMwAzACwAIABcACIAYQB0ACAAbQBhAHIAawBlAHQAXAAiADsAXABuACAAIAAgACAAIAAgACAAIABcACIARgBlAGUAZABcACIALAAgAFwAIgBNAGkAeABlAGQAIAByAGEAdABpAG8AbgBzAFwAIgAsACAAXAAiAEYAZQBlAGQAIABmAG8AcgAgAHAAaQBnAHMAXAAiACwAIABcACIAQQB1AHMAdAByAGEAbABpAGEAXAAiACwAIABcACIAawBnAFwAIgAsACAAMAAuADQAMAAzACwAIABcACIAYQB0ACAAbQBhAHIAawBlAHQAXAAiADsAXABuACAAIAAgACAAIAAgACAAIABcACIARgBlAGUAZABcACIALAAgAFwAIgBPAHQAaABlAHIAXAAiACwAIABcACIAQgBlAG4AdABvAG4AaQB0AGUAXAAiACwAIABcACIAQQB1AHMAdAByAGEAbABpAGEAXAAiACwAIABcACIAawBnAFwAIgAsACAAMAAuADAANgA1ADIALAAgAFwAIgBhAHQAIABtAGEAcgBrAGUAdABcACIAOwBcAG4AIAAgACAAIAAgACAAIAAgAFwAIgBGAGUAZQBkAFwAIgAsACAAXAAiAE8AdABoAGUAcgBcACIALAAgAFwAIgBDAGEAbgBvAGwAYQAgAG8AaQBsAFwAIgAsACAAXAAiAEEAdQBzAHQAcgBhAGwAaQBhAFwAIgAsACAAXAAiAGsAZwBcACIALAAgADAALgA4ADcALAAgAFwAIgBhAHQAIABtAGEAcgBrAGUAdABcACIAOwBcAG4AIAAgACAAIAAgACAAIAAgAFwAIgBGAGUAZQBkAFwAIgAsACAAXAAiAE8AdABoAGUAcgBcACIALAAgAFwAIgBDAG8AdAB0AG8AbgAgAHMAZQBlAGQAXAAiACwAIABcACIAQQB1AHMAdAByAGEAbABpAGEAXAAiACwAIABcACIAawBnAFwAIgAsACAAMAAuADEAOQA3ACwAIABcACIAYQB0ACAAbQBhAHIAawBlAHQAXAAiADsAXABuACAAIAAgACAAIAAgACAAIABcACIARgBlAGUAZABcACIALAAgAFwAIgBPAHQAaABlAHIAXAAiACwAIABcACIATABpAGMAawAgAGIAbABvAGMAawAsACAAZAByAHkAIABzAGUAYQBzAG8AbgAgAG0AaQB4AFwAIgAsACAAXAAiAEEAdQBzAHQAcgBhAGwAaQBhAFwAIgAsACAAXAAiAGsAZwBcACIALAAgADAALgA4ADgAMQAsACAAXAAiAGEAdAAgAG0AYQByAGsAZQB0AFwAIgA7AFwAbgAgACAAIAAgACAAIAAgACAAXAAiAEYAZQBlAGQAXAAiACwAIABcACIATwB0AGgAZQByAFwAIgAsACAAXAAiAEwAaQBjAGsAIABiAGwAbwBjAGsALAAgAG0AaQBuAGUAcgBhAGwAXAAiACwAIABcACIAQQB1AHMAdAByAGEAbABpAGEAXAAiACwAIABcACIAawBnAFwAIgAsACAAMAAuADYANwA3ACwAIABcACIAYQB0ACAAbQBhAHIAawBlAHQAXAAiADsAXABuACAAIAAgACAAIAAgACAAIABcACIARgBlAGUAZABcACIALAAgAFwAIgBPAHQAaABlAHIAXAAiACwAIABcACIATABpAGMAawAgAGIAbABvAGMAawAsACAAdwBlAGEAbgBlAHIAXAAiACwAIABcACIAQQB1AHMAdAByAGEAbABpAGEAXAAiACwAIABcACIAawBnAFwAIgAsACAAMAAuADIAMwAxACwAIABcACIAYQB0ACAAbQBhAHIAawBlAHQAXAAiADsAXABuACAAIAAgACAAIAAgACAAIABcACIARgBlAGUAZABcACIALAAgAFwAIgBPAHQAaABlAHIAXAAiACwAIABcACIATQBvAGwAYQBzAHMAZQBzAFwAIgAsACAAXAAiAFEATABEAFwAIgAsACAAXAAiAGsAZwBcACIALAAgADAALgAxADgANA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SQBuAG8AcgBnAGEAbgBpAGMAIABmAGUAcgB0AGkAbABpAHMAZQByAHMAXABuAD0APQA9AD0APQA9AD0APQA9AD0APQA9AD0APQA9AD0APQA9AD0APQA9AD0APQA9AD0APQA9AD0APQA9AD0APQA9AD0APQA9AD0APQA9AD0APQA9AD0APQA9AD0APQA9AD0APQA9AD0APQA9AD0APQA9AD0APQA9AD0APQA9AD0APQA9AD0APQA9AD0APQA9AD0APQA9AD0AXABuACoALwBcAG4AXABuAFMAYwBvAHAAZQAzAF8ASQBuAG8AcgBnAGEAbgBpAGMARgBlAHIAdABpAGwAaQBzAGUAcgBzAF8AVABpAHQAbABlAFwAbgA9AEwAQQBNAEIARABBACgAKABcACIASQBuAG8AcgBnAGEAbgBpAGMAIABmAGUAcgB0AGkAbABpAHMAZQByACAAYwBoAGUAbQBpAGMAYQBsACAAYwBvAG0AcABvAHUAbgBkACAAcwBjAG8AcABlACAAMwBcACIAKQApADsAXABuAFwAbgBTAGMAbwBwAGUAMwBfAEkAbgBvAHIAZwBhAG4AaQBjAEYAZQByAHQAaQBsAGkAcwBlAHI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kAbgBvAHIAZwBhAG4AaQBjAEYAZQByAHQAaQBsAGkAcwBlAHIAcwBfAFYAYQByAGkAYQB0AGkAbwBuAFwAbgA9AEwAQQBNAEIARABBACgAKABcACIAXAAiACkAKQA7AFwAbgBcAG4AUwBjAG8AcABlADMAXwBJAG4AbwByAGcAYQBuAGkAYwBGAGUAcgB0AGkAbABpAHMAZQByAHMAXwBEAGEAdABhAFwAbgA9AEwAQQBNAEIARABBACgAXABuACAAIABNAEEASwBFAEEAUgBSAEEAWQAoADIANgAsACAANwAsAFwAbgAgACAAIAAgAEwAQQBNAEIARABBACgAcgAsAGMALABcAG4AIAAgACAAIAAgACAASQBOAEQARQBYACgAewBcAG4AIAAgACAAIAAgACAAIAAgAFwAIgBDAGEAdABlAGcAbwByAHkAXAAiACwAIABcACIAUwB1AGIALQBjAGEAdABlAGcAbwByAHkAXAAiACwAIABcACIAUAByAG8AZAB1AGMAdAAgAG4AYQBtAGUAXAAiACwAIABcACIAUgBlAGcAaQBvAG4AIABvAGYAIABvAHIAaQBnAGkAbgBcACIALAAgAFwAIgBQAHIAbwBkAHUAYwB0ACAAVQBuAGkAdABcACIALAAgAFwAIgBHAEgARwAgAGUAbQBpAHMAcwBpAG8AbgAgAGkAbgB0AGUAbgBzAGkAdAB5AFwAIgAsACAAXAAiAFMAeQBzAHQAZQBtACAAYgBvAHUAbgBkAGEAcgB5AFwAIgA7AFwAbgAgACAAIAAgACAAIAAgACAAXAAiAEYAZQByAHQAaQBsAGkAcwBlAHIAcwBcACIALAAgAFwAIgBJAG4AbwByAGcAYQBuAGkAYwAgAGYAZQByAHQAaQBsAGkAcwBlAHIAcwBcACIALAAgAFwAIgBBAG0AbQBvAG4AaQBhACwAIABBAFUAIABtAGEAcgBrAGUAdAAgAG0AaQB4AFwAIgAsACAAXAAiAEcAbABvAGIAYQBsAFwAIgAsACAAXAAiAGsAZwBcACIALAAgADIALgAzADIALAAgAFwAIgBhAHQAIABtAGEAcgBrAGUAdABcACIAOwBcAG4AIAAgACAAIAAgACAAIAAgAFwAIgBGAGUAcgB0AGkAbABpAHMAZQByAHMAXAAiACwAIABcACIASQBuAG8AcgBnAGEAbgBpAGMAIABmAGUAcgB0AGkAbABpAHMAZQByAHMAXAAiACwAIABcACIAQQBtAG0AbwBuAGkAYQAsACAAQwBhAG4AYQBkAGEAXAAiACwAIABcACIAQwBhAG4AYQBkAGEAXAAiACwAIABcACIAawBnAFwAIgAsACAAMgAuADEAMgAsACAAXAAiAGEAdAAgAG0AYQByAGsAZQB0AFwAIgA7AFwAbgAgACAAIAAgACAAIAAgACAAXAAiAEYAZQByAHQAaQBsAGkAcwBlAHIAcwBcACIALAAgAFwAIgBJAG4AbwByAGcAYQBuAGkAYwAgAGYAZQByAHQAaQBsAGkAcwBlAHIAcwBcACIALAAgAFwAIgBBAG0AbQBvAG4AaQBhACwAIABDAGgAaQBuAGEAXAAiACwAIABcACIAQwBoAGkAbgBhAFwAIgAsACAAXAAiAGsAZwBcACIALAAgADQALgAxADcALAAgAFwAIgBhAHQAIABtAGEAcgBrAGUAdABcACIAOwBcAG4AIAAgACAAIAAgACAAIAAgAFwAIgBGAGUAcgB0AGkAbABpAHMAZQByAHMAXAAiACwAIABcACIASQBuAG8AcgBnAGEAbgBpAGMAIABmAGUAcgB0AGkAbABpAHMAZQByAHMAXAAiACwAIABcACIAQQBtAG0AbwBuAGkAYQAsACAAWQBlAG0AZQBuAFwAIgAsACAAXAAiAFkAZQBtAGUAbgBcACIALAAgAFwAIgBrAGcAXAAiACwAIAAyAC4AMgA2ACwAIABcACIAYQB0ACAAbQBhAHIAawBlAHQAXAAiADsAXABuACAAIAAgACAAIAAgACAAIABcACIARgBlAHIAdABpAGwAaQBzAGUAcgBzAFwAIgAsACAAXAAiAEkAbgBvAHIAZwBhAG4AaQBjACAAZgBlAHIAdABpAGwAaQBzAGUAcgBzAFwAIgAsACAAXAAiAEEAbQBtAG8AbgBpAHUAbQAgAG4AaQB0AHIAYQB0AGUALAAgAEEAVQAgAG0AYQByAGsAZQB0ACAAbQBpAHgAXAAiACwAIABcACIARwBsAG8AYgBhAGwAXAAiACwAIABcACIAawBnAFwAIgAsACAAMgAuADIAMQAsACAAXAAiAGEAdAAgAG0AYQByAGsAZQB0AFwAIgA7AFwAbgAgACAAIAAgACAAIAAgACAAXAAiAEYAZQByAHQAaQBsAGkAcwBlAHIAcwBcACIALAAgAFwAIgBJAG4AbwByAGcAYQBuAGkAYwAgAGYAZQByAHQAaQBsAGkAcwBlAHIAcwBcACIALAAgAFwAIgBDAGEAbABjAGkAdQBtACAAYQBtAG0AbwBuAGkAdQBtACAAbgBpAHQAcgBhAHQAZQAsACAAQQBVACAAbQBhAHIAawBlAHQAIABtAGkAeABcACIALAAgAFwAIgBHAGwAbwBiAGEAbABcACIALAAgAFwAIgBrAGcAXAAiACwAIAAxAC4AMQA1ACwAIABcACIAYQB0ACAAbQBhAHIAawBlAHQAXAAiADsAXABuACAAIAAgACAAIAAgACAAIABcACIARgBlAHIAdABpAGwAaQBzAGUAcgBzAFwAIgAsACAAXAAiAEkAbgBvAHIAZwBhAG4AaQBjACAAZgBlAHIAdABpAGwAaQBzAGUAcgBzAFwAIgAsACAAXAAiAEMAYQBsAGMAaQB1AG0AIABuAGkAdAByAGEAdABlAFwAIgAsACAAXAAiAEcAbABvAGIAYQBsAFwAIgAsACAAXAAiAGsAZwBcACIALAAgADAALgA3ADUALAAgAFwAIgBhAHQAIABtAGEAcgBrAGUAdABcACIAOwBcAG4AIAAgACAAIAAgACAAIAAgAFwAIgBGAGUAcgB0AGkAbABpAHMAZQByAHMAXAAiACwAIABcACIASQBuAG8AcgBnAGEAbgBpAGMAIABmAGUAcgB0AGkAbABpAHMAZQByAHMAXAAiACwAIABcACIARABpAGEAbQBtAG8AbgBpAHUAbQAgAHAAaABvAHMAcABoAGEAdABlACwAIABBAFUAIABtAGEAcgBrAGUAdAAgAG0AaQB4AFwAIgAsACAAXAAiAEcAbABvAGIAYQBsAFwAIgAsACAAXAAiAGsAZwBcACIALAAgADEALgAzADQALAAgAFwAIgBhAHQAIABtAGEAcgBrAGUAdABcACIAOwBcAG4AIAAgACAAIAAgACAAIAAgAFwAIgBGAGUAcgB0AGkAbABpAHMAZQByAHMAXAAiACwAIABcACIASQBuAG8AcgBnAGEAbgBpAGMAIABmAGUAcgB0AGkAbABpAHMAZQByAHMAXAAiACwAIABcACIARABvAHUAYgBsAGUAIABzAHUAcABlAHIAcABoAG8AcwBwAGgAYQB0AGUALAAgAEEAVQAgAG0AYQByAGsAZQB0ACAAbQBpAHgAXAAiACwAIABcACIARwBsAG8AYgBhAGwAXAAiACwAIABcACIAawBnAFwAIgAsACAAMAAuADMAOQAyACwAIABcACIAYQB0ACAAbQBhAHIAawBlAHQAXAAiADsAXABuACAAIAAgACAAIAAgACAAIABcACIARgBlAHIAdABpAGwAaQBzAGUAcgBzAFwAIgAsACAAXAAiAEkAbgBvAHIAZwBhAG4AaQBjACAAZgBlAHIAdABpAGwAaQBzAGUAcgBzAFwAIgAsACAAXAAiAE0AbwBuAG8AYQBtAG0AbwBuAGkAdQBtACAAcABoAG8AcwBwAGgAYQB0AGUALAAgAEEAVQAgAG0AYQByAGsAZQB0ACAAbQBpAHgAXAAiACwAIABcACIARwBsAG8AYgBhAGwAXAAiACwAIABcACIAawBnAFwAIgAsACAAMAAuADgAMgA3ACwAIABcACIAYQB0ACAAbQBhAHIAawBlAHQAXAAiADsAXABuACAAIAAgACAAIAAgACAAIABcACIARgBlAHIAdABpAGwAaQBzAGUAcgBzAFwAIgAsACAAXAAiAEkAbgBvAHIAZwBhAG4AaQBjACAAZgBlAHIAdABpAGwAaQBzAGUAcgBzAFwAIgAsACAAXAAiAE0AdQByAGkAYQB0AGUAIABvAGYAIABwAG8AdABhAHMAaAAsACAAQQBVACAAbQBhAHIAawBlAHQAIABtAGkAeABcACIALAAgAFwAIgBHAGwAbwBiAGEAbABcACIALAAgAFwAIgBrAGcAXAAiACwAIAAwAC4ANQA0ADkALAAgAFwAIgBhAHQAIABtAGEAcgBrAGUAdABcACIAOwBcAG4AIAAgACAAIAAgACAAIAAgAFwAIgBGAGUAcgB0AGkAbABpAHMAZQByAHMAXAAiACwAIABcACIASQBuAG8AcgBnAGEAbgBpAGMAIABmAGUAcgB0AGkAbABpAHMAZQByAHMAXAAiACwAIABcACIATgBpAHQAcgBvAGcAZQBuACAAZgByAG8AbQAgAGEAbQBtAG8AbgBpAGEALAAgAEEAVQAgAG0AYQByAGsAZQB0ACAAbQBpAHgAXAAiACwAIABcACIARwBsAG8AYgBhAGwAXAAiACwAIABcACIAawBnACAATgBcACIALAAgADIALgA4ADMALAAgAFwAIgBhAHQAIABtAGEAcgBrAGUAdABcACIAOwBcAG4AIAAgACAAIAAgACAAIAAgAFwAIgBGAGUAcgB0AGkAbABpAHMAZQByAHMAXAAiACwAIABcACIASQBuAG8AcgBnAGEAbgBpAGMAIABmAGUAcgB0AGkAbABpAHMAZQByAHMAXAAiACwAIABcACIATgBpAHQAcgBvAGcAZQBuACAAZgByAG8AbQAgAGYAZQByAHQAaQBsAGkAegBlAHIALAAgAEEAVQAgAG0AYQByAGsAZQB0ACAAbQBpAHgAXAAiACwAIABcACIARwBsAG8AYgBhAGwAXAAiACwAIABcACIAawBnACAATgBcACIALAAgADQALgAyACwAIABcACIAYQB0ACAAbQBhAHIAawBlAHQAXAAiADsAXABuACAAIAAgACAAIAAgACAAIABcACIARgBlAHIAdABpAGwAaQBzAGUAcgBzAFwAIgAsACAAXAAiAEkAbgBvAHIAZwBhAG4AaQBjACAAZgBlAHIAdABpAGwAaQBzAGUAcgBzAFwAIgAsACAAXAAiAE4AaQB0AHIAbwBnAGUAbgAgAGYAcgBvAG0AIABuAGkAdAByAGEAdABlACAAZgBlAHIAdABpAGwAaQB6AGUAcgAsACAAQQBVACAAbQBhAHIAawBlAHQAIABtAGkAeABcACIALAAgAFwAIgBHAGwAbwBiAGEAbABcACIALAAgAFwAIgBrAGcAIABOAFwAIgAsACAANQAuADQANwAsACAAXAAiAGEAdAAgAG0AYQByAGsAZQB0AFwAIgA7AFwAbgAgACAAIAAgACAAIAAgACAAXAAiAEYAZQByAHQAaQBsAGkAcwBlAHIAcwBcACIALAAgAFwAIgBJAG4AbwByAGcAYQBuAGkAYwAgAGYAZQByAHQAaQBsAGkAcwBlAHIAcwBcACIALAAgAFwAIgBQAGgAbwBzAHAAaABvAHIAdQBzACAAZgByAG8AbQAgAGYAZQByAHQAaQBsAGkAegBlAHIALAAgAEEAVQAgAG0AYQByAGsAZQB0ACAAbQBpAHgAXAAiACwAIABcACIARwBsAG8AYgBhAGwAXAAiACwAIABcACIAawBnACAAUABcACIALAAgADMALgA5ADYALAAgAFwAIgBhAHQAIABtAGEAcgBrAGUAdABcACIAOwBcAG4AIAAgACAAIAAgACAAIAAgAFwAIgBGAGUAcgB0AGkAbABpAHMAZQByAHMAXAAiACwAIABcACIASQBuAG8AcgBnAGEAbgBpAGMAIABmAGUAcgB0AGkAbABpAHMAZQByAHMAXAAiACwAIABcACIAUABvAHQAYQBzAHMAaQB1AG0AIABmAHIAbwBtACAAZgBlAHIAdABpAGwAaQB6AGUAcgAsACAAQQBVACAAbQBhAHIAawBlAHQAIABtAGkAeABcACIALAAgAFwAIgBHAGwAbwBiAGEAbABcACIALAAgAFwAIgBrAGcAIABLAFwAIgAsACAAMAAuADkAMAA5ACwAIABcACIAYQB0ACAAbQBhAHIAawBlAHQAXAAiADsAXABuACAAIAAgACAAIAAgACAAIABcACIARgBlAHIAdABpAGwAaQBzAGUAcgBzAFwAIgAsACAAXAAiAEkAbgBvAHIAZwBhAG4AaQBjACAAZgBlAHIAdABpAGwAaQBzAGUAcgBzAFwAIgAsACAAXAAiAFMAaQBuAGcAbABlACAAcwB1AHAAZQByAHAAaABvAHMAcABoAGEAdABlACwAIABBAFUAIABtAGEAcgBrAGUAdAAgAG0AaQB4AFwAIgAsACAAXAAiAEcAbABvAGIAYQBsAFwAIgAsACAAXAAiAGsAZwBcACIALAAgADAALgAyADIANwAsACAAXAAiAGEAdAAgAG0AYQByAGsAZQB0AFwAIgA7AFwAbgAgACAAIAAgACAAIAAgACAAXAAiAEYAZQByAHQAaQBsAGkAcwBlAHIAcwBcACIALAAgAFwAIgBJAG4AbwByAGcAYQBuAGkAYwAgAGYAZQByAHQAaQBsAGkAcwBlAHIAcwBcACIALAAgAFwAIgBTAHUAbABmAHUAcgAgAGYAcgBvAG0AIABmAGUAcgB0AGkAbABpAHoAZQByACwAIABBAFUAIABtAGEAcgBrAGUAdAAgAG0AaQB4AFwAIgAsACAAXAAiAEcAbABvAGIAYQBsAFwAIgAsACAAXAAiAGsAZwAgAFMAXAAiACwAIAAyAC4ANQAsACAAXAAiAGEAdAAgAG0AYQByAGsAZQB0AFwAIgA7AFwAbgAgACAAIAAgACAAIAAgACAAXAAiAEYAZQByAHQAaQBsAGkAcwBlAHIAcwBcACIALAAgAFwAIgBJAG4AbwByAGcAYQBuAGkAYwAgAGYAZQByAHQAaQBsAGkAcwBlAHIAcwBcACIALAAgAFwAIgBBAG0AbQBvAG4AaQB1AG0AIABzAHUAbABwAGgAYQB0AGUALAAgAEEAVQAgAG0AYQByAGsAZQB0ACAAbQBpAHgAXAAiACwAIABcACIARwBsAG8AYgBhAGwAXAAiACwAIABcACIAawBnAFwAIgAsACAAMAAuADgANgA1ACwAIABcACIAYQB0ACAAbQBhAHIAawBlAHQAXAAiADsAXABuACAAIAAgACAAIAAgACAAIABcACIARgBlAHIAdABpAGwAaQBzAGUAcgBzAFwAIgAsACAAXAAiAEkAbgBvAHIAZwBhAG4AaQBjACAAZgBlAHIAdABpAGwAaQBzAGUAcgBzAFwAIgAsACAAXAAiAFUAcgBlAGEAIABhAG0AbQBvAG4AaQB1AG0AIABuAGkAdAByAGEAdABlACwAIABBAFUAIABtAGEAcgBrAGUAdAAgAG0AaQB4AFwAIgAsACAAXAAiAEcAbABvAGIAYQBsAFwAIgAsACAAXAAiAGsAZwBcACIALAAgADEALgA3ADUALAAgAFwAIgBhAHQAIABtAGEAcgBrAGUAdABcACIAOwBcAG4AIAAgACAAIAAgACAAIAAgAFwAIgBGAGUAcgB0AGkAbABpAHMAZQByAHMAXAAiACwAIABcACIASQBuAG8AcgBnAGEAbgBpAGMAIABmAGUAcgB0AGkAbABpAHMAZQByAHMAXAAiACwAIABcACIAVQByAGUAYQAsACAAQQBVACAAbQBhAHIAawBlAHQAIABtAGkAeABcACIALAAgAFwAIgBHAGwAbwBiAGEAbABcACIALAAgAFwAIgBrAGcAXAAiACwAIAAwAC4AOQA2ADgALAAgAFwAIgBhAHQAIABtAGEAcgBrAGUAdABcACIAOwBcAG4AIAAgACAAIAAgACAAIAAgAFwAIgBGAGUAcgB0AGkAbABpAHMAZQByAHMAXAAiACwAIABcACIASQBuAG8AcgBnAGEAbgBpAGMAIABmAGUAcgB0AGkAbABpAHMAZQByAHMAXAAiACwAIABcACIAVQByAGUAYQAsACAAQwBhAG4AYQBkAGEAXAAiACwAIABcACIAQwBhAG4AYQBkAGEAXAAiACwAIABcACIAawBnAFwAIgAsACAAMAAuADgAMgAzACwAIABcACIAYQB0ACAAbQBhAHIAawBlAHQAXAAiADsAXABuACAAIAAgACAAIAAgACAAIABcACIARgBlAHIAdABpAGwAaQBzAGUAcgBzAFwAIgAsACAAXAAiAEkAbgBvAHIAZwBhAG4AaQBjACAAZgBlAHIAdABpAGwAaQBzAGUAcgBzAFwAIgAsACAAXAAiAFUAcgBlAGEALAAgAEMAaABpAG4AYQBcACIALAAgAFwAIgBDAGgAaQBuAGEAXAAiACwAIABcACIAawBnAFwAIgAsACAAMgAuADAAOQAsACAAXAAiAGEAdAAgAG0AYQByAGsAZQB0AFwAIgA7AFwAbgAgACAAIAAgACAAIAAgACAAXAAiAEYAZQByAHQAaQBsAGkAcwBlAHIAcwBcACIALAAgAFwAIgBJAG4AbwByAGcAYQBuAGkAYwAgAGYAZQByAHQAaQBsAGkAcwBlAHIAcwBcACIALAAgAFwAIgBVAHIAZQBhACwAIABZAGUAbQBlAG4AXAAiACwAIABcACIAWQBlAG0AZQBuAFwAIgAsACAAXAAiAGsAZwBcACIALAAgADAALgA5ADYAMwAsACAAXAAiAGEAdAAgAG0AYQByAGsAZQB0AFwAIgA7AFwAbgAgACAAIAAgACAAIAAgACAAXAAiAEYAZQByAHQAaQBsAGkAcwBlAHIAcwBcACIALAAgAFwAIgBJAG4AbwByAGcAYQBuAGkAYwAgAGYAZQByAHQAaQBsAGkAcwBlAHIAcwBcACIALAAgAFwAIgBaAGkAbgBjACAAZgByAG8AbQAgAGYAZQByAHQAaQBsAGkAegBlAHIAXAAiACwAIABcACIARwBsAG8AYgBhAGwAXAAiACwAIABcACIAawBnACAAWgBuAFwAIgAsACAANAAuADgAMgAsACAAXAAiAGEAdAAgAG0AYQByAGsAZQB0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TwB0AGgAZQByACAAYQBnAHIAaQBjAHUAbAB0AHUAcgBhAGwAIABpAG4AcAB1AHQAcwBcAG4APQA9AD0APQA9AD0APQA9AD0APQA9AD0APQA9AD0APQA9AD0APQA9AD0APQA9AD0APQA9AD0APQA9AD0APQA9AD0APQA9AD0APQA9AD0APQA9AD0APQA9AD0APQA9AD0APQA9AD0APQA9AD0APQA9AD0APQA9AD0APQA9AD0APQA9AD0APQA9AD0APQA9AD0APQA9AD0APQBcAG4AKgAvAFwAbgBcAG4AUwBjAG8AcABlADMAXwBPAHQAaABlAHIAXwBUAGkAdABsAGUAXABuAD0ATABBAE0AQgBEAEEAKAAoAFwAIgBPAHQAaABlAHIAIABhAGcAcgBpAGMAdQBsAHQAdQByAGEAbAAgAGkAbgBwAHUAdABzACAAcwBjAG8AcABlACAAMwBcACIAKQApADsAXABuAFwAbgBTAGMAbwBwAGUAMwBfAE8AdABoAGUAcg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E8AdABoAGUAcgBfAFYAYQByAGkAYQB0AGkAbwBuAFwAbgA9AEwAQQBNAEIARABBACgAKABcACIAXAAiACkAKQA7AFwAbgBcAG4AUwBjAG8AcABlADMAXwBPAHQAaABlAHIAXwBEAGEAdABhAFwAbgA9AEwAQQBNAEIARABBACgAXABuACAAIABNAEEASwBFAEEAUgBSAEEAWQAoADk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PAHQAaABlAHIAXAAiACwAIABcACIATwB0AGgAZQByAFwAIgAsACAAXAAiAEEAbgBpAG0AYQBsACAAZQBhAHIAIAB0AGEAZwBzACAAKABsAGEAcgBnAGUAKQBcACIALAAgAFwAIgBBAHUAcwB0AHIAYQBsAGkAYQBcACIALAAgAFwAIgBwAFwAIgAsACAAMAAuADAANAAyADQALAAgAFwAIgBhAHQAIABtAGEAcgBrAGUAdABcACIAOwBcAG4AIAAgACAAIAAgACAAIAAgAFwAIgBPAHQAaABlAHIAXAAiACwAIABcACIATwB0AGgAZQByAFwAIgAsACAAXAAiAEEAbgBpAG0AYQBsACAAZQBhAHIAIAB0AGEAZwBzACAAKABzAG0AYQBsAGwAKQBcACIALAAgAFwAIgBBAHUAcwB0AHIAYQBsAGkAYQBcACIALAAgAFwAIgBwAFwAIgAsACAAMAAuADAAMgA5ADMALAAgAFwAIgBhAHQAIABtAGEAcgBrAGUAdABcACIAOwBcAG4AIAAgACAAIAAgACAAIAAgAFwAIgBPAHQAaABlAHIAXAAiACwAIABcACIATwB0AGgAZQByAFwAIgAsACAAXAAiAEIAYQByAGwAZQB5ACAAZwByAGEAaQBuACAAKABmAG8AcgAgAHMAZQBlAGQAKQBcACIALAAgAFwAIgBBAHUAcwB0AHIAYQBsAGkAYQBcACIALAAgAFwAIgBrAGcAXAAiACwAIAAwAC4AMgAzADkALAAgAFwAIgBhAHQAIABtAGEAcgBrAGUAdABcACIAOwBcAG4AIAAgACAAIAAgACAAIAAgAFwAIgBPAHQAaABlAHIAXAAiACwAIABcACIATwB0AGgAZQByAFwAIgAsACAAXAAiAE0AYQBpAHoAZQAgAGcAcgBhAGkAbgAgACgAZgBvAHIAIABzAGUAZQBkACkAXAAiACwAIABcACIAQQB1AHMAdAByAGEAbABpAGEAXAAiACwAIABcACIAawBnAFwAIgAsACAAMAAuADEAOAAxACwAIABcACIAYQB0ACAAbQBhAHIAawBlAHQAXAAiADsAXABuACAAIAAgACAAIAAgACAAIABcACIATwB0AGgAZQByAFwAIgAsACAAXAAiAE8AdABoAGUAcgBcACIALAAgAFwAIgBOAHkAbABvAG4AIABuAGUAdAB0AGkAbgBnAFwAIgAsACAAXAAiAEcAbABvAGIAYQBsAFwAIgAsACAAXAAiAGsAZwBcACIALAAgADkALgA4ADEALAAgAFwAIgBhAHQAIABtAGEAcgBrAGUAdABcACIAOwBcAG4AIAAgACAAIAAgACAAIAAgAFwAIgBPAHQAaABlAHIAXAAiACwAIABcACIATwB0AGgAZQByAFwAIgAsACAAXAAiAE8AYQB0ACAAZwByAGEAaQBuACAAKABmAG8AcgAgAHMAZQBlAGQAKQBcACIALAAgAFwAIgBBAHUAcwB0AHIAYQBsAGkAYQBcACIALAAgAFwAIgBrAGcAXAAiACwAIAAwAC4AMgA3ACwAIABcACIAYQB0ACAAbQBhAHIAawBlAHQAXAAiADsAXABuACAAIAAgACAAIAAgACAAIABcACIATwB0AGgAZQByAFwAIgAsACAAXAAiAE8AdABoAGUAcgBcACIALAAgAFwAIgBTAG8AcgBnAGgAdQBtACAAZwByAGEAaQBuACAAKABmAG8AcgAgAHMAZQBlAGQAKQBcACIALAAgAFwAIgBBAHUAcwB0AHIAYQBsAGkAYQBcACIALAAgAFwAIgBrAGcAXAAiACwAIAAwAC4AMgAzADIALAAgAFwAIgBhAHQAIABtAGEAcgBrAGUAdABcACIAOwBcAG4AIAAgACAAIAAgACAAIAAgAFwAIgBPAHQAaABlAHIAXAAiACwAIABcACIATwB0AGgAZQByAFwAIgAsACAAXAAiAFcAaABlAGEAdAAgAGcAcgBhAGkAbgAgACgAZgBvAHIAIABzAGUAZQBkACkAXAAiACwAIABcACIAQQB1AHMAdAByAGEAbABpAGEAXAAiACwAIABcACIAawBnAFwAIgAsACAAMAAuADIANgA4ACwAIABcACIAYQB0ACAAbQBhAHIAawBlAHQ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QAGEAYwBrAGEAZwBpAG4AZwBcAG4APQA9AD0APQA9AD0APQA9AD0APQA9AD0APQA9AD0APQA9AD0APQA9AD0APQA9AD0APQA9AD0APQA9AD0APQA9AD0APQA9AD0APQA9AD0APQA9AD0APQA9AD0APQA9AD0APQA9AD0APQA9AD0APQA9AD0APQA9AD0APQA9AD0APQA9AD0APQA9AD0APQA9AD0APQA9AD0APQBcAG4AKgAvAFwAbgBcAG4AUwBjAG8AcABlADMAXwBQAGEAYwBrAGEAZwBpAG4AZwBfAFQAaQB0AGwAZQBcAG4APQBMAEEATQBCAEQAQQAoACgAXAAiAFAAYQBjAGsAYQBnAGkAbgBnACAAcwBjAG8AcABlACAAMwBcACIAKQApADsAXABuAFwAbgBTAGMAbwBwAGUAMwBfAFAAYQBjAGsAYQBnAGkAbgBn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hAGMAawBhAGcAaQBuAGcAXwBWAGEAcgBpAGEAdABpAG8AbgBcAG4APQBMAEEATQBCAEQAQQAoACgAXAAiAFwAIgApACkAOwBcAG4AXABuAFMAYwBvAHAAZQAzAF8AUABhAGMAawBhAGcAaQBuAGcAXwBEAGEAdABhAFwAbgA9AEwAQQBNAEIARABBACgAXABuACAAIABNAEEASwBFAEEAUgBSAEEAWQAoADU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EAYwBrAGEAZwBpAG4AZwBcACIALAAgAFwAIgBQAGEAYwBrAGEAZwBpAG4AZwBcACIALAAgAFwAIgBDAG8AcgByAHUAZwBhAHQAZQBkACAAYgBvAGEAcgBkAFwAIgAsACAAXAAiAEcAbABvAGIAYQBsAFwAIgAsACAAXAAiAGsAZwBcACIALAAgADEALgAwADUALAAgAFwAIgBhAHQAIABtAGEAbgB1AGYAYQBjAHQAdQByAGUAcgBcACIAOwBcAG4AIAAgACAAIAAgACAAIAAgAFwAIgBQAGEAYwBrAGEAZwBpAG4AZwBcACIALAAgAFwAIgBQAGEAYwBrAGEAZwBpAG4AZwBcACIALAAgAFwAIgBQAGwAYQBzAHQAaQBjACAAYwByAGEAdABlACAAcABvAGwAeQBwAHIAbwBwAHkAbABlAG4AZQBcACIALAAgAFwAIgBHAGwAbwBiAGEAbABcACIALAAgAFwAIgBwAFwAIgAsACAAMwAuADkAOQAsACAAXAAiAGEAdAAgAG0AYQBuAHUAZgBhAGMAdAB1AHIAZQByAFwAIgA7AFwAbgAgACAAIAAgACAAIAAgACAAXAAiAFAAYQBjAGsAYQBnAGkAbgBnAFwAIgAsACAAXAAiAFAAYQBjAGsAYQBnAGkAbgBnAFwAIgAsACAAXAAiAFAAbABhAHMAdABpAGMAIABmAGkAbABtACAATABEAFAARQBcACIALAAgAFwAIgBHAGwAbwBiAGEAbABcACIALAAgAFwAIgBrAGcAXAAiACwAIAAzAC4ANAA0ACwAIABcACIAYQB0ACAAbQBhAG4AdQBmAGEAYwB0AHUAcgBlAHIAXAAiADsAXABuACAAIAAgACAAIAAgACAAIABcACIAUABhAGMAawBhAGcAaQBuAGcAXAAiACwAIABcACIAUABhAGMAawBhAGcAaQBuAGcAXAAiACwAIABcACIAUABsAGEAcwB0AGkAYwAgAHMAaABlAGUAdAAgAEgARABQAEUAXAAiACwAIABcACIARwBsAG8AYgBhAGwAXAAiACwAIABcACIAawBnAFwAIgAsACAAMwAuADcAMgAsACAAXAAiAGEAdAAgAG0AYQBuAHUAZgBhAGMAdAB1AHIAZQBy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UABlAHMAdABpAGMAaQBkAGUAcwBcAG4APQA9AD0APQA9AD0APQA9AD0APQA9AD0APQA9AD0APQA9AD0APQA9AD0APQA9AD0APQA9AD0APQA9AD0APQA9AD0APQA9AD0APQA9AD0APQA9AD0APQA9AD0APQA9AD0APQA9AD0APQA9AD0APQA9AD0APQA9AD0APQA9AD0APQA9AD0APQA9AD0APQA9AD0APQA9AD0APQBcAG4AKgAvAFwAbgBcAG4AUwBjAG8AcABlADMAXwBQAGUAcwB0AGkAYwBpAGQAZQBzAF8AVABpAHQAbABlAFwAbgA9AEwAQQBNAEIARABBACgAKABcACIAUABlAHMAdABpAGMAaQBkAGUAcwAgAHMAYwBvAHAAZQAgADMAXAAiACkAKQA7AFwAbgBcAG4AUwBjAG8AcABlADMAXwBQAGUAcwB0AGkAYwBpAGQAZQBzAF8AUwBvAHUAcgBjAGUAXABuAD0ATABBAE0AQgBEAEEAKA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CkAOwBcAG4AXABuAFMAYwBvAHAAZQAzAF8AUABlAHMAdABpAGMAaQBkAGUAcwBfAFYAYQByAGkAYQB0AGkAbwBuAFwAbgA9AEwAQQBNAEIARABBACgAKABcACIAXAAiACkAKQA7AFwAbgBcAG4AUwBjAG8AcABlADMAXwBQAGUAcwB0AGkAYwBpAGQAZQBzAF8ARABhAHQAYQBcAG4APQBMAEEATQBCAEQAQQAoAFwAbgAgACAATQBBAEsARQBBAFIAUgBBAFkAKAAxADM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QAGUAcwB0AGkAYwBpAGQAZQBzAFwAIgAsACAAXAAiAFAAZQBzAHQAaQBjAGkAZABlAHMAXAAiACwAIABcACIAMgAsADQALQBEAFwAIgAsACAAXAAiAEcAbABvAGIAYQBsAFwAIgAsACAAXAAiAGsAZwAgAEEASQBcACIALAAgADUALgAyACwAIABcACIAYQB0ACAAbQBhAHIAawBlAHQAXAAiADsAXABuACAAIAAgACAAIAAgACAAIABcACIAUABlAHMAdABpAGMAaQBkAGUAcwBcACIALAAgAFwAIgBQAGUAcwB0AGkAYwBpAGQAZQBzAFwAIgAsACAAXAAiAEEAdAByAGEAegBpAG4AZQBcACIALAAgAFwAIgBHAGwAbwBiAGEAbABcACIALAAgAFwAIgBrAGcAIABBAEkAXAAiACwAIAA4AC4AMwA4ACwAIABcACIAYQB0ACAAbQBhAHIAawBlAHQAXAAiADsAXABuACAAIAAgACAAIAAgACAAIABcACIAUABlAHMAdABpAGMAaQBkAGUAcwBcACIALAAgAFwAIgBQAGUAcwB0AGkAYwBpAGQAZQBzAFwAIgAsACAAXAAiAEQAaQB1AHIAbwBuAFwAIgAsACAAXAAiAEcAbABvAGIAYQBsAFwAIgAsACAAXAAiAGsAZwAgAEEASQBcACIALAAgADgALgA4ACwAIABcACIAYQB0ACAAbQBhAHIAawBlAHQAXAAiADsAXABuACAAIAAgACAAIAAgACAAIABcACIAUABlAHMAdABpAGMAaQBkAGUAcwBcACIALAAgAFwAIgBQAGUAcwB0AGkAYwBpAGQAZQBzAFwAIgAsACAAXAAiAEcAbAB5AHAAaABvAHMAYQB0AGUAXAAiACwAIABcACIARwBsAG8AYgBhAGwAXAAiACwAIABcACIAawBnACAAQQBJAFwAIgAsACAAMQAwAC4AMwAsACAAXAAiAGEAdAAgAG0AYQByAGsAZQB0AFwAIgA7AFwAbgAgACAAIAAgACAAIAAgACAAXAAiAFAAZQBzAHQAaQBjAGkAZABlAHMAXAAiACwAIABcACIAUABlAHMAdABpAGMAaQBkAGUAcwBcACIALAAgAFwAIgBNAGEAbgBjAG8AegBlAGIAXAAiACwAIABcACIARwBsAG8AYgBhAGwAXAAiACwAIABcACIAawBnACAAQQBJAFwAIgAsACAANAAuADUANQAsACAAXAAiAGEAdAAgAG0AYQByAGsAZQB0AFwAIgA7AFwAbgAgACAAIAAgACAAIAAgACAAXAAiAFAAZQBzAHQAaQBjAGkAZABlAHMAXAAiACwAIABcACIAUABlAHMAdABpAGMAaQBkAGUAcwBcACIALAAgAFwAIgBNAEMAUABBAFwAIgAsACAAXAAiAEcAbABvAGIAYQBsAFwAIgAsACAAXAAiAGsAZwAgAEEASQBcACIALAAgADUALgA2ACwAIABcACIAYQB0ACAAbQBhAHIAawBlAHQAXAAiADsAXABuACAAIAAgACAAIAAgACAAIABcACIAUABlAHMAdABpAGMAaQBkAGUAcwBcACIALAAgAFwAIgBQAGUAcwB0AGkAYwBpAGQAZQBzAFwAIgAsACAAXAAiAE0AZQB0AG8AbABhAGMAaABsAG8AcgBcACIALAAgAFwAIgBHAGwAbwBiAGEAbABcACIALAAgAFwAIgBrAGcAIABBAEkAXAAiACwAIAA4AC4AMAA2ACwAIABcACIAYQB0ACAAbQBhAHIAawBlAHQAXAAiADsAXABuACAAIAAgACAAIAAgACAAIABcACIAUABlAHMAdABpAGMAaQBkAGUAcwBcACIALAAgAFwAIgBQAGUAcwB0AGkAYwBpAGQAZQBzAFwAIgAsACAAXAAiAE0AZQB0AHMAdQBsAGYAdQByAG8AbgAtAG0AZQB0AGgAeQBsAFwAIgAsACAAXAAiAEcAbABvAGIAYQBsAFwAIgAsACAAXAAiAGsAZwAgAEEASQBcACIALAAgADgALgA4ACwAIABcACIAYQB0ACAAbQBhAHIAawBlAHQAXAAiADsAXABuACAAIAAgACAAIAAgACAAIABcACIAUABlAHMAdABpAGMAaQBkAGUAcwBcACIALAAgAFwAIgBQAGUAcwB0AGkAYwBpAGQAZQBzAFwAIgAsACAAXAAiAFAAZQBzAHQAaQBjAGkAZABlAHMAIAAoAGcAZQBuAGUAcgBpAGMAKQBcACIALAAgAFwAIgBHAGwAbwBiAGEAbABcACIALAAgAFwAIgBrAGcAIABBAEkAXAAiACwAIAA5AC4AMQA2ACwAIABcACIAYQB0ACAAbQBhAHIAawBlAHQAXAAiADsAXABuACAAIAAgACAAIAAgACAAIABcACIAUABlAHMAdABpAGMAaQBkAGUAcwBcACIALAAgAFwAIgBQAGUAcwB0AGkAYwBpAGQAZQBzAFwAIgAsACAAXAAiAFQAcgBpAC0AYQBsAGwAYQB0AGUAXAAiACwAIABcACIARwBsAG8AYgBhAGwAXAAiACwAIABcACIAawBnACAAQQBJAFwAIgAsACAAOAAuADUANwAsACAAXAAiAGEAdAAgAG0AYQByAGsAZQB0AFwAIgA7AFwAbgAgACAAIAAgACAAIAAgACAAXAAiAFAAZQBzAHQAaQBjAGkAZABlAHMAXAAiACwAIABcACIAUABlAHMAdABpAGMAaQBkAGUAcwBcACIALAAgAFwAIgBUAHIAaQBiAGUAbgB1AHIAbwBuACAAbQBlAHQAaAB5AGwAXAAiACwAIABcACIARwBsAG8AYgBhAGwAXAAiACwAIABcACIAawBnACAAQQBJAFwAIgAsACAAOAAuADgALAAgAFwAIgBhAHQAIABtAGEAcgBrAGUAdABcACIAOwBcAG4AIAAgACAAIAAgACAAIAAgAFwAIgBQAGUAcwB0AGkAYwBpAGQAZQBzAFwAIgAsACAAXAAiAFAAZQBzAHQAaQBjAGkAZABlAHMAXAAiACwAIABcACIAVAByAGkAZgBsAHUAcgBhAGwAaQBuAFwAIgAsACAAXAAiAEcAbABvAGIAYQBsAFwAIgAsACAAXAAiAGsAZwAgAEEASQBcACIALAAgADYALgAxADYALAAgAFwAIgBhAHQAIABtAGEAcgBrAGUAdABcACIAXABuACAAIAAgACAAIAAgAH0ALAAgAHIALAAgAGMAKQBcAG4AKQApACkAOwBcAG4AXABuAFwAbgAvACoAXABuAD0APQA9AD0APQA9AD0APQA9AD0APQA9AD0APQA9AD0APQA9AD0APQA9AD0APQA9AD0APQA9AD0APQA9AD0APQA9AD0APQA9AD0APQA9AD0APQA9AD0APQA9AD0APQA9AD0APQA9AD0APQA9AD0APQA9AD0APQA9AD0APQA9AD0APQA9AD0APQA9AD0APQA9AD0APQA9AD0AXABuAFMAbwBpAGwAIABhAG0AZQBuAGQAbQBlAG4AdABzAFwAbgA9AD0APQA9AD0APQA9AD0APQA9AD0APQA9AD0APQA9AD0APQA9AD0APQA9AD0APQA9AD0APQA9AD0APQA9AD0APQA9AD0APQA9AD0APQA9AD0APQA9AD0APQA9AD0APQA9AD0APQA9AD0APQA9AD0APQA9AD0APQA9AD0APQA9AD0APQA9AD0APQA9AD0APQA9AD0APQA9AFwAbgAqAC8AXABuAFwAbgBTAGMAbwBwAGUAMwBfAFMAbwBpAGwAQQBtAGUAbgBkAG0AZQBuAHQAcwBfAFQAaQB0AGwAZQBcAG4APQBMAEEATQBCAEQAQQAoACgAXAAiAFMAbwBpAGwAIABhAG0AZQBuAGQAbQBlAG4AdABzACAAcwBjAG8AcABlACAAMwBcACIAKQApADsAXABuAFwAbgBTAGMAbwBwAGUAMwBfAFMAbwBpAGwAQQBtAGUAbgBkAG0AZQBuAHQAcwBfAFMAbwB1AHIAYwBlAFwAbgA9AEwAQQBNAEIARABBACg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pADsAXABuAFwAbgBTAGMAbwBwAGUAMwBfAFMAbwBpAGwAQQBtAGUAbgBkAG0AZQBuAHQAcwBfAFYAYQByAGkAYQB0AGkAbwBuAFwAbgA9AEwAQQBNAEIARABBACgAKABcACIAXAAiACkAKQA7AFwAbgBcAG4AUwBjAG8AcABlADMAXwBTAG8AaQBsAEEAbQBlAG4AZABtAGUAbgB0AHMAXwBEAGEAdABhAFwAbgA9AEwAQQBNAEIARABBACgAXABuACAAIABNAEEASwBFAEEAUgBSAEEAWQAoADQALAAgADcALABcAG4AIAAgACAAIABMAEEATQBCAEQAQQAoAHIALABjACwAXABuACAAIAAgACAAIAAgAEkATgBEAEUAWAAoAHsAXABuACAAIAAgACAAIAAgACAAIABcACIAQwBhAHQAZQBnAG8AcgB5AFwAIgAsACAAXAAiAFMAdQBiAC0AYwBhAHQAZQBnAG8AcgB5AFwAIgAsACAAXAAiAFAAcgBvAGQAdQBjAHQAIABuAGEAbQBlAFwAIgAsACAAXAAiAFIAZQBnAGkAbwBuACAAbwBmACAAbwByAGkAZwBpAG4AXAAiACwAIABcACIAUAByAG8AZAB1AGMAdAAgAFUAbgBpAHQAXAAiACwAIABcACIARwBIAEcAIABlAG0AaQBzAHMAaQBvAG4AIABpAG4AdABlAG4AcwBpAHQAeQBcACIALAAgAFwAIgBTAHkAcwB0AGUAbQAgAGIAbwB1AG4AZABhAHIAeQBcACIAOwBcAG4AIAAgACAAIAAgACAAIAAgAFwAIgBTAG8AaQBsACAAYQBtAGUAbABpAG8AcgBhAG4AdABzAFwAIgAsACAAXAAiAFMAbwBpAGwAIABhAG0AZQBsAGkAbwByAGEAbgB0AHMAXAAiACwAIABcACIARABvAGwAbwBtAGkAdABl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cAeQBwAHMAdQBtAFwAIgAsACAAXAAiAEEAdQBzAHQAcgBhAGwAaQBhAFwAIgAsACAAXAAiAGsAZwBcACIALAAgADAALgAwADYANQAyACwAIABcACIAYQB0ACAAbQBhAHIAawBlAHQAXAAiADsAXABuACAAIAAgACAAIAAgACAAIABcACIAUwBvAGkAbAAgAGEAbQBlAGwAaQBvAHIAYQBuAHQAcwBcACIALAAgAFwAIgBTAG8AaQBsACAAYQBtAGUAbABpAG8AcgBhAG4AdABzAFwAIgAsACAAXAAiAEwAaQBtAGUAcwB0AG8AbgBlACAAKABjAHIAdQBzAGgAZQBkACkAXAAiACwAIABcACIAQQB1AHMAdAByAGEAbABpAGEAXAAiACwAIABcACIAawBnAFwAIgAsACAAMAAuADAANAA4ADUALAAgAFwAIgBhAHQAIABtAGEAcgBrAGUAdABcACIAXABuACAAIAAgACAAIAAgAH0ALAAgAHIALAAgAGMAKQBcAG4AKQApACkAOwBcAG4AIgB9ACwAewAiAHAAYQB0AGgAIgA6ACIALwBwAHIAbwBqAGUAYwB0AHMALwBDAG8AbQBtAG8AbgBMAGkAdgBlAHMAdABvAGMAaw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sAGkAdgBlAHMAdABvAGMAawAgAHQAeQBwAGUAcwBcAG4ARQB4AGMAZQBsACAAbQBvAGQAdQBsAGUAIABuAGEAbQBlADoAIABTAG8AdQByAGMAZQBEAGEAdABhAF8ATABpAHYAZQBzAHQAbwBjAGsAXwBDAG8AbQBtAG8Abg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UwBvAHUAcgBjAGUARABhAHQAYQBfAEwAaQB2AGUAcwB0AG8AYwBrAF8AQwBvAG0AbQBvAG4AXwBGAHIAYQBjAFcARQBUAE0ATQBTAFwAbgBGAHIAYQBjAFcARQBUAE0ATQBTAGkAIAA9ACAARgByAGEAYwB0AGkAbwBuACAAbwBmACAATgAgAGEAdgBhAGkAbABhAGIAbABlACAAZgBvAHIAIABsAGUAYQBjAGgAaQBuAGcAIABhAG4AZAAgAHIAdQBuAG8AZgBmAFwAbgAoAFQAYQBiAGwAZQAgAEEANQAuADUALgAxADAALgAyACAAaQBzACAAcgBlAGYAZQByAGUAbgBjAGUAZAAgAGkAbgAgAE4ASQBSACAAYgB1AHQAIAAxACAAaQBzACAAdQBzAGUAZAApAFwAbgAtAC0ALQAtAC0ALQAtAC0ALQAtAC0ALQAtAC0ALQAtAC0ALQAtAC0ALQAtAC0ALQAtAC0ALQAtAC0ALQAtAC0ALQAtAC0ALQAtAC0AXABuACoALwBcAG4AXABuAFMAbwB1AHIAYwBlAEQAYQB0AGEAXwBMAGkAdgBlAHMAdABvAGMAawBfAEMAbwBtAG0AbwBuAF8ARgByAGEAYwBXAEUAVABNAE0AUwBfAFQAaQB0AGwAZQBcAG4AIAAgAD0ATABBAE0AQgBEAEEAKABcACIARgByAGEAYwB0AGkAbwBuACAAbwBmACAATgAgAGEAdgBhAGkAbABhAGIAbABlACAAZgBvAHIAIABsAGUAYQBjAGgAaQBuAGcAIABhAG4AZAAgAHIAdQBuAG8AZgBmAFwAIgApADsAXABuAFwAbgBTAG8AdQByAGMAZQBEAGEAdABhAF8ATABpAHYAZQBzAHQAbwBjAGsAXwBDAG8AbQBtAG8AbgBfAEYAcgBhAGMAVwBFAFQATQBNAFMAXwBVAG4AaQB0AFwAbgAgACAAPQBMAEEATQBCAEQAQQAoAFwAIgBGAHIAYQBjAHQAaQBvAG4AXAAiACkAOwBcAG4AXABuAFMAbwB1AHIAYwBlAEQAYQB0AGEAXwBMAGkAdgBlAHMAdABvAGMAawBfAEMAbwBtAG0AbwBuAF8ARgByAGEAYwBXAEUAVABN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VwBFAFQATQBNAFMAXwBEAGEAdABhAFwAbgAgACAAPQBMAEEATQBCAEQAQQAoADEAKQA7AFwAbgBcAG4ALwAqACAAXABuAC0ALQAtAC0ALQAtAC0ALQAtAC0ALQAtAC0ALQAtAC0ALQAtAC0ALQAtAC0ALQAtAC0ALQAtAC0ALQAtAC0ALQAtAC0ALQAtAC0ALQBcAG4AUwBvAHUAcgBjAGUARABhAHQAYQBfAEwAaQB2AGUAcwB0AG8AYwBrAF8AQwBvAG0AbQBvAG4AXwBGAHIAYQBjAEwARQBBAEMASABfAE0AUwBcAG4ARgByAGEAYwBMAEUAQQBDAEgAXwBNAFMAIAA9ACAAMAAuADAAMgAgACgARwBnACAATgAvAEcAZwAgAGEAcABwAGwAaQBlAGQAKQAgACgAQwBTACAARQBGACwAIABzAG8AdQByAGMAZQAgAEkAUABDAEMAIAAoADIAMAAxADkAKQApACAAXABuAGYAcgBhAGMAdABpAG8AbgAgAG8AZgAgAE4AIABsAG8AcwB0ACAAdABoAHIAbwB1AGcAaAAgAGwAZQBhAGMAaABpAG4AZwAgAGEAbgBkACAAcgB1AG4AbwBmAGYAXABuAC0ALQAtAC0ALQAtAC0ALQAtAC0ALQAtAC0ALQAtAC0ALQAtAC0ALQAtAC0ALQAtAC0ALQAtAC0ALQAtAC0ALQAtAC0ALQAtAC0ALQBcAG4AKgAvAFwAbgBcAG4AUwBvAHUAcgBjAGUARABhAHQAYQBfAEwAaQB2AGUAcwB0AG8AYwBrAF8AQwBvAG0AbQBvAG4AXwBGAHIAYQBjAEwARQBBAEMASABfAE0AUwBfAFQAaQB0AGwAZQBcAG4AIAAgAD0ATABBAE0AQgBEAEEAKABcACIARgByAGEAYwB0AGkAbwBuACAAbwBmACAATgAgAGwAbwBzAHQAIAB0AGgAcgBvAHUAZwBoACAAbABlAGEAYwBoAGkAbgBnACAAYQBuAGQAIAByAHUAbgBvAGYAZgBcACIAKQA7AFwAbgBcAG4AUwBvAHUAcgBjAGUARABhAHQAYQBfAEwAaQB2AGUAcwB0AG8AYwBrAF8AQwBvAG0AbQBvAG4AXwBGAHIAYQBjAEwARQBBAEMASABfAE0AUwBfAFUAbgBpAHQAXABuACAAIAA9AEwAQQBNAEIARABBACgAXAAiAEYAcgBhAGMAdABpAG8AbgBcACIAKQA7AFwAbgBcAG4AUwBvAHUAcgBjAGUARABhAHQAYQBfAEwAaQB2AGUAcwB0AG8AYwBrAF8AQwBvAG0AbQBvAG4AXwBGAHIAYQBjAEwARQBBAEMASABfAE0AUwBfAFMAbwB1AHIAYwBlAFwAbgAgACAAPQBMAEEATQBCAEQAQQAoAFwAIgBOAGEAdABpAG8AbgBhAGwAIABJAG4AdgBlAG4AdABvAHIAeQAgAFIAZQBwAG8AcgB0ACAAMgAwADIAMwAgAFYAbwBsAHUAbQBlACAAMQA6ACAARQBxAHUAYQB0AGkAbwBuAHMAIAAzAC4AQgAuADUAYQBfADMALAAgADMALgBCAC4ANQBjAF8AMwAsACAAMwAuAEIALgA1AGQAXwAzAFwAIgApADsAXABuAFwAbgBTAG8AdQByAGMAZQBEAGEAdABhAF8ATABpAHYAZQBzAHQAbwBjAGsAXwBDAG8AbQBtAG8AbgBfAEYAcgBhAGMATABFAEEAQwBIAF8ATQBTAF8ARABhAHQAYQBcAG4AIAAgAD0ATABBAE0AQgBEAEEAKABcAG4AIAAgACAAIABNAEEASwBFAEEAUgBSAEEAWQAoADgALAAgADIALAAgAFwAbgAgACAAIAAgACAAIABMAEEATQBCAEQAQQAoAHIALABjACwAIABcAG4AIAAgACAAIAAgACAAIAAgAEkATgBEAEUAWAAoAHsAXABuACAAIAAgACAAIAAgACAAIAAgACAAXAAiAFAAcgBvAGQAdQBjAHQAaQBvAG4AIABzAHkAcwB0AGUAbQBcACIALAAgAFwAIgBFAG0AaQBzAHMAaQBvAG4AIABmAGEAYwB0AG8AcgBcACIAOwBcAG4AIAAgACAAIAAgACAAIAAgACAAIAAgACAAXAAiAEkAcgByAGkAZwBhAHQAZQBkACAAcABhAHMAdAB1AHIAZQBcACIALAAgADAALgAwADAANQA5ADsAXABuACAAIAAgACAAIAAgACAAIAAgACAAIAAgAFwAIgBJAHIAcgBpAGcAYQB0AGUAZAAgAGMAcgBvAHAAXAAiACwAIAAwAC4AMAAwADcAOwBcAG4AIAAgACAAIAAgACAAIAAgACAAIAAgACAAXAAiAE4AbwBuAC0AaQByAHIAaQBnAGEAdABlAGQAIABwAGEAcwB0AHUAcgBlAFwAIgAsACAAMAAuADAAMAAxADgAOwBcAG4AIAAgACAAIAAgACAAIAAgACAAIAAgACAAXAAiAE4AbwBuAC0AaQByAHIAaQBnAGEAdABlAGQAIABjAHIAbwBwAFwAIgAsACAAMAAuADAAMAA0ADEAOwBcAG4AIAAgACAAIAAgACAAIAAgACAAIAAgACAAXAAiAFMAdQBnAGEAcgAgAGMAYQBuAGUAXAAiACwAIAAwAC4AMAAxADkAOQA7AFwAbgAgACAAIAAgACAAIAAgACAAIAAgACAAIABcACIAQwBvAHQAdABvAG4AXAAiACwAIAAwAC4AMAAwADUAMwA7AFwAbgAgACAAIAAgACAAIAAgACAAIAAgACAAIABcACIASABvAHIAdABpAGMAdQBsAHQAdQByAGUAXAAiACwAIAAwAC4AMAAwADYANA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EMAbwBtAG0AbwBuAF8AUwB5AG0AYgBvAGwAcwBNAE0AUwBcAG4AVABhAGIAbABlACAANQAuADEAMgAgAEEAZABkAGkAdABpAG8AbgBhAGwAIABzAHkAbQBiAG8AbABzACAAdQBzAGUAZAAgAGkAbgAgAGEAbABnAG8AcgBpAHQAaABtAHMAIABmAG8AcgAgAG0AYQBuAHUAcgBlACAAcgBlAGwAYQB0AGUAZAAgAGUAbQBpAHMAcwBpAG8AbgBzAFwAbgAtAC0ALQAtAC0ALQAtAC0ALQAtAC0ALQAtAC0ALQAtAC0ALQAtAC0ALQAtAC0ALQAtAC0ALQAtAC0ALQAtAC0ALQAtAC0ALQAtAC0AXABuACoALwBcAG4AXABuAFMAbwB1AHIAYwBlAEQAYQB0AGEAXwBMAGkAdgBlAHMAdABvAGMAawBfAEMAbwBtAG0AbwBuAF8AUwB5AG0AYgBvAGwAcwBNAE0AUwBfAFQAaQB0AGwAZQBcAG4AIAAgAD0ATABBAE0AQgBEAEEAKABcACIAVABhAGIAbABlACAANQAuADEAMgAgAEEAZABkAGkAdABpAG8AbgBhAGwAIABzAHkAbQBiAG8AbABzACAAdQBzAGUAZAAgAGkAbgAgAGEAbABnAG8AcgBpAHQAaABtAHMAIABmAG8AcgAgAG0AYQBuAHUAcgBlACAAcgBlAGwAYQB0AGUAZAAgAGUAbQBpAHMAcwBpAG8AbgBzAFwAIgApADsAXABuAFwAbgBTAG8AdQByAGMAZQBEAGEAdABhAF8ATABpAHYAZQBzAHQAbwBjAGsAXwBDAG8AbQBtAG8AbgBfAFMAeQBtAGIAbwBsAHMATQBNAFMAXwBWAGEAaQByAGEAYgBsAGUAXABuACAAIAA9AEwAQQBNAEIARABBACgAXAAiAE0ATQBTAFwAIgApADsAXABuAFwAbgBTAG8AdQByAGMAZQBEAGEAdABhAF8ATABpAHYAZQBzAHQAbwBjAGsAXwBDAG8AbQBtAG8AbgBfAFMAeQBtAGIAbwBsAHMATQBNAFMAXwBVAG4AaQB0AFwAbgAgACAAPQBMAEEATQBCAEQAQQAoAFwAIgBcACIAKQA7AFwAbgBcAG4AUwBvAHUAcgBjAGUARABhAHQAYQBfAEwAaQB2AGUAcwB0AG8AYwBrAF8AQwBvAG0AbQBvAG4AXwBTAHkAbQBiAG8AbABzAE0ATQBTAF8AUwBvAHUAcgBjAGUAXABuACAAIAA9AEwAQQBNAEIARABBACgAXAAiAE4AYQB0AGkAbwBuAGEAbAAgAEkAbgB2AGUAbgB0AG8AcgB5ACAAUgBlAHAAbwByAHQAIAAyADAAMgAzACAAVgBvAGwAdQBtAGUAIAAxADoAIABUAGEAYgBsAGUAIAA1AC4AMQAyAFwAIgApADsAXABuAFwAbgBTAG8AdQByAGMAZQBEAGEAdABhAF8ATABpAHYAZQBzAHQAbwBjAGsAXwBDAG8AbQBtAG8AbgBfAFMAeQBtAGIAbwBsAHMATQBNAFMAXwBEAGEAdABhAFwAbgAgACAAPQBMAEEATQBCAEQAQQAoAFwAbgAgACAAIAAgAE0AQQBLAEUAQQBSAFIAQQBZACgAMQA5ACwAIAAzACwAIABcAG4AIAAgACAAIAAgACAATABBAE0AQgBEAEEAKAByACwAYwAsACAAXABuACAAIAAgACAAIAAgACAAIABJAE4ARABFAFgAKAB7AFwAbgAgACAAIAAgACAAIAAgACAAIAAgAFwAIgBTAHkAbQBiAG8AbABcACIALAAgAFwAIgBNAGEAbgB1AHIAZQAgAG0AYQBuAGEAZwBlAG0AZQBuAHQAIABzAHkAcwB0AGUAbQBcACIALAAgAFwAIgBcACIAOwBcAG4AIAAgACAAIAAgACAAIAAgACAAIAAgACAAXAAiADEAXAAiACwAIABcACIAQQBuAGEAZQByAG8AYgBpAGMAIABsAGEAZwBvAG8AbgBcACIALAAgAFwAIgBBAG4AYQBlAHIAbwBiAGkAYwAgAGwAYQBnAG8AbwBuACAAKABtAD0AMQApAFwAIgA7AFwAbgAgACAAIAAgACAAIAAgACAAIAAgACAAIABcACIAMgBcACIALAAgAFwAIgBMAGkAcQB1AGkAZAAgAHMAeQBzAHQAZQBtAHMAXAAiACwAIABcACIATABpAHEAdQBpAGQAIABzAHkAcwB0AGUAbQBzACAAKABtAD0AMgApAFwAIgA7AFwAbgAgACAAIAAgACAAIAAgACAAIAAgACAAIABcACIAMwBcACIALAAgAFwAIgBEAGEAaQBsAHkAIABzAHAAcgBlAGEAZABcACIALAAgAFwAIgBEAGEAaQBsAHkAIABzAHAAcgBlAGEAZAAgACgAbQA9ADMAKQBcACIAOwBcAG4AIAAgACAAIAAgACAAIAAgACAAIAAgACAAXAAiADMAYQBcACIALAAgAFwAIgBTAHUAbQBwACAAYQBuAGQAIABkAGkAcwBwAGUAcgBzAGEAbAAgAHMAeQBzAHQAZQBtAFwAIgAsACAAXAAiAFMAdQBtAHAAIABhAG4AZAAgAGQAaQBzAHAAZQByAHMAYQBsACAAcwB5AHMAdABlAG0AIAAoAG0APQAzAGEAKQBcACIAOwBcAG4AIAAgACAAIAAgACAAIAAgACAAIAAgACAAXAAiADMAYgBcACIALAAgAFwAIgBEAHIAYQBpAG4AcwAgAHQAbwAgAHAAYQBkAGQAbwBjAGsAXAAiACwAIABcACIARAByAGEAaQBuAHMAIAB0AG8AIABwAGEAZABkAG8AYwBrACAAKABtAD0AMwBiACkAXAAiADsAXABuACAAIAAgACAAIAAgACAAIAAgACAAIAAgAFwAIgA0AFwAIgAsACAAXAAiAFMAbwBsAGkAZAAgAHMAdABvAHIAYQBnAGUAXAAiACwAIABcACIAUwBvAGwAaQBkACAAcwB0AG8AcgBhAGcAZQAgACgAbQA9ADQAKQBcACIAOwBcAG4AIAAgACAAIAAgACAAIAAgACAAIAAgACAAXAAiADUAXAAiACwAIABcACIARAByAHkAbABvAHQAIAAoAGYAZQBlAGQAIABwAGEAZAApAFwAIgAsACAAXAAiAEQAcgB5AGwAbwB0ACAAKABmAGUAZQBkACAAcABhAGQAKQAgACgAbQA9ADUAKQBcACIAOwBcAG4AIAAgACAAIAAgACAAIAAgACAAIAAgACAAXAAiADYAXAAiACwAIABcACIAQwBvAG0AcABvAHMAdABpAG4AZwAgACgAcABhAHMAcwBpAHYAZQAgAHcAaQBuAGQAcgBvAHcAKQBcACIALAAgAFwAIgBDAG8AbQBwAG8AcwB0AGkAbgBnACAAKABwAGEAcwBzAGkAdgBlACAAdwBpAG4AZAByAG8AdwApACAAKABtAD0ANgApAFwAIgA7AFwAbgAgACAAIAAgACAAIAAgACAAIAAgACAAIABcACIANwBcACIALAAgAFwAIgBEAGkAZwBlAHMAdABlAHIAIAAvACAAYwBvAHYAZQByAGUAZAAgAGwAYQBnAG8AbwBuAHMAXAAiACwAIABcACIARABpAGcAZQBzAHQAZQByACAALwAgAGMAbwB2AGUAcgBlAGQAIABsAGEAZwBvAG8AbgBzACAAKABtAD0ANwApAFwAIgA7AFwAbgAgACAAIAAgACAAIAAgACAAIAAgACAAIABcACIAOABcACIALAAgAFwAIgBEAGUAZQBwACAAbABpAHQAdABlAHIAXAAiACwAIABcACIARABlAGUAcAAgAGwAaQB0AHQAZQByACAAKABtAD0AOAApAFwAIgA7AFwAbgAgACAAIAAgACAAIAAgACAAIAAgACAAIABcACIAOQBcACIALAAgAFwAIgBQAGkAdAAgAHMAdABvAHIAYQBnAGUAXAAiACwAIABcACIAUABpAHQAIABzAHQAbwByAGEAZwBlACAAKABtAD0AOQApAFwAIgA7AFwAbgAgACAAIAAgACAAIAAgACAAIAAgACAAIABcACIAMQAwAFwAIgAsACAAXAAiAFAAbwB1AGwAdAByAHkAIABtAGEAbgB1AHIAZQAgAHcAaQB0AGgAIABiAGUAZABkAGkAbgBnAFwAIgAsACAAXAAiAFAAbwB1AGwAdAByAHkAIABtAGEAbgB1AHIAZQAgAHcAaQB0AGgAIABiAGUAZABkAGkAbgBnACAAKABtAD0AMQAwACkAXAAiADsAXABuACAAIAAgACAAIAAgACAAIAAgACAAIAAgAFwAIgAxADEAXAAiACwAIABcACIAUABvAHUAbAB0AHIAeQAgAG0AYQBuAHUAcgBlACAAdwBpAHQAaABvAHUAdAAgAGIAZQBkAGQAaQBuAGcAXAAiACwAIABcACIAUABvAHUAbAB0AHIAeQAgAG0AYQBuAHUAcgBlACAAdwBpAHQAaABvAHUAdAAgAGIAZQBkAGQAaQBuAGcAIAAoAG0APQAxADEAKQBcACIAOwBcAG4AIAAgACAAIAAgACAAIAAgACAAIAAgACAAXAAiADEAMQBhAFwAIgAsACAAXAAiAEIAZQBsAHQAIABtAGEAbgB1AHIAZQAgAHIAZQBtAG8AdgBhAGwAXAAiACwAIABcACIAQgBlAGwAdAAgAG0AYQBuAHUAcgBlACAAcgBlAG0AbwB2AGEAbAAgACgAbQA9ADEAMQBhACkAXAAiADsAXABuACAAIAAgACAAIAAgACAAIAAgACAAIAAgAFwAIgAxADEAYgBcACIALAAgAFwAIgBNAGEAbgB1AHIAZQAgAHMAdABvAHIAZQBkACAAaQBuACAAaABvAHUAcwBlAFwAIgAsACAAXAAiAE0AYQBuAHUAcgBlACAAcwB0AG8AcgBlAGQAIABpAG4AIABoAG8AdQBzAGUAIAAoAG0APQAxADEAYgApAFwAIgA7AFwAbgAgACAAIAAgACAAIAAgACAAIAAgACAAIABcACIAMQAyAFwAIgAsACAAXAAiAEQAaQByAGUAYwB0ACAAcAByAG8AYwBlAHMAcwBpAG4AZwBcACIALAAgAFwAIgBEAGkAcgBlAGMAdAAgAHAAcgBvAGMAZQBzAHMAaQBuAGcAIAAoAG0APQAxADIAKQBcACIAOwBcAG4AIAAgACAAIAAgACAAIAAgACAAIAAgACAAXAAiADEAMwBcACIALAAgAFwAIgBEAGkAcgBlAGMAdAAgAGEAcABwAGwAaQBjAGEAdABpAG8AbgBcACIALAAgAFwAIgBEAGkAcgBlAGMAdAAgAGEAcABwAGwAaQBjAGEAdABpAG8AbgAgACgAbQA9ADEAMwApAFwAIgA7AFwAbgAgACAAIAAgACAAIAAgACAAIAAgACAAIABcACIAMQA0AFwAIgAsACAAXAAiAFAAYQBzAHQAdQByAGUAIAByAGEAbgBnAGUAIABhAG4AZAAgAHAAYQBkAGQAbwBjAGsAXAAiACwAIABcACIAUABhAHMAdAB1AHIAZQAgAHIAYQBuAGcAZQAgAGEAbgBkACAAcABhAGQAZABvAGMAawAgACgAbQA9ADEANAAp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CAGUAZQBmAEMAYQB0AHQAbABlAFwAbgAtAC0ALQAtAC0ALQAtAC0ALQAtAC0ALQAtAC0ALQAtAC0ALQAtAC0ALQAtAC0ALQAtAC0ALQAtAC0ALQAtAC0ALQAtAC0ALQAtAC0AXABuACoALwBcAG4AXABuAFMAbwB1AHIAYwBlAEQAYQB0AGEAXwBMAGkAdgBlAHMAdABvAGMAawBfAFAAcgBvAGQAdQBjAHQAXwBCAGUAZQBmAEMAYQB0AHQAbABlAF8AVABpAHQAbABlAFwAbgAgACAAPQBMAEEATQBCAEQAQQAoAFwAIgBCAGUAZQBmACAAYwBhAHQAdABsAGUAIABwAHIAbwBkAHUAYwB0AHMAIABmAG8AcgAgAHMAYwBvAHAAZQAgADMAXAAiACkAOwBcAG4AXABuAFMAbwB1AHIAYwBlAEQAYQB0AGEAXwBMAGkAdgBlAHMAdABvAGMAawBfAFAAcgBvAGQAdQBjAHQAXwBCAGUAZQBmAEMAYQB0AHQAbABlAF8AVgBhAGkAcgBhAGIAbABlAFwAbgAgACAAPQBMAEEATQBCAEQAQQAoAFwAIgBcACIAKQA7AFwAbgBcAG4AUwBvAHUAcgBjAGUARABhAHQAYQBfAEwAaQB2AGUAcwB0AG8AYwBrAF8AUAByAG8AZAB1AGMAdABfAEIAZQBlAGYAQwBhAHQAdABsAGUAXwBVAG4AaQB0AFwAbgAgACAAPQBMAEEATQBCAEQAQQAoAFwAIgBcACIAKQA7AFwAbgBcAG4AUwBvAHUAcgBjAGUARABhAHQAYQBfAEwAaQB2AGUAcwB0AG8AYwBrAF8AUAByAG8AZAB1AGMAdABfAEIAZQBlAGYAQ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IAZQBlAGYAQwBhAHQAdABsAGUAXwBEAGEAdABhAFwAbgAgACAAPQBMAEEATQBCAEQAQQAoAFwAbgAgACAAIAAgAE0AQQBLAEUAQQBSAFIAQQBZACgAOQAsACAAMgAsACAAXABuACAAIAAgACAAIAAgAEwAQQBNAEIARABBACgAcgAsAGMALAAgAFwAbgAgACAAIAAgACAAIAAgACAASQBOAEQARQBYACgAewBcAG4AIAAgACAAIAAgACAAIAAgACAAIABcACIAUAByAG8AZAB1AGMAdABcACIALAAgAFwAIgBTAG8AdQByAGMAZQAgAHIAZQBnAGkAbwBuAFwAIgA7AFwAbgAgACAAIAAgACAAIAAgACAAIAAgACAAIABcACIAQwBhAHQAdABsAGUALAAgAGYAbwByACAAbQBhAG4AdQBmAGEAYwB0AHUAcgBpAG4AZwAgAGIAZQBlAGYAXAAiACwAIABcACIAQQB1AHMAdAByAGEAbABpAGEAXAAiADsAXABuACAAIAAgACAAIAAgACAAIAAgACAAIAAgAFwAIgBDAGEAdAB0AGwAZQAsACAAZgBvAHIAIABwAHIAaQBtAGUAIABiAGUAZQBmAFwAIgAsACAAXAAiAE4AUwBXAFwAIgA7AFwAbgAgACAAIAAgACAAIAAgACAAIAAgACAAIABcACIAQwBhAHQAdABsAGUALAAgAHcAZQBhAG4AZQByAHMAXAAiACwAIABcACIATgBU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LwAqACAAXABuAC0ALQAtAC0ALQAtAC0ALQAtAC0ALQAtAC0ALQAtAC0ALQAtAC0ALQAtAC0ALQAtAC0ALQAtAC0ALQAtAC0ALQAtAC0ALQAtAC0ALQBcAG4AUwBvAHUAcgBjAGUARABhAHQAYQBfAEwAaQB2AGUAcwB0AG8AYwBrAF8AUAByAG8AZAB1AGMAdABfAEMAaABpAGMAawBlAG4AcwBcAG4ALQAtAC0ALQAtAC0ALQAtAC0ALQAtAC0ALQAtAC0ALQAtAC0ALQAtAC0ALQAtAC0ALQAtAC0ALQAtAC0ALQAtAC0ALQAtAC0ALQAtAFwAbgAqAC8AXABuAFwAbgBTAG8AdQByAGMAZQBEAGEAdABhAF8ATABpAHYAZQBzAHQAbwBjAGsAXwBQAHIAbwBkAHUAYwB0AF8AQwBoAGkAYwBrAGUAbgBzAF8AVABpAHQAbABlAFwAbgAgACAAPQBMAEEATQBCAEQAQQAoAFwAIgBDAGgAaQBjAGsAZQBuAHMAIABwAHIAbwBkAHUAYwB0AHMAIABmAG8AcgAgAHMAYwBvAHAAZQAgADMAXAAiACkAOwBcAG4AXABuAFMAbwB1AHIAYwBlAEQAYQB0AGEAXwBMAGkAdgBlAHMAdABvAGMAawBfAFAAcgBvAGQAdQBjAHQAXwBDAGgAaQBjAGsAZQBuAHMAXwBWAGEAaQByAGEAYgBsAGUAXABuACAAIAA9AEwAQQBNAEIARABBACgAXAAiAFwAIgApADsAXABuAFwAbgBTAG8AdQByAGMAZQBEAGEAdABhAF8ATABpAHYAZQBzAHQAbwBjAGsAXwBQAHIAbwBkAHUAYwB0AF8AQwBoAGkAYwBrAGUAbgBzAF8AVQBuAGkAdABcAG4AIAAgAD0ATABBAE0AQgBEAEEAKABcACIAXAAiACkAOwBcAG4AXABuAFMAbwB1AHIAYwBlAEQAYQB0AGEAXwBMAGkAdgBlAHMAdABvAGMAawBfAFAAcgBvAGQAdQBjAHQAXwBDAGgAaQBjAGsAZQBu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MAaABpAGMAawBlAG4Acw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DAGgAaQBjAGsAZQBuAHMAXAAiACwAIABcACIAQQB1AHMAdAByAGEAbABpAGE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EQAYQBpAHIAeQBjAGEAdAB0AGwAZQBcAG4ALQAtAC0ALQAtAC0ALQAtAC0ALQAtAC0ALQAtAC0ALQAtAC0ALQAtAC0ALQAtAC0ALQAtAC0ALQAtAC0ALQAtAC0ALQAtAC0ALQAtAFwAbgAqAC8AXABuAFwAbgBTAG8AdQByAGMAZQBEAGEAdABhAF8ATABpAHYAZQBzAHQAbwBjAGsAXwBQAHIAbwBkAHUAYwB0AF8ARABhAGkAcgB5AGMAYQB0AHQAbABlAF8AVABpAHQAbABlAFwAbgAgACAAPQBMAEEATQBCAEQAQQAoAFwAIgBEAGEAaQByAHkAIABjAGEAdAB0AGwAZQAgAHAAcgBvAGQAdQBjAHQAcwAgAGYAbwByACAAcwBjAG8AcABlACAAMwBcACIAKQA7AFwAbgBcAG4AUwBvAHUAcgBjAGUARABhAHQAYQBfAEwAaQB2AGUAcwB0AG8AYwBrAF8AUAByAG8AZAB1AGMAdABfAEQAYQBpAHIAeQBjAGEAdAB0AGwAZQBfAFYAYQBpAHIAYQBiAGwAZQBcAG4AIAAgAD0ATABBAE0AQgBEAEEAKABcACIAXAAiACkAOwBcAG4AXABuAFMAbwB1AHIAYwBlAEQAYQB0AGEAXwBMAGkAdgBlAHMAdABvAGMAawBfAFAAcgBvAGQAdQBjAHQAXwBEAGEAaQByAHkAYwBhAHQAdABsAGUAXwBVAG4AaQB0AFwAbgAgACAAPQBMAEEATQBCAEQAQQAoAFwAIgBcACIAKQA7AFwAbgBcAG4AUwBvAHUAcgBjAGUARABhAHQAYQBfAEwAaQB2AGUAcwB0AG8AYwBrAF8AUAByAG8AZAB1AGMAdABfAEQAYQBpAHIAeQBjAGEAdAB0AGwAZQ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RABhAGkAcgB5AGMAYQB0AHQAbABl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EQAYQBpAHIAeQAgAGMAbwB3AHMAXAAiACwAIABcACIAVgBJAEMAXAAiAFwAbgAgACAAIAAgACAAIAAgACAAfQAsACAAcgAsACAAYwApAFwAbgAgACAAIAAgACAAIAApAFwAbgAgACAAIAAgACkAXABuACAAIAApADsAXABuAFwAbgBcAG4ALwAqACAAXABuAC0ALQAtAC0ALQAtAC0ALQAtAC0ALQAtAC0ALQAtAC0ALQAtAC0ALQAtAC0ALQAtAC0ALQAtAC0ALQAtAC0ALQAtAC0ALQAtAC0ALQBcAG4AUwBvAHUAcgBjAGUARABhAHQAYQBfAEwAaQB2AGUAcwB0AG8AYwBrAF8AUAByAG8AZAB1AGMAdABfAFAAaQBnAHMAXABuAC0ALQAtAC0ALQAtAC0ALQAtAC0ALQAtAC0ALQAtAC0ALQAtAC0ALQAtAC0ALQAtAC0ALQAtAC0ALQAtAC0ALQAtAC0ALQAtAC0ALQBcAG4AKgAvAFwAbgBcAG4AUwBvAHUAcgBjAGUARABhAHQAYQBfAEwAaQB2AGUAcwB0AG8AYwBrAF8AUAByAG8AZAB1AGMAdABfAFAAaQBnAHMAXwBUAGkAdABsAGUAXABuACAAIAA9AEwAQQBNAEIARABBACgAXAAiAFAAaQBnAHMAIABwAHIAbwBkAHUAYwB0AHMAIABmAG8AcgAgAHMAYwBvAHAAZQAgADMAXAAiACkAOwBcAG4AXABuAFMAbwB1AHIAYwBlAEQAYQB0AGEAXwBMAGkAdgBlAHMAdABvAGMAawBfAFAAcgBvAGQAdQBjAHQAXwBQAGkAZwBzAF8AVgBhAGkAcgBhAGIAbABlAFwAbgAgACAAPQBMAEEATQBCAEQAQQAoAFwAIgBcACIAKQA7AFwAbgBcAG4AUwBvAHUAcgBjAGUARABhAHQAYQBfAEwAaQB2AGUAcwB0AG8AYwBrAF8AUAByAG8AZAB1AGMAdABfAFAAaQBnAHMAXwBVAG4AaQB0AFwAbgAgACAAPQBMAEEATQBCAEQAQQAoAFwAIgBcACIAKQA7AFwAbgBcAG4AUwBvAHUAcgBjAGUARABhAHQAYQBfAEwAaQB2AGUAcwB0AG8AYwBrAF8AUAByAG8AZAB1AGMAdABfAFAAaQBnAHM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FAAaQBn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UABpAGcAcwBcACIALAAgAFwAIgBBAHUAcwB0AHIAYQBsAGkAY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TAGgAZQBlAHAAXABuAC0ALQAtAC0ALQAtAC0ALQAtAC0ALQAtAC0ALQAtAC0ALQAtAC0ALQAtAC0ALQAtAC0ALQAtAC0ALQAtAC0ALQAtAC0ALQAtAC0ALQBcAG4AKgAvAFwAbgBcAG4AUwBvAHUAcgBjAGUARABhAHQAYQBfAEwAaQB2AGUAcwB0AG8AYwBrAF8AUAByAG8AZAB1AGMAdABfAFMAaABlAGUAcABfAFQAaQB0AGwAZQBcAG4AIAAgAD0ATABBAE0AQgBEAEEAKABcACIAUwBoAGUAZQBwACAAcAByAG8AZAB1AGMAdABzACAAZgBvAHIAIABzAGMAbwBwAGUAIAAzAFwAIgApADsAXABuAFwAbgBTAG8AdQByAGMAZQBEAGEAdABhAF8ATABpAHYAZQBzAHQAbwBjAGsAXwBQAHIAbwBkAHUAYwB0AF8AUwBoAGUAZQBwAF8AVgBhAGkAcgBhAGIAbABlAFwAbgAgACAAPQBMAEEATQBCAEQAQQAoAFwAIgBcACIAKQA7AFwAbgBcAG4AUwBvAHUAcgBjAGUARABhAHQAYQBfAEwAaQB2AGUAcwB0AG8AYwBrAF8AUAByAG8AZAB1AGMAdABfAFMAaABlAGUAcABfAFUAbgBpAHQAXABuACAAIAA9AEwAQQBNAEIARABBACgAXAAiAFwAIgApADsAXABuAFwAbgBTAG8AdQByAGMAZQBEAGEAdABhAF8ATABpAHYAZQBzAHQAbwBjAGsAXwBQAHIAbwBkAHUAYwB0AF8AUwBoAGUAZQBw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TAGgAZQBlAHAAXwBEAGEAdABhAFwAbgAgACAAPQBMAEEATQBCAEQAQQAoAFwAbgAgACAAIAAgAE0AQQBLAEUAQQBSAFIAQQBZACgAOAAsACAAMgAsACAAXABuACAAIAAgACAAIAAgAEwAQQBNAEIARABBACgAcgAsAGMALAAgAFwAbgAgACAAIAAgACAAIAAgACAASQBOAEQARQBYACgAewBcAG4AIAAgACAAIAAgACAAIAAgACAAIABcACIAUAByAG8AZAB1AGMAdABcACIALAAgAFwAIgBTAG8AdQByAGMAZQAgAHIAZQBnAGkAbwBuAFwAIgA7AFwAbgAgACAAIAAgACAAIAAgACAAIAAgACAAIABcACIAUwBoAGUAZQBwACwAIABmAG8AcgAgAG0AdQB0AHQAbwBuAFwAIgAsACAAXAAiAEEAdQBzAHQAcgBhAGwAaQBhAFwAIgA7AFwAbgAgACAAIAAgACAAIAAgACAAIAAgACAAIABcACIAUwBoAGUAZQBwACwAIABmAG8AcgAgAHAAcgBpAG0AZQAgAGwAYQBtAGIAXAAiACwAIABcACIATgBTAFcAXAAiADsAXABuACAAIAAgACAAIAAgACAAIAAgACAAIAAgAFwAIgBcACIALAAgAFwAIgBRAEwARABcACIAOwBcAG4AIAAgACAAIAAgACAAIAAgACAAIAAgACAAXAAiAFwAIgAsACAAXAAiAFMAQQBcACIAOwBcAG4AIAAgACAAIAAgACAAIAAgACAAIAAgACAAXAAiAFwAIgAsACAAXAAiAFQAQQBTAFwAIgA7AFwAbgAgACAAIAAgACAAIAAgACAAIAAgACAAIABcACIAXAAiACwAIABcACIAVgBJAEMAXAAiADsAXABuACAAIAAgACAAIAAgACAAIAAgACAAIAAgAFwAIgBcACIALAAgAFwAIgBXAEEAXAAiAFwAbgAgACAAIAAgACAAIAAgACAAfQAsACAAcgAsACAAYwApAFwAbgAgACAAIAAgACAAIAApAFwAbgAgACAAIAAgACkAXABuACAAIAApADsAXABuAFwAbgAiAH0ALAB7ACIAcABhAHQAaAAiADoAIgAvAHAAcgBvAGoAZQBjAHQAcwAvAEMAbwBtAG0AbwBuAEMAcgBvAHAAcABpAG4AZwBfAEkAbgBwAHUAdABGAHUAbgBjAHQAaQBvAG4AcwAiACwAIgB0AGUAeAB0ACIAOgAi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EMAbwBtAG0AbwBuAEMAcgBvAHAAcABpAG4AZwBfAEMAYQBsAGMAdQBsAGEAdABlAEgAYQByAHYAZQBzAHQASQBuAGQAZQB4AFwAbgA9AEwAQQBNAEIARABBACgAXABuACAAIAAgACAAQwByAG8AcABUAHkAcABlACwAIABDAHIAbwBwAFQAeQBwAGUAQQByAHIAYQB5ACwAIABSAGUAcwBpAGQAdQBlAEMAcgBvAHAAUgBhAHQAaQBvAEEAcgByAGEAeQAsAFwAbgAgACAAIAAgADEALwAoADEAKwBDAG8AbQBtAG8AbgBfAEkAbgBwAHUAdABGAHUAbgBjAHQAaQBvAG4AcwAuAFUAdABpAGwAaQB0AHkAXwBMAG8AbwBrAHUAcABWAGEAbAB1AGUASQBuAFQAYQBiAGwAZQBOAHUAbQBiAGUAcgAoAEMAcgBvAHAAVAB5AHAAZQAsACAAQwByAG8AcABUAHkAcABlAEEAcgByAGEAeQAsACAAUgBlAHMAaQBkAHUAZQBDAHIAbwBwAFIAYQB0AGkAbwBBAHIAcgBhAHkAKQApAFwAbgApADsAXABuAFwAbgBDAG8AbQBtAG8AbgBDAHIAbwBwAHAAaQBuAGcAXwBDAGEAbABjAHUAbABhAHQAZQBSAGUAcwBpAGQAdQBlAEMAcgBvAHAAUgBhAHQAaQBvAFwAbgA9AEwAQQBNAEIARABBACgAXABuACAAIAAgACAASABhAHIAdgBlAHMAdABJAG4AZABlAHgALABcAG4AIAAgACAAIAAoADEALQBIAGEAcgB2AGUAcwB0AEkAbgBkAGUAeAApAC8ASABhAHIAdgBlAHMAdABJAG4AZABlAHgAXABuACkAOwBcAG4AXABuAFwAbgBDAG8AbQBtAG8AbgBDAHIAbwBwAHAAaQBuAGcAXwBDAGEAbABjAHUAbABhAHQAZQBGAHIAYQBjAHQAaQBvAG4AUgBlAHMAaQBkAHUAZQBSAGUAbQBvAHYAZQBkAFwAbgA9AEwAQQBNAEIARABBACgAXABuACAAIAAgACAAVABvAHQAYQBsAFIAZQBzAGkAZAB1AGUALAAgAEEAbQBvAHUAbgB0AFIAZQBtAG8AdgBlAGQALABcAG4AIAAgACAAIAAoAEEAbQBvAHUAbgB0AFIAZQBtAG8AdgBlAGQAKgAxADAAXgAzACkALwAoAFQAbwB0AGEAbABSAGUAcwBpAGQAdQBlACoAMQAwAF4AMwApAFwAbgApACIAfQBd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46</vt:i4>
      </vt:variant>
      <vt:variant>
        <vt:lpstr>Named Ranges</vt:lpstr>
      </vt:variant>
      <vt:variant>
        <vt:i4>285</vt:i4>
      </vt:variant>
    </vt:vector>
  </HeadingPairs>
  <TitlesOfParts>
    <vt:vector size="331" baseType="lpstr">
      <vt:lpstr>Home</vt:lpstr>
      <vt:lpstr>Results - Activity period</vt:lpstr>
      <vt:lpstr>Results - Product EI</vt:lpstr>
      <vt:lpstr>Input - Enterprise</vt:lpstr>
      <vt:lpstr>Input - Site</vt:lpstr>
      <vt:lpstr>Input - Poultry</vt:lpstr>
      <vt:lpstr>Input - Livestock sales</vt:lpstr>
      <vt:lpstr>Input - Poultry purchases</vt:lpstr>
      <vt:lpstr>Input - Fuel</vt:lpstr>
      <vt:lpstr>Input - Electricity</vt:lpstr>
      <vt:lpstr>Input - Common farm inputs</vt:lpstr>
      <vt:lpstr>Input - Livestock farm Inputs</vt:lpstr>
      <vt:lpstr>Input - Freight</vt:lpstr>
      <vt:lpstr>Input - Solid waste</vt:lpstr>
      <vt:lpstr>Input - Manure sent off-site</vt:lpstr>
      <vt:lpstr>Input - Data quality</vt:lpstr>
      <vt:lpstr>4.6.1.1-2 Methane</vt:lpstr>
      <vt:lpstr>4.6.1.3-4 Direct N20</vt:lpstr>
      <vt:lpstr>4.6.1.5-6 Atmos Dep</vt:lpstr>
      <vt:lpstr>4.6.1.7-8 Leaching and runoff</vt:lpstr>
      <vt:lpstr>4.6.1.9 Manure applied to soils</vt:lpstr>
      <vt:lpstr>4.6.1.10-11 Soil direct N2O</vt:lpstr>
      <vt:lpstr>4.6.1.12-13 Soil atmos dep</vt:lpstr>
      <vt:lpstr>4.6.1.14-15 Soil leach runoff</vt:lpstr>
      <vt:lpstr>8.1.1.1-2 Transport fuel</vt:lpstr>
      <vt:lpstr>8.2.1.1-2 Stationary fuel</vt:lpstr>
      <vt:lpstr>10.1.1-2 Solid waste treatment</vt:lpstr>
      <vt:lpstr>14.1.1-2 Purchased electricity</vt:lpstr>
      <vt:lpstr>15 Scope 3</vt:lpstr>
      <vt:lpstr>Calcs - Manure sent off-site</vt:lpstr>
      <vt:lpstr>Constants - Poultry</vt:lpstr>
      <vt:lpstr>Constants - Common livestock</vt:lpstr>
      <vt:lpstr>Constants - Electricity</vt:lpstr>
      <vt:lpstr>Constants - Fertiliser</vt:lpstr>
      <vt:lpstr>Constants - Fuel</vt:lpstr>
      <vt:lpstr>Constants - Scope 3</vt:lpstr>
      <vt:lpstr>Constants - Solid Waste</vt:lpstr>
      <vt:lpstr>Constants - Common</vt:lpstr>
      <vt:lpstr>Input - Fert Prod System</vt:lpstr>
      <vt:lpstr>Input - Fertiliser</vt:lpstr>
      <vt:lpstr>5.1.1.1-2 Inorganic fert N2O</vt:lpstr>
      <vt:lpstr>5.1.1.3-4 Inorganic fert CO2</vt:lpstr>
      <vt:lpstr>5.2.1.1-2 Organic Fert N2O</vt:lpstr>
      <vt:lpstr>5.3.1.1-2 Lime CO2</vt:lpstr>
      <vt:lpstr>5.4.1.1-4 Atmos deposition</vt:lpstr>
      <vt:lpstr>5.5.1.1-2 Leaching and runoff</vt:lpstr>
      <vt:lpstr>'5.4.1.1-4 Atmos deposition'!_Toc225350871</vt:lpstr>
      <vt:lpstr>'5.5.1.1-2 Leaching and runoff'!_Toc225350871</vt:lpstr>
      <vt:lpstr>Common_SourceData_DensityOfMethane_Data</vt:lpstr>
      <vt:lpstr>Fertiliser_EFLeach_Data</vt:lpstr>
      <vt:lpstr>Fertiliser_EFUreaCO2_Data</vt:lpstr>
      <vt:lpstr>Fertiliser_FracGASMSoil_Data</vt:lpstr>
      <vt:lpstr>Fertiliser_FracLEACH_Data</vt:lpstr>
      <vt:lpstr>M1_Table_AE_j_k</vt:lpstr>
      <vt:lpstr>M1_Table_CP_j_k</vt:lpstr>
      <vt:lpstr>M1_Table_DMD_j_k</vt:lpstr>
      <vt:lpstr>M1_Table_E_CO2</vt:lpstr>
      <vt:lpstr>M1_Table_E_N2O</vt:lpstr>
      <vt:lpstr>M1_Table_E_N2O_dir</vt:lpstr>
      <vt:lpstr>M1_Table_E_N2O_leach</vt:lpstr>
      <vt:lpstr>M1_Table_EM_N2O_PRP_dir</vt:lpstr>
      <vt:lpstr>M1_Table_I_j_k</vt:lpstr>
      <vt:lpstr>M1_Table_I_j_k_Consumer_1</vt:lpstr>
      <vt:lpstr>M1_Table_M_j_k_m_T1</vt:lpstr>
      <vt:lpstr>M1_Table_M_j_k_m_T2</vt:lpstr>
      <vt:lpstr>M1_Table_M_j_k_m_T2_Consumer_1</vt:lpstr>
      <vt:lpstr>M1_Table_M_vol_m14</vt:lpstr>
      <vt:lpstr>M1_Table_M_vol_m14_Consumer_1</vt:lpstr>
      <vt:lpstr>M1_Table_MMS_ATMOS</vt:lpstr>
      <vt:lpstr>M1_Table_MN_j_k_m_T</vt:lpstr>
      <vt:lpstr>M1_Table_MN_j_k_m_T1</vt:lpstr>
      <vt:lpstr>M1_Table_MN_j_k_m_T2</vt:lpstr>
      <vt:lpstr>M1_Table_MN_j_k_m_T2_Consumer_1</vt:lpstr>
      <vt:lpstr>M1_Table_MN_j_k_m14_T1</vt:lpstr>
      <vt:lpstr>M1_Table_MN_j_k_m14_T1_Consumer_1</vt:lpstr>
      <vt:lpstr>M1_Table_MN_j_k_m14_T1_Consumer_2</vt:lpstr>
      <vt:lpstr>M1_Table_MN_j_k_m4</vt:lpstr>
      <vt:lpstr>M1_Table_MN_j_k_m4_Consumer_1</vt:lpstr>
      <vt:lpstr>M1_Table_MN_Leach_j_k_m4</vt:lpstr>
      <vt:lpstr>M1_Table_MNLeach_MMS</vt:lpstr>
      <vt:lpstr>M1_Table_MNSoil_scope1</vt:lpstr>
      <vt:lpstr>M1_Table_MNSoil_scope1_fert</vt:lpstr>
      <vt:lpstr>M1_Table_MNSoil_scope3</vt:lpstr>
      <vt:lpstr>M1_Table_N_j_k</vt:lpstr>
      <vt:lpstr>M1_Table_NE_j_k</vt:lpstr>
      <vt:lpstr>M1_Table_NI_j_k</vt:lpstr>
      <vt:lpstr>M1_Table_NT_j_k_m_T1</vt:lpstr>
      <vt:lpstr>M1_Table_VS_j_k</vt:lpstr>
      <vt:lpstr>M1_Table_VST_j_k</vt:lpstr>
      <vt:lpstr>M2_Table_AE_j_k</vt:lpstr>
      <vt:lpstr>M2_Table_CP_j_k</vt:lpstr>
      <vt:lpstr>M2_Table_DMD_j_k</vt:lpstr>
      <vt:lpstr>M2_Table_E_N2O_dir</vt:lpstr>
      <vt:lpstr>M2_Table_E_N2O_leach</vt:lpstr>
      <vt:lpstr>M2_Table_EM_N2O_PRP_dir</vt:lpstr>
      <vt:lpstr>M2_Table_FertApplications</vt:lpstr>
      <vt:lpstr>M2_Table_I_j_k</vt:lpstr>
      <vt:lpstr>M2_Table_I_j_k_Consumer_1</vt:lpstr>
      <vt:lpstr>M2_Table_M_j_k_m_T1</vt:lpstr>
      <vt:lpstr>M2_Table_M_vol_m14</vt:lpstr>
      <vt:lpstr>M2_Table_M_vol_m14_Consumer_1</vt:lpstr>
      <vt:lpstr>M2_Table_MMS_ATMOS</vt:lpstr>
      <vt:lpstr>M2_Table_MN_j_k_m_T</vt:lpstr>
      <vt:lpstr>M2_Table_MN_j_k_m_T1</vt:lpstr>
      <vt:lpstr>M2_Table_MN_j_k_m_T2</vt:lpstr>
      <vt:lpstr>M2_Table_MN_j_k_m_T2_Consumer_1</vt:lpstr>
      <vt:lpstr>M2_Table_MN_j_k_m14_T1</vt:lpstr>
      <vt:lpstr>M2_Table_MN_j_k_m14_T1_Consumer_1</vt:lpstr>
      <vt:lpstr>M2_Table_MN_j_k_m14_T1_Consumer_2</vt:lpstr>
      <vt:lpstr>M2_Table_MN_j_k_m4</vt:lpstr>
      <vt:lpstr>M2_Table_MNLeach_MMS</vt:lpstr>
      <vt:lpstr>M2_Table_MNSoil_scope1</vt:lpstr>
      <vt:lpstr>M2_Table_MNSoil_scope1_fert</vt:lpstr>
      <vt:lpstr>M2_Table_MNSoil_scope3</vt:lpstr>
      <vt:lpstr>M2_Table_N_j_k</vt:lpstr>
      <vt:lpstr>M2_Table_NE_j_k</vt:lpstr>
      <vt:lpstr>M2_Table_NI_j_k</vt:lpstr>
      <vt:lpstr>M2_Table_NT_j_k_m_T1</vt:lpstr>
      <vt:lpstr>M2_Table_VS_j_k</vt:lpstr>
      <vt:lpstr>M2_Table_VST_j_k</vt:lpstr>
      <vt:lpstr>Result_CarbonRemovalsFromPlantings</vt:lpstr>
      <vt:lpstr>Result_EmissionsForWholeProductionCycle_Gross_Method1</vt:lpstr>
      <vt:lpstr>Result_EmissionsForWholeProductionCycle_Gross_Method2</vt:lpstr>
      <vt:lpstr>Result_EmissionsForWholeProductionCycle_Method1</vt:lpstr>
      <vt:lpstr>Result_EmissionsForWholeProductionCycle_Method2</vt:lpstr>
      <vt:lpstr>Result_EmissionsForWholeProductionCycle_Net_Method1</vt:lpstr>
      <vt:lpstr>Result_EmissionsForWholeProductionCycle_Net_Method2</vt:lpstr>
      <vt:lpstr>Result_Enterprise_Gross_Method1</vt:lpstr>
      <vt:lpstr>Result_Enterprise_Gross_Method2</vt:lpstr>
      <vt:lpstr>Result_Enterprise_Net_Method1</vt:lpstr>
      <vt:lpstr>Result_Enterprise_Net_Method2</vt:lpstr>
      <vt:lpstr>Result_Enterprise_Removals</vt:lpstr>
      <vt:lpstr>Result_Enterprise_Scope1_Method1</vt:lpstr>
      <vt:lpstr>Result_Enterprise_Scope1_Method2</vt:lpstr>
      <vt:lpstr>Result_Enterprise_Scope2_Method1</vt:lpstr>
      <vt:lpstr>Result_Enterprise_Scope2_Method2</vt:lpstr>
      <vt:lpstr>Result_Enterprise_Scope3_Method1</vt:lpstr>
      <vt:lpstr>Result_Enterprise_Scope3_Method2</vt:lpstr>
      <vt:lpstr>SourceData_Poultry_FracGAMSSoil_Data</vt:lpstr>
      <vt:lpstr>SourceData_Poultry_FractionOfNitrogenLostThroughLeachingAndRunoff_Data</vt:lpstr>
      <vt:lpstr>Table_A_j</vt:lpstr>
      <vt:lpstr>Table_B_0_j</vt:lpstr>
      <vt:lpstr>Table_D_j_k</vt:lpstr>
      <vt:lpstr>Table_D_j_k_Consumer_1</vt:lpstr>
      <vt:lpstr>Table_E_ad_inorganic</vt:lpstr>
      <vt:lpstr>Table_E_ad_organic</vt:lpstr>
      <vt:lpstr>Table_E_g</vt:lpstr>
      <vt:lpstr>Table_E_g_Consumer_1</vt:lpstr>
      <vt:lpstr>Table_E_g_offsite</vt:lpstr>
      <vt:lpstr>Table_E_g_onsite</vt:lpstr>
      <vt:lpstr>Table_E_lime</vt:lpstr>
      <vt:lpstr>Table_EF_m</vt:lpstr>
      <vt:lpstr>Table_EF_m_Consumer_1</vt:lpstr>
      <vt:lpstr>Table_FracGASM_m_T</vt:lpstr>
      <vt:lpstr>Table_FracGASM_m_T_Consumer_1</vt:lpstr>
      <vt:lpstr>Table_FracGASM_m_T1</vt:lpstr>
      <vt:lpstr>Table_M_leach_inorganic_j</vt:lpstr>
      <vt:lpstr>Table_M_leach_organic_j</vt:lpstr>
      <vt:lpstr>Table_M_vol_inorganic_j_f</vt:lpstr>
      <vt:lpstr>Table_M_vol_organic_j_f</vt:lpstr>
      <vt:lpstr>Table_MMS_j_m_T1</vt:lpstr>
      <vt:lpstr>Table_MMS_j_m_T1_Consumer_1</vt:lpstr>
      <vt:lpstr>Table_MMS_j_m_T2</vt:lpstr>
      <vt:lpstr>Table_MMS_j_m_T2_Consumer_1</vt:lpstr>
      <vt:lpstr>Table_MN_j_f</vt:lpstr>
      <vt:lpstr>Table_MNSoil_j_f</vt:lpstr>
      <vt:lpstr>Table_MU_j_f</vt:lpstr>
      <vt:lpstr>Table_N_j_k</vt:lpstr>
      <vt:lpstr>Table_N_j_k_Consumer_1</vt:lpstr>
      <vt:lpstr>Table_NR_j_k</vt:lpstr>
      <vt:lpstr>Table_PF</vt:lpstr>
      <vt:lpstr>Table_V_w_t_offsite</vt:lpstr>
      <vt:lpstr>Table_V_w_t_onsite</vt:lpstr>
      <vt:lpstr>VEERG_10_1_1_1__1_EmissionsFromWasteManagement_Scope1_Result_Method1</vt:lpstr>
      <vt:lpstr>VEERG_10_1_1_1__1_EmissionsFromWasteManagement_Scope3_Result_Method1</vt:lpstr>
      <vt:lpstr>VEERG_14_1_1__1_LocationBasedScopeElectricityEmissions_Result_Method1</vt:lpstr>
      <vt:lpstr>VEERG_14_1_2__1_MarketBasedScopeElectricityEmissionsVariation_Result_Method1</vt:lpstr>
      <vt:lpstr>VEERG_15_1_1_1__1_EmissionsFromPurchasedLivestock_BeefCattle_Result_Method1</vt:lpstr>
      <vt:lpstr>VEERG_15_1_1_1__1_EmissionsFromPurchasedLivestock_BeefCattle_Result_Method2</vt:lpstr>
      <vt:lpstr>VEERG_15_1_1_1__1_EmissionsFromPurchasedLivestock_DairyCattle_Result_Method1</vt:lpstr>
      <vt:lpstr>VEERG_15_1_1_1__1_EmissionsFromPurchasedLivestock_DairyCattle_Result_Method2</vt:lpstr>
      <vt:lpstr>VEERG_15_1_1_1__1_EmissionsFromPurchasedLivestock_Pigs_Result_Method1</vt:lpstr>
      <vt:lpstr>VEERG_15_1_1_1__1_EmissionsFromPurchasedLivestock_Pigs_Result_Method2</vt:lpstr>
      <vt:lpstr>VEERG_15_1_1_1__1_EmissionsFromPurchasedLivestock_Poultry_Result_Method1</vt:lpstr>
      <vt:lpstr>VEERG_15_1_1_1__1_EmissionsFromPurchasedLivestock_Poultry_Result_Method2</vt:lpstr>
      <vt:lpstr>VEERG_15_1_1_1__1_EmissionsFromPurchasedLivestock_Result_Method1</vt:lpstr>
      <vt:lpstr>VEERG_15_1_1_1__1_EmissionsFromPurchasedLivestock_Result_Method2</vt:lpstr>
      <vt:lpstr>VEERG_15_10_1_1__1_OtherPurchasedGoodsAndServices_CleaningChemicals_Result_Method1</vt:lpstr>
      <vt:lpstr>VEERG_15_10_1_1__1_OtherPurchasedGoodsAndServices_CleaningChemicals_Result_Method2</vt:lpstr>
      <vt:lpstr>VEERG_15_10_1_1__1_OtherPurchasedGoodsAndServices_Misc_Result_Method1</vt:lpstr>
      <vt:lpstr>VEERG_15_10_1_1__1_OtherPurchasedGoodsAndServices_Misc_Result_Method2</vt:lpstr>
      <vt:lpstr>VEERG_15_10_1_1__1_OtherPurchasedGoodsAndServices_PharmacyChemicals_Result_Method1</vt:lpstr>
      <vt:lpstr>VEERG_15_10_1_1__1_OtherPurchasedGoodsAndServices_PharmacyChemicals_Result_Method2</vt:lpstr>
      <vt:lpstr>VEERG_15_10_1_1__1_OtherPurchasedGoodsAndServices_Seed_Result_Method1</vt:lpstr>
      <vt:lpstr>VEERG_15_10_1_1__1_OtherPurchasedGoodsAndServices_Seed_Result_Method2</vt:lpstr>
      <vt:lpstr>VEERG_15_10_1_1__1_OtherPurchasedGoodsAndServices_Uncategorised_Result_Method1</vt:lpstr>
      <vt:lpstr>VEERG_15_10_1_1__1_OtherPurchasedGoodsAndServices_Uncategorised_Result_Method2</vt:lpstr>
      <vt:lpstr>VEERG_15_11_1_1__1_TotalUpstreamEmissionsFromFuel_Result</vt:lpstr>
      <vt:lpstr>VEERG_15_12_1_1__1_UpstreamPurchasedElectricityLocationBased_Result</vt:lpstr>
      <vt:lpstr>VEERG_15_12_1_2__1_UpstreamPurchasedElectricityMarketBasedVariation_Result</vt:lpstr>
      <vt:lpstr>VEERG_15_13_1_1__1_EmissionsFromManureSentOffSite_Result_Method1_CO2e</vt:lpstr>
      <vt:lpstr>VEERG_15_13_1_1__1_EmissionsFromManureSentOffSite_Result_Method2_CO2e</vt:lpstr>
      <vt:lpstr>VEERG_15_14_1_1__1_EmbeddedEmissionsFromUpstreamFreight_Incoming_Result_Method1</vt:lpstr>
      <vt:lpstr>VEERG_15_14_1_1__1_EmbeddedEmissionsFromUpstreamFreight_Incoming_Result_Method2</vt:lpstr>
      <vt:lpstr>VEERG_15_14_1_1__1_EmbeddedEmissionsFromUpstreamFreight_Outgoing_Result_Method1</vt:lpstr>
      <vt:lpstr>VEERG_15_14_1_1__1_EmbeddedEmissionsFromUpstreamFreight_Outgoing_Result_Method2</vt:lpstr>
      <vt:lpstr>VEERG_15_2_1_1__1_EmissionsFromPurchasedFeed_Result_Method1</vt:lpstr>
      <vt:lpstr>VEERG_15_2_1_1__1_EmissionsFromPurchasedFeed_Result_Method2</vt:lpstr>
      <vt:lpstr>VEERG_15_3_1_1__1_EmissionsFromPurchasedMineralSupplements_Result_Method1</vt:lpstr>
      <vt:lpstr>VEERG_15_3_1_1__1_EmissionsFromPurchasedMineralSupplements_Result_Method2</vt:lpstr>
      <vt:lpstr>VEERG_15_4_1_1__2_EmissionsFromPurchasedFertiliserComponentsVariation_Result_Method1</vt:lpstr>
      <vt:lpstr>VEERG_15_4_1_1__2_EmissionsFromPurchasedFertiliserComponentsVariation_Result_Method2</vt:lpstr>
      <vt:lpstr>VEERG_15_5_1_1__1_EmissionsFromPurchasedAgrichemicals_Result_Method1</vt:lpstr>
      <vt:lpstr>VEERG_15_5_1_1__1_EmissionsFromPurchasedAgrichemicals_Result_Method2</vt:lpstr>
      <vt:lpstr>VEERG_15_6_1_1__1_EmissionsFromPurchasedLime_Result_Method1</vt:lpstr>
      <vt:lpstr>VEERG_15_6_1_1__1_EmissionsFromPurchasedLime_Result_Method2</vt:lpstr>
      <vt:lpstr>VEERG_15_7_1_1__1_EmissionsFromPurchasedServices_Result_Method1</vt:lpstr>
      <vt:lpstr>VEERG_15_7_1_1__1_EmissionsFromPurchasedServices_Result_Method2</vt:lpstr>
      <vt:lpstr>VEERG_15_8_1_1__1_EmissionsFromPurchasedPackaging_Result_Method1</vt:lpstr>
      <vt:lpstr>VEERG_15_8_1_1__1_EmissionsFromPurchasedPackaging_Result_Method2</vt:lpstr>
      <vt:lpstr>VEERG_15_9_1_1__1_EmissionsFromPurchasedGrowMedia_Result_Method1</vt:lpstr>
      <vt:lpstr>VEERG_15_9_1_1__1_EmissionsFromPurchasedGrowMedia_Result_Method2</vt:lpstr>
      <vt:lpstr>VEERG_4_6_1_1__1_TotalAnnualMethaneEmissions_Result_Method1</vt:lpstr>
      <vt:lpstr>VEERG_4_6_1_1__1_TotalAnnualMethaneEmissions_Result_Method2</vt:lpstr>
      <vt:lpstr>VEERG_4_6_1_10__1_DirectNitrousOxideEmissionsFromPoultryManure_Result_Method1</vt:lpstr>
      <vt:lpstr>VEERG_4_6_1_10__1_DirectNitrousOxideEmissionsFromPoultryManure_Result_Method2</vt:lpstr>
      <vt:lpstr>VEERG_4_6_1_12__1_AtmosphericDepositionEmissionsFromPoultryManureOnPasture_Result_Method1</vt:lpstr>
      <vt:lpstr>VEERG_4_6_1_12__1_AtmosphericDepositionEmissionsFromPoultryManureOnPasture_Result_Method2</vt:lpstr>
      <vt:lpstr>VEERG_4_6_1_14__1_LeachingAndRunoffEmissionsFromPoultryManureOnPasture_Result_Method1</vt:lpstr>
      <vt:lpstr>VEERG_4_6_1_14__1_LeachingAndRunoffEmissionsFromPoultryManureOnPasture_Result_Method2</vt:lpstr>
      <vt:lpstr>VEERG_4_6_1_3__1_TotalAnnualDirectNitrousOxideEmissionsFromMMS_Result_Method1</vt:lpstr>
      <vt:lpstr>VEERG_4_6_1_3__1_TotalAnnualDirectNitrousOxideEmissionsFromMMS_Result_Method2</vt:lpstr>
      <vt:lpstr>VEERG_4_6_1_5__1_TotalAnnualAtmosphericDepositionEmissionsFromMMS_Result_Method1</vt:lpstr>
      <vt:lpstr>VEERG_4_6_1_5__1_TotalAnnualAtmosphericDepositionEmissionsFromMMS_Result_Method2</vt:lpstr>
      <vt:lpstr>VEERG_4_6_1_7__1_AnnualEmissionsFromLeachingAndRunoffFromMMS_Result_Method1</vt:lpstr>
      <vt:lpstr>VEERG_4_6_1_7__1_AnnualEmissionsFromLeachingAndRunoffFromMMS_Result_Method2</vt:lpstr>
      <vt:lpstr>VEERG_4_6_1_9__1_MassOfNitrogenAppliedToSoilsScope1_Result_Method1</vt:lpstr>
      <vt:lpstr>VEERG_4_6_1_9__1_MassOfNitrogenAppliedToSoilsScope1_Result_Method2</vt:lpstr>
      <vt:lpstr>VEERG_4_6_1_9__2_MassOfNitrogenAppliedToSoilsScope3_Result_Method1</vt:lpstr>
      <vt:lpstr>VEERG_4_6_1_9__2_MassOfNitrogenAppliedToSoilsScope3_Result_Method2</vt:lpstr>
      <vt:lpstr>VEERG_5_1_1_1__1_InorganicFertiliserApplicationN2OEmissions_Result_Method1</vt:lpstr>
      <vt:lpstr>VEERG_5_1_1_1__1_InorganicFertiliserApplicationN2OEmissions_Result_Method2</vt:lpstr>
      <vt:lpstr>VEERG_5_1_1_3__1_InorganicFertiliserApplicationCO2Emissions_Result_Method1</vt:lpstr>
      <vt:lpstr>VEERG_5_2_1_1__1_OrganicFertiliserApplicationN2OEmissions_Result_Method1</vt:lpstr>
      <vt:lpstr>VEERG_5_2_1_1__1_OrganicFertiliserApplicationN2OEmissions_Result_Method2</vt:lpstr>
      <vt:lpstr>VEERG_5_2_1_1__2_MassOfNitrogenInOrganicFertiliser_Result_Method1</vt:lpstr>
      <vt:lpstr>VEERG_5_3_1_1__1_LimeApplicationCO2Emissions_Result_Method1</vt:lpstr>
      <vt:lpstr>VEERG_5_4_1_1__1_InorganicFertiliserAtmosphericDepositionN2OEmissions_Result_Method1</vt:lpstr>
      <vt:lpstr>VEERG_5_4_1_3__1_OrganicFertiliserAtmosphericDepositionN2OEmissions_Result_Method1</vt:lpstr>
      <vt:lpstr>VEERG_5_4_1_3__1_OrganicFertiliserAtmosphericDepositionN2OEmissions_Result_Method2</vt:lpstr>
      <vt:lpstr>VEERG_5_5_1_1__1_FertiliserLeachingAndRunoffN2OEmissions_Result_Method1</vt:lpstr>
      <vt:lpstr>VEERG_5_5_1_1__1_FertiliserLeachingAndRunoffN2OEmissions_Result_Method2</vt:lpstr>
      <vt:lpstr>VEERG_8_1_1_1__1_FuelCombustionTransport_Result</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X_Cell_Enterprise_BirdsSold</vt:lpstr>
      <vt:lpstr>X_Cell_Enterprise_EggsProduced</vt:lpstr>
      <vt:lpstr>X_Cell_Enterprise_ManureProduced</vt:lpstr>
      <vt:lpstr>X_Cell_Enterprise_PercentIncomeFromBirdsSold</vt:lpstr>
      <vt:lpstr>X_Cell_Enterprise_PercentIncomeFromEggsSold</vt:lpstr>
      <vt:lpstr>X_Cell_Enterprise_PercentIncomeFromManureSold</vt:lpstr>
      <vt:lpstr>X_Cell_Enterprise_PercentManureFertiliserOwnFarm</vt:lpstr>
      <vt:lpstr>X_Cell_Enterprise_PercentManureSold</vt:lpstr>
      <vt:lpstr>X_Cell_Enterprise_ProductionTimeframeEnd</vt:lpstr>
      <vt:lpstr>X_Cell_Enterprise_ProductionTimeframeStart</vt:lpstr>
      <vt:lpstr>X_Cell_FarmInputs_FeedRations_Chickens</vt:lpstr>
      <vt:lpstr>X_Cell_FarmInputs_FeedRations_DairyCalves</vt:lpstr>
      <vt:lpstr>X_Cell_FarmInputs_FeedRations_DairyCows</vt:lpstr>
      <vt:lpstr>X_Cell_FarmInputs_FeedRations_Pigs</vt:lpstr>
      <vt:lpstr>X_Cell_FarmInputs_LickBlocks_DrySeasonMix</vt:lpstr>
      <vt:lpstr>X_Cell_FarmInputs_LickBlocks_Mineral</vt:lpstr>
      <vt:lpstr>X_Cell_FarmInputs_LickBlocks_Weaner</vt:lpstr>
      <vt:lpstr>X_Cell_FarmInputs_Misc_AnimalEarTagsLarge</vt:lpstr>
      <vt:lpstr>X_Cell_FarmInputs_Misc_AnimalEarTagsSmall</vt:lpstr>
      <vt:lpstr>X_Cell_Fertiliser_AreaUnderCropping</vt:lpstr>
      <vt:lpstr>X_Cell_Fertiliser_CropType</vt:lpstr>
      <vt:lpstr>X_Cell_Fertiliser_IrrigationMethod</vt:lpstr>
      <vt:lpstr>X_Cell_Fertiliser_ProductionSystem</vt:lpstr>
      <vt:lpstr>X_Cell_Fuel_IsMetroLocation</vt:lpstr>
      <vt:lpstr>X_Cell_ManureSentOffsite_ManureIrrigationMethod</vt:lpstr>
      <vt:lpstr>X_Cell_ManureSentOffsite_ManureProductionSystem</vt:lpstr>
      <vt:lpstr>X_Cell_ManureSentOffsite_MassNitrogenManure_Method1</vt:lpstr>
      <vt:lpstr>X_Cell_ManureSentOffsite_MassNitrogenManure_Method2</vt:lpstr>
      <vt:lpstr>X_Cell_Poultry_ManureAppliedIrrigationMethod</vt:lpstr>
      <vt:lpstr>X_Cell_Poultry_ManureAppliedProductionSystem</vt:lpstr>
      <vt:lpstr>X_Cell_Poultry_ProductionSystem</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X_Cell_TotalElegibleRECsForElectricityProducedOnSite</vt:lpstr>
      <vt:lpstr>X_Cell_TotalElegibleVoluntarilySurrenderedRECs</vt:lpstr>
      <vt:lpstr>X_Table_Poultry_Diet_Method1</vt:lpstr>
      <vt:lpstr>X_Table_Poultry_Diet_Method2</vt:lpstr>
      <vt:lpstr>X_Table_Poultry_Movement</vt:lpstr>
      <vt:lpstr>X_Table_Poultry_Stage1MMS</vt:lpstr>
      <vt:lpstr>X_Table_Poultry_Stage2MMS_BeltManureRemoval</vt:lpstr>
      <vt:lpstr>X_Table_Poultry_Stage2MMS_BeltManureRemoval_Destinations</vt:lpstr>
      <vt:lpstr>X_Table_Poultry_Stage2MMS_ManureStoredInHouse</vt:lpstr>
      <vt:lpstr>X_Table_Poultry_Stage2MMS_ManureStoredInHouse_Destinations</vt:lpstr>
      <vt:lpstr>X_Table_Poultry_Stage2MMS_PoultryManureWithBedding</vt:lpstr>
      <vt:lpstr>X_Table_Poultry_Stage2MMS_PoultryManureWithBedding_Destinations</vt:lpstr>
      <vt:lpstr>X_Table_Result_ActivityPeriodEmissions_RowsToCols</vt:lpstr>
      <vt:lpstr>X_Table_Result_CarbonRemovalsFromPlantings_RowsToCols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2026-09-02T12:51:27Z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y fmtid="{D5CDD505-2E9C-101B-9397-08002B2CF9AE}" pid="4" name="RestyleFontsApplied">
    <vt:lpwstr>applied 2026-09-02T18:44:30; rename=True resize=True rowheights=True scope=all</vt:lpwstr>
  </property>
</Properties>
</file>